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90" yWindow="555" windowWidth="13035" windowHeight="9855" tabRatio="776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_FilterDatabase" localSheetId="0" hidden="1">'прил.№1 доходы'!$A$1:$I$164</definedName>
    <definedName name="_xlnm.Print_Area" localSheetId="0">'прил.№1 доходы'!$A$1:$K$164</definedName>
    <definedName name="_xlnm.Print_Area" localSheetId="1">'прил.№2 Рд,пр'!$A$1:$K$55</definedName>
    <definedName name="_xlnm.Print_Area" localSheetId="2">'ПРил.№3 Рд,пр, ЦС,ВР'!$A$1:$M$975</definedName>
    <definedName name="_xlnm.Print_Area" localSheetId="3">'Прил.№4 ведомств.'!$A$1:$O$1135</definedName>
    <definedName name="_xlnm.Print_Area" localSheetId="4">'Прил.№5 ведомств.старая'!$A$1:$H$975</definedName>
    <definedName name="_xlnm.Print_Area" localSheetId="5">'прил.№5 МП'!$A$1:$N$635</definedName>
    <definedName name="_xlnm.Print_Area" localSheetId="6">'прил.№6 МП старая'!$A$1:$G$534</definedName>
    <definedName name="_xlnm.Print_Area" localSheetId="7">'прил.№6 публ.'!$A$1:$I$48</definedName>
    <definedName name="_xlnm.Print_Area" localSheetId="8">'прил.№7 источники'!$A$1:$L$18</definedName>
  </definedNames>
  <calcPr calcId="145621"/>
</workbook>
</file>

<file path=xl/calcChain.xml><?xml version="1.0" encoding="utf-8"?>
<calcChain xmlns="http://schemas.openxmlformats.org/spreadsheetml/2006/main">
  <c r="J99" i="1" l="1"/>
  <c r="J98" i="1" s="1"/>
  <c r="J104" i="1"/>
  <c r="J106" i="1"/>
  <c r="J108" i="1"/>
  <c r="L857" i="3" l="1"/>
  <c r="L868" i="3"/>
  <c r="J162" i="1" l="1"/>
  <c r="J161" i="1" s="1"/>
  <c r="I162" i="1"/>
  <c r="I161" i="1" s="1"/>
  <c r="J145" i="1"/>
  <c r="K160" i="1"/>
  <c r="K159" i="1"/>
  <c r="K158" i="1"/>
  <c r="K157" i="1"/>
  <c r="K148" i="1"/>
  <c r="K146" i="1"/>
  <c r="K144" i="1"/>
  <c r="K143" i="1"/>
  <c r="K141" i="1"/>
  <c r="K140" i="1"/>
  <c r="K136" i="1"/>
  <c r="K135" i="1"/>
  <c r="K132" i="1"/>
  <c r="K127" i="1"/>
  <c r="K126" i="1"/>
  <c r="K125" i="1"/>
  <c r="K124" i="1"/>
  <c r="K123" i="1"/>
  <c r="K121" i="1"/>
  <c r="K120" i="1"/>
  <c r="K119" i="1"/>
  <c r="K118" i="1"/>
  <c r="K117" i="1"/>
  <c r="K116" i="1"/>
  <c r="K114" i="1"/>
  <c r="K113" i="1"/>
  <c r="K90" i="1"/>
  <c r="K88" i="1"/>
  <c r="K87" i="1"/>
  <c r="K85" i="1"/>
  <c r="K83" i="1"/>
  <c r="K82" i="1"/>
  <c r="K81" i="1"/>
  <c r="K78" i="1"/>
  <c r="K77" i="1"/>
  <c r="K76" i="1"/>
  <c r="K73" i="1"/>
  <c r="K71" i="1"/>
  <c r="K66" i="1"/>
  <c r="K61" i="1"/>
  <c r="K62" i="1"/>
  <c r="K63" i="1"/>
  <c r="K60" i="1"/>
  <c r="K57" i="1"/>
  <c r="K55" i="1"/>
  <c r="J46" i="1"/>
  <c r="I46" i="1"/>
  <c r="K47" i="1"/>
  <c r="K44" i="1"/>
  <c r="K43" i="1"/>
  <c r="D49" i="1"/>
  <c r="E49" i="1"/>
  <c r="F49" i="1"/>
  <c r="G49" i="1"/>
  <c r="H49" i="1"/>
  <c r="I49" i="1"/>
  <c r="J49" i="1"/>
  <c r="K49" i="1"/>
  <c r="K41" i="1"/>
  <c r="K38" i="1"/>
  <c r="K36" i="1"/>
  <c r="K34" i="1"/>
  <c r="K32" i="1"/>
  <c r="K27" i="1"/>
  <c r="K28" i="1"/>
  <c r="K26" i="1"/>
  <c r="K21" i="1"/>
  <c r="K22" i="1"/>
  <c r="K23" i="1"/>
  <c r="K46" i="1" l="1"/>
  <c r="K20" i="1"/>
  <c r="J155" i="1" l="1"/>
  <c r="J150" i="1"/>
  <c r="J147" i="1"/>
  <c r="J138" i="1"/>
  <c r="J122" i="1"/>
  <c r="J115" i="1"/>
  <c r="J94" i="1"/>
  <c r="J92" i="1"/>
  <c r="J89" i="1"/>
  <c r="J86" i="1"/>
  <c r="J84" i="1"/>
  <c r="J80" i="1"/>
  <c r="J75" i="1"/>
  <c r="J72" i="1"/>
  <c r="J70" i="1"/>
  <c r="J67" i="1"/>
  <c r="J64" i="1" s="1"/>
  <c r="J65" i="1"/>
  <c r="J59" i="1"/>
  <c r="J56" i="1"/>
  <c r="J54" i="1"/>
  <c r="J45" i="1"/>
  <c r="J42" i="1"/>
  <c r="J40" i="1"/>
  <c r="J35" i="1"/>
  <c r="J31" i="1"/>
  <c r="J25" i="1"/>
  <c r="J19" i="1"/>
  <c r="J110" i="1" l="1"/>
  <c r="J103" i="1" s="1"/>
  <c r="J58" i="1"/>
  <c r="J74" i="1"/>
  <c r="J154" i="1"/>
  <c r="J149" i="1"/>
  <c r="J69" i="1"/>
  <c r="J53" i="1"/>
  <c r="J52" i="1" s="1"/>
  <c r="J130" i="1"/>
  <c r="J24" i="1"/>
  <c r="J91" i="1"/>
  <c r="J39" i="1"/>
  <c r="J30" i="1"/>
  <c r="J18" i="1"/>
  <c r="H47" i="6"/>
  <c r="H46" i="6" s="1"/>
  <c r="H45" i="6" s="1"/>
  <c r="H44" i="6" s="1"/>
  <c r="H43" i="6"/>
  <c r="H42" i="6" s="1"/>
  <c r="H41" i="6" s="1"/>
  <c r="H40" i="6" s="1"/>
  <c r="H39" i="6"/>
  <c r="H38" i="6" s="1"/>
  <c r="H37" i="6" s="1"/>
  <c r="H36" i="6" s="1"/>
  <c r="H35" i="6"/>
  <c r="H34" i="6" s="1"/>
  <c r="H33" i="6" s="1"/>
  <c r="H27" i="6"/>
  <c r="H26" i="6" s="1"/>
  <c r="H25" i="6" s="1"/>
  <c r="H24" i="6" s="1"/>
  <c r="H23" i="6" s="1"/>
  <c r="H22" i="6" s="1"/>
  <c r="H21" i="6" s="1"/>
  <c r="H20" i="6" s="1"/>
  <c r="H19" i="6" s="1"/>
  <c r="I17" i="6"/>
  <c r="I16" i="6" s="1"/>
  <c r="H17" i="6"/>
  <c r="H16" i="6" s="1"/>
  <c r="K14" i="7"/>
  <c r="K18" i="2"/>
  <c r="K61" i="2"/>
  <c r="J61" i="2"/>
  <c r="J153" i="1" l="1"/>
  <c r="J129" i="1"/>
  <c r="J17" i="1"/>
  <c r="H15" i="6"/>
  <c r="H14" i="6"/>
  <c r="H13" i="6" s="1"/>
  <c r="H11" i="6" s="1"/>
  <c r="I14" i="6"/>
  <c r="I13" i="6" s="1"/>
  <c r="I15" i="6"/>
  <c r="H32" i="6"/>
  <c r="N583" i="5"/>
  <c r="N572" i="5"/>
  <c r="N548" i="5"/>
  <c r="N525" i="5"/>
  <c r="N458" i="5"/>
  <c r="N457" i="5"/>
  <c r="N443" i="5"/>
  <c r="N439" i="5"/>
  <c r="N435" i="5"/>
  <c r="N431" i="5"/>
  <c r="N427" i="5"/>
  <c r="N380" i="5"/>
  <c r="N379" i="5"/>
  <c r="N376" i="5"/>
  <c r="N372" i="5"/>
  <c r="N371" i="5"/>
  <c r="N318" i="5"/>
  <c r="N317" i="5"/>
  <c r="N314" i="5"/>
  <c r="N313" i="5"/>
  <c r="N231" i="5"/>
  <c r="N230" i="5"/>
  <c r="N229" i="5"/>
  <c r="N225" i="5"/>
  <c r="N224" i="5"/>
  <c r="N221" i="5"/>
  <c r="N207" i="5"/>
  <c r="N206" i="5"/>
  <c r="N203" i="5"/>
  <c r="N202" i="5"/>
  <c r="N171" i="5"/>
  <c r="N167" i="5"/>
  <c r="N163" i="5"/>
  <c r="N159" i="5"/>
  <c r="N156" i="5"/>
  <c r="N155" i="5"/>
  <c r="N129" i="5"/>
  <c r="N128" i="5"/>
  <c r="N98" i="5"/>
  <c r="N97" i="5"/>
  <c r="N96" i="5"/>
  <c r="N92" i="5"/>
  <c r="N88" i="5"/>
  <c r="N79" i="5"/>
  <c r="N30" i="5"/>
  <c r="J128" i="1" l="1"/>
  <c r="J97" i="1" s="1"/>
  <c r="J96" i="1" s="1"/>
  <c r="H31" i="6"/>
  <c r="H12" i="6"/>
  <c r="I12" i="6"/>
  <c r="I11" i="6"/>
  <c r="M633" i="5"/>
  <c r="M632" i="5"/>
  <c r="M626" i="5"/>
  <c r="M620" i="5"/>
  <c r="M619" i="5"/>
  <c r="M618" i="5"/>
  <c r="M613" i="5"/>
  <c r="M612" i="5" s="1"/>
  <c r="M608" i="5"/>
  <c r="M604" i="5"/>
  <c r="M601" i="5"/>
  <c r="M600" i="5" s="1"/>
  <c r="M594" i="5"/>
  <c r="M591" i="5"/>
  <c r="M590" i="5" s="1"/>
  <c r="M588" i="5"/>
  <c r="M585" i="5"/>
  <c r="M584" i="5" s="1"/>
  <c r="M582" i="5"/>
  <c r="M580" i="5"/>
  <c r="M579" i="5" s="1"/>
  <c r="M575" i="5"/>
  <c r="M571" i="5"/>
  <c r="M569" i="5"/>
  <c r="M568" i="5" s="1"/>
  <c r="M566" i="5"/>
  <c r="M563" i="5"/>
  <c r="M562" i="5" s="1"/>
  <c r="M561" i="5"/>
  <c r="M560" i="5" s="1"/>
  <c r="M558" i="5"/>
  <c r="M547" i="5"/>
  <c r="M545" i="5"/>
  <c r="M542" i="5"/>
  <c r="M541" i="5" s="1"/>
  <c r="M539" i="5"/>
  <c r="M537" i="5"/>
  <c r="M534" i="5"/>
  <c r="M533" i="5" s="1"/>
  <c r="M529" i="5"/>
  <c r="M524" i="5"/>
  <c r="M518" i="5"/>
  <c r="M515" i="5"/>
  <c r="M514" i="5" s="1"/>
  <c r="M509" i="5"/>
  <c r="M508" i="5" s="1"/>
  <c r="M502" i="5"/>
  <c r="M499" i="5"/>
  <c r="M498" i="5" s="1"/>
  <c r="M496" i="5"/>
  <c r="M493" i="5"/>
  <c r="M492" i="5" s="1"/>
  <c r="M491" i="5"/>
  <c r="M490" i="5" s="1"/>
  <c r="M484" i="5"/>
  <c r="M481" i="5"/>
  <c r="M480" i="5" s="1"/>
  <c r="M478" i="5"/>
  <c r="M476" i="5"/>
  <c r="M473" i="5"/>
  <c r="M472" i="5" s="1"/>
  <c r="M465" i="5"/>
  <c r="M464" i="5" s="1"/>
  <c r="M459" i="5"/>
  <c r="M456" i="5"/>
  <c r="M454" i="5"/>
  <c r="M451" i="5"/>
  <c r="M450" i="5"/>
  <c r="M448" i="5"/>
  <c r="M445" i="5"/>
  <c r="M444" i="5" s="1"/>
  <c r="M442" i="5"/>
  <c r="M438" i="5"/>
  <c r="M434" i="5"/>
  <c r="M430" i="5"/>
  <c r="M426" i="5"/>
  <c r="M425" i="5" s="1"/>
  <c r="M424" i="5"/>
  <c r="M423" i="5" s="1"/>
  <c r="M417" i="5"/>
  <c r="M414" i="5"/>
  <c r="M413" i="5" s="1"/>
  <c r="M411" i="5"/>
  <c r="M408" i="5"/>
  <c r="M407" i="5" s="1"/>
  <c r="M405" i="5"/>
  <c r="M402" i="5"/>
  <c r="M401" i="5" s="1"/>
  <c r="M399" i="5"/>
  <c r="M392" i="5"/>
  <c r="M389" i="5"/>
  <c r="M386" i="5"/>
  <c r="M385" i="5" s="1"/>
  <c r="M383" i="5"/>
  <c r="M382" i="5" s="1"/>
  <c r="M378" i="5"/>
  <c r="M375" i="5"/>
  <c r="M370" i="5"/>
  <c r="M369" i="5" s="1"/>
  <c r="M368" i="5"/>
  <c r="M367" i="5" s="1"/>
  <c r="M360" i="5"/>
  <c r="M359" i="5" s="1"/>
  <c r="M358" i="5"/>
  <c r="M357" i="5" s="1"/>
  <c r="M351" i="5"/>
  <c r="M348" i="5"/>
  <c r="M347" i="5" s="1"/>
  <c r="M345" i="5"/>
  <c r="M342" i="5"/>
  <c r="M341" i="5" s="1"/>
  <c r="M339" i="5"/>
  <c r="M334" i="5"/>
  <c r="M333" i="5" s="1"/>
  <c r="M327" i="5"/>
  <c r="M324" i="5"/>
  <c r="M323" i="5" s="1"/>
  <c r="M321" i="5"/>
  <c r="M316" i="5"/>
  <c r="M315" i="5" s="1"/>
  <c r="M312" i="5"/>
  <c r="M311" i="5" s="1"/>
  <c r="M310" i="5"/>
  <c r="M309" i="5" s="1"/>
  <c r="M306" i="5"/>
  <c r="M305" i="5" s="1"/>
  <c r="M298" i="5"/>
  <c r="M297" i="5" s="1"/>
  <c r="M291" i="5"/>
  <c r="M285" i="5"/>
  <c r="M284" i="5"/>
  <c r="M283" i="5" s="1"/>
  <c r="M276" i="5"/>
  <c r="M275" i="5" s="1"/>
  <c r="M266" i="5"/>
  <c r="M265" i="5" s="1"/>
  <c r="M262" i="5"/>
  <c r="M261" i="5" s="1"/>
  <c r="M260" i="5"/>
  <c r="M259" i="5" s="1"/>
  <c r="M257" i="5"/>
  <c r="M250" i="5"/>
  <c r="M249" i="5" s="1"/>
  <c r="M244" i="5"/>
  <c r="M243" i="5" s="1"/>
  <c r="M237" i="5"/>
  <c r="M228" i="5"/>
  <c r="M223" i="5"/>
  <c r="M222" i="5" s="1"/>
  <c r="M220" i="5"/>
  <c r="M219" i="5" s="1"/>
  <c r="M217" i="5"/>
  <c r="M215" i="5"/>
  <c r="M212" i="5"/>
  <c r="M205" i="5"/>
  <c r="M204" i="5" s="1"/>
  <c r="M201" i="5"/>
  <c r="M198" i="5"/>
  <c r="M197" i="5" s="1"/>
  <c r="M195" i="5"/>
  <c r="M192" i="5"/>
  <c r="M189" i="5"/>
  <c r="M188" i="5" s="1"/>
  <c r="M186" i="5"/>
  <c r="M183" i="5"/>
  <c r="M180" i="5"/>
  <c r="M177" i="5"/>
  <c r="M170" i="5"/>
  <c r="M168" i="5"/>
  <c r="M166" i="5"/>
  <c r="M162" i="5"/>
  <c r="M158" i="5"/>
  <c r="M154" i="5"/>
  <c r="M150" i="5"/>
  <c r="M147" i="5"/>
  <c r="M146" i="5" s="1"/>
  <c r="M144" i="5"/>
  <c r="M143" i="5" s="1"/>
  <c r="M141" i="5"/>
  <c r="M138" i="5"/>
  <c r="M135" i="5"/>
  <c r="M134" i="5" s="1"/>
  <c r="M132" i="5"/>
  <c r="M131" i="5" s="1"/>
  <c r="M127" i="5"/>
  <c r="M121" i="5"/>
  <c r="M120" i="5" s="1"/>
  <c r="M117" i="5"/>
  <c r="M113" i="5"/>
  <c r="M105" i="5"/>
  <c r="M95" i="5"/>
  <c r="M91" i="5"/>
  <c r="M90" i="5" s="1"/>
  <c r="M89" i="5"/>
  <c r="M87" i="5"/>
  <c r="M84" i="5"/>
  <c r="M83" i="5" s="1"/>
  <c r="M81" i="5"/>
  <c r="M78" i="5"/>
  <c r="M72" i="5"/>
  <c r="M65" i="5"/>
  <c r="M58" i="5"/>
  <c r="M56" i="5"/>
  <c r="M49" i="5"/>
  <c r="M42" i="5"/>
  <c r="M35" i="5"/>
  <c r="M34" i="5" s="1"/>
  <c r="M32" i="5"/>
  <c r="M29" i="5"/>
  <c r="M27" i="5"/>
  <c r="M19" i="5"/>
  <c r="M17" i="5"/>
  <c r="M581" i="5" l="1"/>
  <c r="M441" i="5"/>
  <c r="H30" i="6"/>
  <c r="M264" i="5"/>
  <c r="M422" i="5"/>
  <c r="M356" i="5"/>
  <c r="M400" i="5"/>
  <c r="M507" i="5"/>
  <c r="M142" i="5"/>
  <c r="M226" i="5"/>
  <c r="M274" i="5"/>
  <c r="M308" i="5"/>
  <c r="M133" i="5"/>
  <c r="M248" i="5"/>
  <c r="M296" i="5"/>
  <c r="M381" i="5"/>
  <c r="M406" i="5"/>
  <c r="M463" i="5"/>
  <c r="M497" i="5"/>
  <c r="M578" i="5"/>
  <c r="M33" i="5"/>
  <c r="M93" i="5"/>
  <c r="M130" i="5"/>
  <c r="M194" i="5"/>
  <c r="M218" i="5"/>
  <c r="M242" i="5"/>
  <c r="M332" i="5"/>
  <c r="M374" i="5"/>
  <c r="M384" i="5"/>
  <c r="M416" i="5"/>
  <c r="M449" i="5"/>
  <c r="M471" i="5"/>
  <c r="M546" i="5"/>
  <c r="M565" i="5"/>
  <c r="M617" i="5"/>
  <c r="M26" i="5"/>
  <c r="M55" i="5"/>
  <c r="M112" i="5"/>
  <c r="M140" i="5"/>
  <c r="M187" i="5"/>
  <c r="M196" i="5"/>
  <c r="M404" i="5"/>
  <c r="M495" i="5"/>
  <c r="M501" i="5"/>
  <c r="M528" i="5"/>
  <c r="M567" i="5"/>
  <c r="M574" i="5"/>
  <c r="M587" i="5"/>
  <c r="M593" i="5"/>
  <c r="M603" i="5"/>
  <c r="M631" i="5"/>
  <c r="M28" i="5"/>
  <c r="M41" i="5"/>
  <c r="M57" i="5"/>
  <c r="M86" i="5"/>
  <c r="M94" i="5"/>
  <c r="M149" i="5"/>
  <c r="M161" i="5"/>
  <c r="M172" i="5"/>
  <c r="M182" i="5"/>
  <c r="M214" i="5"/>
  <c r="M236" i="5"/>
  <c r="M388" i="5"/>
  <c r="M429" i="5"/>
  <c r="M475" i="5"/>
  <c r="M536" i="5"/>
  <c r="M589" i="5"/>
  <c r="M599" i="5"/>
  <c r="M18" i="5"/>
  <c r="M82" i="5"/>
  <c r="M137" i="5"/>
  <c r="M145" i="5"/>
  <c r="M227" i="5"/>
  <c r="M290" i="5"/>
  <c r="M304" i="5"/>
  <c r="M320" i="5"/>
  <c r="M340" i="5"/>
  <c r="M346" i="5"/>
  <c r="M366" i="5"/>
  <c r="M410" i="5"/>
  <c r="M428" i="5"/>
  <c r="M479" i="5"/>
  <c r="M513" i="5"/>
  <c r="M523" i="5"/>
  <c r="M540" i="5"/>
  <c r="M559" i="5"/>
  <c r="M71" i="5"/>
  <c r="M119" i="5"/>
  <c r="M157" i="5"/>
  <c r="M179" i="5"/>
  <c r="M256" i="5"/>
  <c r="M282" i="5"/>
  <c r="M322" i="5"/>
  <c r="M377" i="5"/>
  <c r="M398" i="5"/>
  <c r="M412" i="5"/>
  <c r="M437" i="5"/>
  <c r="M611" i="5"/>
  <c r="M16" i="5"/>
  <c r="M31" i="5"/>
  <c r="M48" i="5"/>
  <c r="M64" i="5"/>
  <c r="M80" i="5"/>
  <c r="M104" i="5"/>
  <c r="M116" i="5"/>
  <c r="M126" i="5"/>
  <c r="M153" i="5"/>
  <c r="M165" i="5"/>
  <c r="M176" i="5"/>
  <c r="M185" i="5"/>
  <c r="M191" i="5"/>
  <c r="M200" i="5"/>
  <c r="M211" i="5"/>
  <c r="M326" i="5"/>
  <c r="M338" i="5"/>
  <c r="M344" i="5"/>
  <c r="M350" i="5"/>
  <c r="M391" i="5"/>
  <c r="M433" i="5"/>
  <c r="M447" i="5"/>
  <c r="M453" i="5"/>
  <c r="M477" i="5"/>
  <c r="M483" i="5"/>
  <c r="M517" i="5"/>
  <c r="M538" i="5"/>
  <c r="M544" i="5"/>
  <c r="M557" i="5"/>
  <c r="M570" i="5"/>
  <c r="M607" i="5"/>
  <c r="M625" i="5"/>
  <c r="M489" i="5"/>
  <c r="M169" i="5"/>
  <c r="M258" i="5"/>
  <c r="M888" i="3"/>
  <c r="M884" i="3"/>
  <c r="M883" i="3"/>
  <c r="M882" i="3"/>
  <c r="M868" i="3"/>
  <c r="M857" i="3"/>
  <c r="M854" i="3"/>
  <c r="M849" i="3"/>
  <c r="M762" i="3"/>
  <c r="M759" i="3"/>
  <c r="M757" i="3"/>
  <c r="M739" i="3"/>
  <c r="M733" i="3"/>
  <c r="M730" i="3"/>
  <c r="M727" i="3"/>
  <c r="M722" i="3"/>
  <c r="M700" i="3"/>
  <c r="M697" i="3"/>
  <c r="M694" i="3"/>
  <c r="M615" i="3"/>
  <c r="M614" i="3"/>
  <c r="M613" i="3"/>
  <c r="M609" i="3"/>
  <c r="M608" i="3"/>
  <c r="M607" i="3"/>
  <c r="M592" i="3"/>
  <c r="M591" i="3"/>
  <c r="M590" i="3"/>
  <c r="M589" i="3"/>
  <c r="M588" i="3"/>
  <c r="M587" i="3"/>
  <c r="M547" i="3"/>
  <c r="M544" i="3"/>
  <c r="M541" i="3"/>
  <c r="M512" i="3"/>
  <c r="M509" i="3"/>
  <c r="M505" i="3"/>
  <c r="M502" i="3"/>
  <c r="M491" i="3"/>
  <c r="M450" i="3"/>
  <c r="M345" i="3"/>
  <c r="M323" i="3"/>
  <c r="M314" i="3"/>
  <c r="M301" i="3"/>
  <c r="M296" i="3"/>
  <c r="M283" i="3"/>
  <c r="M153" i="3"/>
  <c r="M73" i="3"/>
  <c r="M71" i="3"/>
  <c r="M30" i="3"/>
  <c r="L974" i="3"/>
  <c r="L972" i="3"/>
  <c r="L971" i="3" s="1"/>
  <c r="L970" i="3"/>
  <c r="L963" i="3"/>
  <c r="L962" i="3" s="1"/>
  <c r="L961" i="3"/>
  <c r="L960" i="3" s="1"/>
  <c r="L959" i="3"/>
  <c r="L958" i="3" s="1"/>
  <c r="L955" i="3"/>
  <c r="L953" i="3"/>
  <c r="L952" i="3" s="1"/>
  <c r="L948" i="3"/>
  <c r="L946" i="3"/>
  <c r="L945" i="3" s="1"/>
  <c r="L940" i="3"/>
  <c r="L935" i="3"/>
  <c r="L931" i="3"/>
  <c r="L930" i="3" s="1"/>
  <c r="L928" i="3"/>
  <c r="L927" i="3" s="1"/>
  <c r="L925" i="3"/>
  <c r="L922" i="3"/>
  <c r="L919" i="3"/>
  <c r="L912" i="3"/>
  <c r="L908" i="3"/>
  <c r="L904" i="3"/>
  <c r="L902" i="3"/>
  <c r="L887" i="3"/>
  <c r="L886" i="3" s="1"/>
  <c r="L885" i="3" s="1"/>
  <c r="L881" i="3"/>
  <c r="L880" i="3"/>
  <c r="L879" i="3"/>
  <c r="L873" i="3"/>
  <c r="L867" i="3"/>
  <c r="L864" i="3"/>
  <c r="L863" i="3" s="1"/>
  <c r="L860" i="3"/>
  <c r="L859" i="3" s="1"/>
  <c r="L856" i="3"/>
  <c r="L855" i="3" s="1"/>
  <c r="L853" i="3"/>
  <c r="L852" i="3" s="1"/>
  <c r="L851" i="3"/>
  <c r="L848" i="3"/>
  <c r="L845" i="3"/>
  <c r="L844" i="3" s="1"/>
  <c r="L841" i="3"/>
  <c r="L840" i="3" s="1"/>
  <c r="L837" i="3"/>
  <c r="L835" i="3"/>
  <c r="L831" i="3"/>
  <c r="L827" i="3"/>
  <c r="L823" i="3"/>
  <c r="L820" i="3"/>
  <c r="L818" i="3"/>
  <c r="L816" i="3"/>
  <c r="L815" i="3" s="1"/>
  <c r="L810" i="3"/>
  <c r="L809" i="3" s="1"/>
  <c r="L803" i="3"/>
  <c r="L802" i="3" s="1"/>
  <c r="L801" i="3"/>
  <c r="L799" i="3"/>
  <c r="L798" i="3" s="1"/>
  <c r="L795" i="3"/>
  <c r="L793" i="3"/>
  <c r="L788" i="3"/>
  <c r="L784" i="3"/>
  <c r="L783" i="3" s="1"/>
  <c r="L781" i="3"/>
  <c r="L780" i="3" s="1"/>
  <c r="L778" i="3"/>
  <c r="L777" i="3" s="1"/>
  <c r="L773" i="3"/>
  <c r="L772" i="3" s="1"/>
  <c r="L767" i="3"/>
  <c r="L764" i="3"/>
  <c r="L761" i="3"/>
  <c r="L758" i="3"/>
  <c r="L756" i="3"/>
  <c r="L752" i="3"/>
  <c r="L751" i="3" s="1"/>
  <c r="L748" i="3"/>
  <c r="L745" i="3"/>
  <c r="L742" i="3"/>
  <c r="L738" i="3"/>
  <c r="L737" i="3" s="1"/>
  <c r="L736" i="3" s="1"/>
  <c r="L735" i="3"/>
  <c r="L734" i="3" s="1"/>
  <c r="L732" i="3"/>
  <c r="L731" i="3" s="1"/>
  <c r="L729" i="3"/>
  <c r="L728" i="3" s="1"/>
  <c r="L726" i="3"/>
  <c r="L725" i="3" s="1"/>
  <c r="L724" i="3"/>
  <c r="L723" i="3" s="1"/>
  <c r="L721" i="3"/>
  <c r="L719" i="3"/>
  <c r="L718" i="3" s="1"/>
  <c r="L715" i="3"/>
  <c r="L712" i="3"/>
  <c r="L709" i="3"/>
  <c r="L706" i="3"/>
  <c r="L703" i="3"/>
  <c r="L702" i="3" s="1"/>
  <c r="L699" i="3"/>
  <c r="L698" i="3" s="1"/>
  <c r="L696" i="3"/>
  <c r="L695" i="3" s="1"/>
  <c r="L693" i="3"/>
  <c r="L692" i="3" s="1"/>
  <c r="L691" i="3"/>
  <c r="L688" i="3"/>
  <c r="L681" i="3"/>
  <c r="L679" i="3"/>
  <c r="L677" i="3"/>
  <c r="L674" i="3"/>
  <c r="L673" i="3" s="1"/>
  <c r="L670" i="3"/>
  <c r="L669" i="3" s="1"/>
  <c r="L668" i="3" s="1"/>
  <c r="L667" i="3" s="1"/>
  <c r="L666" i="3"/>
  <c r="L665" i="3" s="1"/>
  <c r="L664" i="3"/>
  <c r="L663" i="3" s="1"/>
  <c r="L659" i="3"/>
  <c r="L658" i="3" s="1"/>
  <c r="L657" i="3"/>
  <c r="L649" i="3"/>
  <c r="L648" i="3" s="1"/>
  <c r="L644" i="3"/>
  <c r="L643" i="3" s="1"/>
  <c r="L638" i="3"/>
  <c r="L635" i="3"/>
  <c r="L634" i="3" s="1"/>
  <c r="L632" i="3"/>
  <c r="L627" i="3"/>
  <c r="L624" i="3"/>
  <c r="L623" i="3" s="1"/>
  <c r="L621" i="3"/>
  <c r="L618" i="3"/>
  <c r="L617" i="3" s="1"/>
  <c r="L612" i="3"/>
  <c r="L606" i="3"/>
  <c r="L601" i="3"/>
  <c r="L598" i="3"/>
  <c r="L595" i="3"/>
  <c r="L594" i="3" s="1"/>
  <c r="L586" i="3"/>
  <c r="L581" i="3"/>
  <c r="L574" i="3"/>
  <c r="L568" i="3"/>
  <c r="L567" i="3" s="1"/>
  <c r="L565" i="3"/>
  <c r="L564" i="3" s="1"/>
  <c r="L563" i="3" s="1"/>
  <c r="L562" i="3"/>
  <c r="L561" i="3" s="1"/>
  <c r="L560" i="3" s="1"/>
  <c r="L559" i="3"/>
  <c r="L558" i="3" s="1"/>
  <c r="L556" i="3"/>
  <c r="L555" i="3" s="1"/>
  <c r="L553" i="3"/>
  <c r="L552" i="3" s="1"/>
  <c r="L550" i="3"/>
  <c r="L546" i="3"/>
  <c r="L545" i="3" s="1"/>
  <c r="L543" i="3"/>
  <c r="L542" i="3"/>
  <c r="L540" i="3"/>
  <c r="L539" i="3"/>
  <c r="L536" i="3"/>
  <c r="L535" i="3" s="1"/>
  <c r="L533" i="3"/>
  <c r="L532" i="3" s="1"/>
  <c r="L530" i="3"/>
  <c r="L527" i="3"/>
  <c r="L524" i="3"/>
  <c r="L523" i="3" s="1"/>
  <c r="L522" i="3" s="1"/>
  <c r="L521" i="3"/>
  <c r="L518" i="3"/>
  <c r="L515" i="3"/>
  <c r="L511" i="3"/>
  <c r="L510" i="3" s="1"/>
  <c r="L508" i="3"/>
  <c r="L507" i="3" s="1"/>
  <c r="L506" i="3" s="1"/>
  <c r="L504" i="3"/>
  <c r="L503" i="3" s="1"/>
  <c r="L501" i="3"/>
  <c r="L500" i="3" s="1"/>
  <c r="L499" i="3" s="1"/>
  <c r="L497" i="3"/>
  <c r="L490" i="3"/>
  <c r="L489" i="3"/>
  <c r="L488" i="3"/>
  <c r="L487" i="3" s="1"/>
  <c r="L485" i="3"/>
  <c r="L484" i="3" s="1"/>
  <c r="L483" i="3" s="1"/>
  <c r="L482" i="3"/>
  <c r="L479" i="3"/>
  <c r="L476" i="3"/>
  <c r="L471" i="3"/>
  <c r="L468" i="3"/>
  <c r="L467" i="3" s="1"/>
  <c r="L465" i="3"/>
  <c r="L464" i="3" s="1"/>
  <c r="L463" i="3" s="1"/>
  <c r="L462" i="3"/>
  <c r="L459" i="3"/>
  <c r="L456" i="3"/>
  <c r="L455" i="3"/>
  <c r="L453" i="3"/>
  <c r="L452" i="3" s="1"/>
  <c r="L449" i="3"/>
  <c r="L448" i="3" s="1"/>
  <c r="L446" i="3"/>
  <c r="L445" i="3" s="1"/>
  <c r="L439" i="3"/>
  <c r="L437" i="3"/>
  <c r="L434" i="3"/>
  <c r="L433" i="3" s="1"/>
  <c r="L432" i="3" s="1"/>
  <c r="L430" i="3"/>
  <c r="L428" i="3"/>
  <c r="L427" i="3" s="1"/>
  <c r="L426" i="3"/>
  <c r="L425" i="3"/>
  <c r="L420" i="3"/>
  <c r="L419" i="3" s="1"/>
  <c r="L417" i="3"/>
  <c r="L416" i="3" s="1"/>
  <c r="L415" i="3" s="1"/>
  <c r="L414" i="3"/>
  <c r="L410" i="3"/>
  <c r="L407" i="3"/>
  <c r="L404" i="3"/>
  <c r="L403" i="3" s="1"/>
  <c r="L396" i="3"/>
  <c r="L395" i="3"/>
  <c r="L392" i="3"/>
  <c r="L389" i="3"/>
  <c r="L388" i="3" s="1"/>
  <c r="L387" i="3" s="1"/>
  <c r="L386" i="3"/>
  <c r="L383" i="3"/>
  <c r="L382" i="3" s="1"/>
  <c r="L381" i="3"/>
  <c r="L377" i="3"/>
  <c r="L376" i="3" s="1"/>
  <c r="L375" i="3" s="1"/>
  <c r="L374" i="3"/>
  <c r="L371" i="3"/>
  <c r="L370" i="3" s="1"/>
  <c r="L369" i="3"/>
  <c r="L368" i="3" s="1"/>
  <c r="L366" i="3"/>
  <c r="L365" i="3" s="1"/>
  <c r="L360" i="3"/>
  <c r="L357" i="3"/>
  <c r="L354" i="3"/>
  <c r="L353" i="3" s="1"/>
  <c r="L351" i="3"/>
  <c r="L350" i="3" s="1"/>
  <c r="L349" i="3"/>
  <c r="L348" i="3" s="1"/>
  <c r="L346" i="3"/>
  <c r="L343" i="3"/>
  <c r="L342" i="3" s="1"/>
  <c r="L339" i="3"/>
  <c r="L338" i="3" s="1"/>
  <c r="L336" i="3"/>
  <c r="L335" i="3" s="1"/>
  <c r="L334" i="3"/>
  <c r="L331" i="3"/>
  <c r="L322" i="3"/>
  <c r="L321" i="3" s="1"/>
  <c r="L320" i="3"/>
  <c r="L319" i="3" s="1"/>
  <c r="L317" i="3"/>
  <c r="L313" i="3"/>
  <c r="L312" i="3"/>
  <c r="L309" i="3"/>
  <c r="L308" i="3" s="1"/>
  <c r="L304" i="3"/>
  <c r="L303" i="3" s="1"/>
  <c r="L302" i="3" s="1"/>
  <c r="L300" i="3"/>
  <c r="L299" i="3"/>
  <c r="L295" i="3"/>
  <c r="L294" i="3"/>
  <c r="L291" i="3"/>
  <c r="L290" i="3" s="1"/>
  <c r="L288" i="3"/>
  <c r="L287" i="3" s="1"/>
  <c r="L285" i="3"/>
  <c r="L284" i="3" s="1"/>
  <c r="L282" i="3"/>
  <c r="L276" i="3"/>
  <c r="L275" i="3" s="1"/>
  <c r="L274" i="3"/>
  <c r="L271" i="3"/>
  <c r="L266" i="3"/>
  <c r="L261" i="3"/>
  <c r="L259" i="3"/>
  <c r="L258" i="3" s="1"/>
  <c r="L254" i="3"/>
  <c r="L248" i="3"/>
  <c r="L247" i="3" s="1"/>
  <c r="L245" i="3"/>
  <c r="L244" i="3" s="1"/>
  <c r="L243" i="3" s="1"/>
  <c r="L240" i="3"/>
  <c r="L239" i="3" s="1"/>
  <c r="L237" i="3"/>
  <c r="L236" i="3" s="1"/>
  <c r="L231" i="3"/>
  <c r="L228" i="3"/>
  <c r="L226" i="3"/>
  <c r="L225" i="3" s="1"/>
  <c r="L223" i="3"/>
  <c r="L220" i="3"/>
  <c r="L219" i="3" s="1"/>
  <c r="L213" i="3"/>
  <c r="L212" i="3" s="1"/>
  <c r="L206" i="3"/>
  <c r="L204" i="3"/>
  <c r="L203" i="3" s="1"/>
  <c r="L202" i="3"/>
  <c r="L201" i="3" s="1"/>
  <c r="L198" i="3"/>
  <c r="L197" i="3"/>
  <c r="L194" i="3"/>
  <c r="L193" i="3" s="1"/>
  <c r="L192" i="3"/>
  <c r="L191" i="3" s="1"/>
  <c r="L189" i="3"/>
  <c r="L188" i="3" s="1"/>
  <c r="L187" i="3"/>
  <c r="L184" i="3"/>
  <c r="L181" i="3"/>
  <c r="L180" i="3" s="1"/>
  <c r="L177" i="3"/>
  <c r="L176" i="3" s="1"/>
  <c r="L175" i="3"/>
  <c r="L172" i="3"/>
  <c r="L171" i="3" s="1"/>
  <c r="L170" i="3"/>
  <c r="L169" i="3" s="1"/>
  <c r="L164" i="3"/>
  <c r="L163" i="3" s="1"/>
  <c r="L161" i="3"/>
  <c r="L160" i="3" s="1"/>
  <c r="L158" i="3"/>
  <c r="L157" i="3" s="1"/>
  <c r="L156" i="3"/>
  <c r="L152" i="3"/>
  <c r="L151" i="3"/>
  <c r="L150" i="3" s="1"/>
  <c r="L148" i="3"/>
  <c r="L143" i="3"/>
  <c r="L142" i="3" s="1"/>
  <c r="L139" i="3"/>
  <c r="L138" i="3" s="1"/>
  <c r="L136" i="3"/>
  <c r="L133" i="3"/>
  <c r="L130" i="3"/>
  <c r="L129" i="3" s="1"/>
  <c r="L128" i="3" s="1"/>
  <c r="L126" i="3"/>
  <c r="L125" i="3" s="1"/>
  <c r="L124" i="3" s="1"/>
  <c r="L123" i="3"/>
  <c r="L120" i="3"/>
  <c r="L117" i="3"/>
  <c r="L116" i="3" s="1"/>
  <c r="L114" i="3"/>
  <c r="L113" i="3" s="1"/>
  <c r="L112" i="3" s="1"/>
  <c r="L110" i="3"/>
  <c r="L109" i="3" s="1"/>
  <c r="L108" i="3" s="1"/>
  <c r="L106" i="3"/>
  <c r="L105" i="3" s="1"/>
  <c r="L104" i="3" s="1"/>
  <c r="L102" i="3"/>
  <c r="L98" i="3"/>
  <c r="L97" i="3" s="1"/>
  <c r="L96" i="3" s="1"/>
  <c r="L90" i="3"/>
  <c r="L87" i="3"/>
  <c r="L86" i="3" s="1"/>
  <c r="L85" i="3"/>
  <c r="L84" i="3" s="1"/>
  <c r="L82" i="3"/>
  <c r="L81" i="3" s="1"/>
  <c r="L80" i="3" s="1"/>
  <c r="L78" i="3"/>
  <c r="L77" i="3" s="1"/>
  <c r="L72" i="3"/>
  <c r="L70" i="3"/>
  <c r="L65" i="3"/>
  <c r="L63" i="3"/>
  <c r="L62" i="3" s="1"/>
  <c r="L61" i="3"/>
  <c r="L60" i="3" s="1"/>
  <c r="L55" i="3"/>
  <c r="L54" i="3" s="1"/>
  <c r="L53" i="3"/>
  <c r="L52" i="3" s="1"/>
  <c r="L49" i="3"/>
  <c r="L48" i="3" s="1"/>
  <c r="L47" i="3"/>
  <c r="L46" i="3" s="1"/>
  <c r="L44" i="3"/>
  <c r="L40" i="3"/>
  <c r="L38" i="3"/>
  <c r="L37" i="3" s="1"/>
  <c r="L36" i="3"/>
  <c r="L29" i="3"/>
  <c r="L28" i="3"/>
  <c r="L26" i="3"/>
  <c r="L25" i="3" s="1"/>
  <c r="L20" i="3"/>
  <c r="L18" i="3"/>
  <c r="L17" i="3" s="1"/>
  <c r="L347" i="3" l="1"/>
  <c r="L69" i="3"/>
  <c r="L68" i="3" s="1"/>
  <c r="L67" i="3" s="1"/>
  <c r="L66" i="3" s="1"/>
  <c r="L755" i="3"/>
  <c r="L168" i="3"/>
  <c r="M25" i="5"/>
  <c r="M24" i="5" s="1"/>
  <c r="O36" i="3"/>
  <c r="L281" i="3"/>
  <c r="L858" i="3"/>
  <c r="L866" i="3"/>
  <c r="L196" i="3"/>
  <c r="L195" i="3" s="1"/>
  <c r="H28" i="6"/>
  <c r="H29" i="6"/>
  <c r="L39" i="3"/>
  <c r="L83" i="3"/>
  <c r="L141" i="3"/>
  <c r="L218" i="3"/>
  <c r="L51" i="3"/>
  <c r="L337" i="3"/>
  <c r="L776" i="3"/>
  <c r="L89" i="3"/>
  <c r="L101" i="3"/>
  <c r="L115" i="3"/>
  <c r="L137" i="3"/>
  <c r="L149" i="3"/>
  <c r="L27" i="3"/>
  <c r="L19" i="3"/>
  <c r="L16" i="3" s="1"/>
  <c r="L132" i="3"/>
  <c r="L926" i="3"/>
  <c r="L45" i="3"/>
  <c r="L122" i="3"/>
  <c r="L155" i="3"/>
  <c r="L162" i="3"/>
  <c r="L318" i="3"/>
  <c r="L190" i="3"/>
  <c r="L246" i="3"/>
  <c r="L352" i="3"/>
  <c r="L438" i="3"/>
  <c r="L496" i="3"/>
  <c r="L551" i="3"/>
  <c r="L620" i="3"/>
  <c r="L678" i="3"/>
  <c r="L817" i="3"/>
  <c r="L839" i="3"/>
  <c r="L872" i="3"/>
  <c r="L907" i="3"/>
  <c r="L929" i="3"/>
  <c r="L43" i="3"/>
  <c r="L135" i="3"/>
  <c r="L260" i="3"/>
  <c r="L316" i="3"/>
  <c r="L373" i="3"/>
  <c r="L409" i="3"/>
  <c r="L444" i="3"/>
  <c r="L486" i="3"/>
  <c r="L526" i="3"/>
  <c r="L611" i="3"/>
  <c r="L622" i="3"/>
  <c r="L672" i="3"/>
  <c r="L701" i="3"/>
  <c r="L744" i="3"/>
  <c r="L766" i="3"/>
  <c r="L782" i="3"/>
  <c r="L843" i="3"/>
  <c r="L954" i="3"/>
  <c r="L951" i="3" s="1"/>
  <c r="L35" i="3"/>
  <c r="L64" i="3"/>
  <c r="L59" i="3" s="1"/>
  <c r="L107" i="3"/>
  <c r="L119" i="3"/>
  <c r="L179" i="3"/>
  <c r="L186" i="3"/>
  <c r="L230" i="3"/>
  <c r="L253" i="3"/>
  <c r="L270" i="3"/>
  <c r="L356" i="3"/>
  <c r="L367" i="3"/>
  <c r="L391" i="3"/>
  <c r="L413" i="3"/>
  <c r="L478" i="3"/>
  <c r="L529" i="3"/>
  <c r="L554" i="3"/>
  <c r="L585" i="3"/>
  <c r="L600" i="3"/>
  <c r="L616" i="3"/>
  <c r="L714" i="3"/>
  <c r="L720" i="3"/>
  <c r="L787" i="3"/>
  <c r="L808" i="3"/>
  <c r="L834" i="3"/>
  <c r="L901" i="3"/>
  <c r="L934" i="3"/>
  <c r="L947" i="3"/>
  <c r="L973" i="3"/>
  <c r="L174" i="3"/>
  <c r="L222" i="3"/>
  <c r="L238" i="3"/>
  <c r="L293" i="3"/>
  <c r="L364" i="3"/>
  <c r="L380" i="3"/>
  <c r="L418" i="3"/>
  <c r="L429" i="3"/>
  <c r="L424" i="3" s="1"/>
  <c r="L461" i="3"/>
  <c r="L534" i="3"/>
  <c r="L741" i="3"/>
  <c r="L771" i="3"/>
  <c r="L794" i="3"/>
  <c r="L921" i="3"/>
  <c r="L24" i="3"/>
  <c r="L103" i="3"/>
  <c r="L211" i="3"/>
  <c r="L289" i="3"/>
  <c r="L333" i="3"/>
  <c r="L454" i="3"/>
  <c r="L662" i="3"/>
  <c r="L95" i="3"/>
  <c r="L147" i="3"/>
  <c r="L159" i="3"/>
  <c r="L183" i="3"/>
  <c r="L205" i="3"/>
  <c r="L227" i="3"/>
  <c r="L235" i="3"/>
  <c r="L265" i="3"/>
  <c r="L273" i="3"/>
  <c r="L286" i="3"/>
  <c r="L311" i="3"/>
  <c r="L330" i="3"/>
  <c r="L344" i="3"/>
  <c r="L359" i="3"/>
  <c r="L385" i="3"/>
  <c r="L394" i="3"/>
  <c r="L436" i="3"/>
  <c r="L435" i="3" s="1"/>
  <c r="L458" i="3"/>
  <c r="L470" i="3"/>
  <c r="L481" i="3"/>
  <c r="L517" i="3"/>
  <c r="L549" i="3"/>
  <c r="L557" i="3"/>
  <c r="L573" i="3"/>
  <c r="L593" i="3"/>
  <c r="L626" i="3"/>
  <c r="L637" i="3"/>
  <c r="L647" i="3"/>
  <c r="L676" i="3"/>
  <c r="L690" i="3"/>
  <c r="L705" i="3"/>
  <c r="L717" i="3"/>
  <c r="L763" i="3"/>
  <c r="L826" i="3"/>
  <c r="L836" i="3"/>
  <c r="L903" i="3"/>
  <c r="L918" i="3"/>
  <c r="L939" i="3"/>
  <c r="L969" i="3"/>
  <c r="L402" i="3"/>
  <c r="L451" i="3"/>
  <c r="L475" i="3"/>
  <c r="L520" i="3"/>
  <c r="L531" i="3"/>
  <c r="L566" i="3"/>
  <c r="L580" i="3"/>
  <c r="L605" i="3"/>
  <c r="L631" i="3"/>
  <c r="L656" i="3"/>
  <c r="L680" i="3"/>
  <c r="L708" i="3"/>
  <c r="L747" i="3"/>
  <c r="L779" i="3"/>
  <c r="L792" i="3"/>
  <c r="L819" i="3"/>
  <c r="L830" i="3"/>
  <c r="L850" i="3"/>
  <c r="L878" i="3"/>
  <c r="L911" i="3"/>
  <c r="L924" i="3"/>
  <c r="L406" i="3"/>
  <c r="L466" i="3"/>
  <c r="L514" i="3"/>
  <c r="L597" i="3"/>
  <c r="L633" i="3"/>
  <c r="L687" i="3"/>
  <c r="L711" i="3"/>
  <c r="L750" i="3"/>
  <c r="L800" i="3"/>
  <c r="L822" i="3"/>
  <c r="L862" i="3"/>
  <c r="M606" i="5"/>
  <c r="M556" i="5"/>
  <c r="M482" i="5"/>
  <c r="M325" i="5"/>
  <c r="M409" i="5"/>
  <c r="M432" i="5"/>
  <c r="M148" i="5"/>
  <c r="M573" i="5"/>
  <c r="M500" i="5"/>
  <c r="M373" i="5"/>
  <c r="M452" i="5"/>
  <c r="M390" i="5"/>
  <c r="M190" i="5"/>
  <c r="M77" i="5"/>
  <c r="M614" i="5"/>
  <c r="M610" i="5"/>
  <c r="M319" i="5"/>
  <c r="M586" i="5"/>
  <c r="M139" i="5"/>
  <c r="M247" i="5"/>
  <c r="M624" i="5"/>
  <c r="M543" i="5"/>
  <c r="M349" i="5"/>
  <c r="M337" i="5"/>
  <c r="M184" i="5"/>
  <c r="M115" i="5"/>
  <c r="M63" i="5"/>
  <c r="M440" i="5"/>
  <c r="M397" i="5"/>
  <c r="M255" i="5"/>
  <c r="M178" i="5"/>
  <c r="M70" i="5"/>
  <c r="M526" i="5"/>
  <c r="M136" i="5"/>
  <c r="M474" i="5"/>
  <c r="M181" i="5"/>
  <c r="M164" i="5"/>
  <c r="M40" i="5"/>
  <c r="M630" i="5"/>
  <c r="M527" i="5"/>
  <c r="M494" i="5"/>
  <c r="M488" i="5" s="1"/>
  <c r="M564" i="5"/>
  <c r="M307" i="5"/>
  <c r="M343" i="5"/>
  <c r="M160" i="5"/>
  <c r="M535" i="5"/>
  <c r="M111" i="5"/>
  <c r="M415" i="5"/>
  <c r="M193" i="5"/>
  <c r="M273" i="5"/>
  <c r="M355" i="5"/>
  <c r="M436" i="5"/>
  <c r="M289" i="5"/>
  <c r="M213" i="5"/>
  <c r="M602" i="5"/>
  <c r="M605" i="5" s="1"/>
  <c r="M462" i="5"/>
  <c r="M516" i="5"/>
  <c r="M446" i="5"/>
  <c r="M175" i="5"/>
  <c r="M103" i="5"/>
  <c r="M47" i="5"/>
  <c r="M15" i="5"/>
  <c r="M281" i="5"/>
  <c r="M118" i="5"/>
  <c r="M387" i="5"/>
  <c r="M235" i="5"/>
  <c r="M99" i="5"/>
  <c r="M592" i="5"/>
  <c r="M403" i="5"/>
  <c r="M54" i="5"/>
  <c r="M616" i="5"/>
  <c r="M241" i="5"/>
  <c r="M295" i="5"/>
  <c r="M506" i="5"/>
  <c r="M270" i="5"/>
  <c r="L75" i="3"/>
  <c r="L76" i="3"/>
  <c r="L641" i="3"/>
  <c r="L642" i="3"/>
  <c r="L829" i="3"/>
  <c r="L957" i="3"/>
  <c r="M421" i="5" l="1"/>
  <c r="M420" i="5" s="1"/>
  <c r="L916" i="3"/>
  <c r="L814" i="3"/>
  <c r="L833" i="3"/>
  <c r="L832" i="3" s="1"/>
  <c r="L865" i="3"/>
  <c r="H48" i="6"/>
  <c r="L915" i="3"/>
  <c r="L861" i="3"/>
  <c r="L847" i="3"/>
  <c r="L630" i="3"/>
  <c r="L572" i="3"/>
  <c r="L950" i="3"/>
  <c r="L121" i="3"/>
  <c r="L140" i="3"/>
  <c r="L686" i="3"/>
  <c r="L513" i="3"/>
  <c r="L707" i="3"/>
  <c r="L579" i="3"/>
  <c r="L825" i="3"/>
  <c r="L636" i="3"/>
  <c r="L264" i="3"/>
  <c r="L210" i="3"/>
  <c r="L920" i="3"/>
  <c r="L944" i="3"/>
  <c r="L842" i="3"/>
  <c r="L765" i="3"/>
  <c r="L619" i="3"/>
  <c r="L200" i="3"/>
  <c r="L675" i="3"/>
  <c r="L797" i="3"/>
  <c r="L923" i="3"/>
  <c r="L828" i="3"/>
  <c r="L746" i="3"/>
  <c r="L655" i="3"/>
  <c r="L968" i="3"/>
  <c r="L917" i="3"/>
  <c r="L625" i="3"/>
  <c r="L516" i="3"/>
  <c r="L457" i="3"/>
  <c r="L358" i="3"/>
  <c r="L310" i="3"/>
  <c r="L182" i="3"/>
  <c r="L292" i="3"/>
  <c r="L933" i="3"/>
  <c r="L807" i="3"/>
  <c r="L599" i="3"/>
  <c r="L118" i="3"/>
  <c r="L111" i="3" s="1"/>
  <c r="L525" i="3"/>
  <c r="L372" i="3"/>
  <c r="L363" i="3" s="1"/>
  <c r="L257" i="3"/>
  <c r="L100" i="3"/>
  <c r="L775" i="3"/>
  <c r="L58" i="3"/>
  <c r="L910" i="3"/>
  <c r="L938" i="3"/>
  <c r="L646" i="3"/>
  <c r="L548" i="3"/>
  <c r="L480" i="3"/>
  <c r="L384" i="3"/>
  <c r="L229" i="3"/>
  <c r="L423" i="3"/>
  <c r="L749" i="3"/>
  <c r="L596" i="3"/>
  <c r="L877" i="3"/>
  <c r="L604" i="3"/>
  <c r="L474" i="3"/>
  <c r="L760" i="3"/>
  <c r="L704" i="3"/>
  <c r="L393" i="3"/>
  <c r="L341" i="3"/>
  <c r="L379" i="3"/>
  <c r="L900" i="3"/>
  <c r="L786" i="3"/>
  <c r="L713" i="3"/>
  <c r="L584" i="3"/>
  <c r="L252" i="3"/>
  <c r="L224" i="3"/>
  <c r="L15" i="3"/>
  <c r="L495" i="3"/>
  <c r="L154" i="3"/>
  <c r="L88" i="3"/>
  <c r="L50" i="3"/>
  <c r="L329" i="3"/>
  <c r="L661" i="3"/>
  <c r="L332" i="3"/>
  <c r="L23" i="3"/>
  <c r="L740" i="3"/>
  <c r="L477" i="3"/>
  <c r="L390" i="3"/>
  <c r="L355" i="3"/>
  <c r="L185" i="3"/>
  <c r="L610" i="3"/>
  <c r="L408" i="3"/>
  <c r="L134" i="3"/>
  <c r="L906" i="3"/>
  <c r="L838" i="3"/>
  <c r="L131" i="3"/>
  <c r="L956" i="3"/>
  <c r="L431" i="3"/>
  <c r="L640" i="3"/>
  <c r="L821" i="3"/>
  <c r="L710" i="3"/>
  <c r="L405" i="3"/>
  <c r="L791" i="3"/>
  <c r="L519" i="3"/>
  <c r="L689" i="3"/>
  <c r="L469" i="3"/>
  <c r="L272" i="3"/>
  <c r="L234" i="3"/>
  <c r="L146" i="3"/>
  <c r="L460" i="3"/>
  <c r="L447" i="3" s="1"/>
  <c r="L221" i="3"/>
  <c r="L173" i="3"/>
  <c r="L528" i="3"/>
  <c r="L412" i="3"/>
  <c r="L269" i="3"/>
  <c r="L34" i="3"/>
  <c r="L743" i="3"/>
  <c r="L443" i="3"/>
  <c r="L315" i="3"/>
  <c r="L42" i="3"/>
  <c r="L871" i="3"/>
  <c r="L242" i="3"/>
  <c r="M288" i="5"/>
  <c r="M39" i="5"/>
  <c r="M577" i="5"/>
  <c r="M76" i="5"/>
  <c r="M609" i="5"/>
  <c r="M598" i="5" s="1"/>
  <c r="M505" i="5"/>
  <c r="M240" i="5"/>
  <c r="M615" i="5"/>
  <c r="M46" i="5"/>
  <c r="M174" i="5"/>
  <c r="M210" i="5"/>
  <c r="M110" i="5"/>
  <c r="M629" i="5"/>
  <c r="M396" i="5"/>
  <c r="M62" i="5"/>
  <c r="M461" i="5"/>
  <c r="M466" i="5"/>
  <c r="M272" i="5"/>
  <c r="M470" i="5"/>
  <c r="M263" i="5"/>
  <c r="M114" i="5"/>
  <c r="M246" i="5"/>
  <c r="M512" i="5"/>
  <c r="M53" i="5"/>
  <c r="M234" i="5"/>
  <c r="M354" i="5"/>
  <c r="M125" i="5"/>
  <c r="M294" i="5"/>
  <c r="M365" i="5"/>
  <c r="M280" i="5"/>
  <c r="M20" i="5"/>
  <c r="M12" i="5"/>
  <c r="M14" i="5"/>
  <c r="M102" i="5"/>
  <c r="M69" i="5"/>
  <c r="M336" i="5"/>
  <c r="M623" i="5"/>
  <c r="M303" i="5"/>
  <c r="M555" i="5"/>
  <c r="M576" i="5"/>
  <c r="M23" i="5"/>
  <c r="M487" i="5"/>
  <c r="L178" i="3" l="1"/>
  <c r="L949" i="3"/>
  <c r="L14" i="3"/>
  <c r="L251" i="3"/>
  <c r="L340" i="3"/>
  <c r="L937" i="3"/>
  <c r="L909" i="3"/>
  <c r="L99" i="3"/>
  <c r="L796" i="3"/>
  <c r="L824" i="3"/>
  <c r="L685" i="3"/>
  <c r="L846" i="3"/>
  <c r="L411" i="3"/>
  <c r="L268" i="3"/>
  <c r="L716" i="3"/>
  <c r="L217" i="3"/>
  <c r="L583" i="3"/>
  <c r="L967" i="3"/>
  <c r="L209" i="3"/>
  <c r="L498" i="3"/>
  <c r="L629" i="3"/>
  <c r="L41" i="3"/>
  <c r="L442" i="3"/>
  <c r="L790" i="3"/>
  <c r="L422" i="3"/>
  <c r="L328" i="3"/>
  <c r="L494" i="3"/>
  <c r="L785" i="3"/>
  <c r="L280" i="3"/>
  <c r="L645" i="3"/>
  <c r="L639" i="3" s="1"/>
  <c r="L256" i="3"/>
  <c r="L806" i="3"/>
  <c r="L805" i="3"/>
  <c r="L671" i="3"/>
  <c r="L199" i="3"/>
  <c r="L943" i="3"/>
  <c r="L263" i="3"/>
  <c r="L813" i="3"/>
  <c r="L571" i="3"/>
  <c r="L241" i="3"/>
  <c r="L905" i="3"/>
  <c r="L473" i="3"/>
  <c r="L57" i="3"/>
  <c r="L33" i="3"/>
  <c r="L127" i="3"/>
  <c r="L22" i="3"/>
  <c r="L899" i="3"/>
  <c r="L378" i="3"/>
  <c r="L603" i="3"/>
  <c r="L932" i="3"/>
  <c r="L538" i="3"/>
  <c r="M597" i="5"/>
  <c r="M622" i="5"/>
  <c r="M101" i="5"/>
  <c r="M22" i="5"/>
  <c r="M68" i="5"/>
  <c r="M13" i="5"/>
  <c r="M52" i="5"/>
  <c r="M395" i="5"/>
  <c r="M628" i="5"/>
  <c r="M173" i="5"/>
  <c r="M419" i="5"/>
  <c r="M331" i="5"/>
  <c r="M279" i="5"/>
  <c r="M124" i="5"/>
  <c r="M511" i="5"/>
  <c r="M251" i="5"/>
  <c r="M510" i="5"/>
  <c r="M364" i="5"/>
  <c r="M293" i="5"/>
  <c r="M353" i="5"/>
  <c r="M233" i="5"/>
  <c r="M460" i="5"/>
  <c r="M109" i="5"/>
  <c r="M209" i="5"/>
  <c r="M75" i="5"/>
  <c r="M595" i="5"/>
  <c r="M287" i="5"/>
  <c r="M302" i="5"/>
  <c r="M469" i="5"/>
  <c r="M271" i="5"/>
  <c r="M61" i="5"/>
  <c r="M45" i="5"/>
  <c r="M245" i="5"/>
  <c r="M239" i="5"/>
  <c r="M38" i="5"/>
  <c r="M486" i="5"/>
  <c r="J38" i="2" l="1"/>
  <c r="L279" i="3"/>
  <c r="L493" i="3"/>
  <c r="L966" i="3"/>
  <c r="L582" i="3"/>
  <c r="L267" i="3"/>
  <c r="L602" i="3"/>
  <c r="L56" i="3"/>
  <c r="L362" i="3"/>
  <c r="L233" i="3"/>
  <c r="L812" i="3"/>
  <c r="L660" i="3"/>
  <c r="L255" i="3"/>
  <c r="L684" i="3"/>
  <c r="L789" i="3"/>
  <c r="L13" i="3"/>
  <c r="L537" i="3"/>
  <c r="L21" i="3"/>
  <c r="L942" i="3"/>
  <c r="L941" i="3" s="1"/>
  <c r="L628" i="3"/>
  <c r="L216" i="3"/>
  <c r="L898" i="3"/>
  <c r="L32" i="3"/>
  <c r="L472" i="3"/>
  <c r="J44" i="2"/>
  <c r="L421" i="3"/>
  <c r="L208" i="3"/>
  <c r="L94" i="3"/>
  <c r="L936" i="3"/>
  <c r="L327" i="3"/>
  <c r="L250" i="3"/>
  <c r="M44" i="5"/>
  <c r="M277" i="5"/>
  <c r="M519" i="5"/>
  <c r="M455" i="5"/>
  <c r="M634" i="5"/>
  <c r="M67" i="5"/>
  <c r="M100" i="5"/>
  <c r="M596" i="5"/>
  <c r="M301" i="5"/>
  <c r="M208" i="5"/>
  <c r="M216" i="5"/>
  <c r="M361" i="5"/>
  <c r="M363" i="5"/>
  <c r="M504" i="5"/>
  <c r="M330" i="5"/>
  <c r="M37" i="5"/>
  <c r="M60" i="5"/>
  <c r="M468" i="5"/>
  <c r="M467" i="5" s="1"/>
  <c r="M108" i="5"/>
  <c r="M123" i="5"/>
  <c r="M152" i="5"/>
  <c r="M394" i="5"/>
  <c r="M51" i="5"/>
  <c r="M36" i="5"/>
  <c r="M621" i="5"/>
  <c r="M286" i="5"/>
  <c r="M278" i="5" s="1"/>
  <c r="M74" i="5"/>
  <c r="M232" i="5"/>
  <c r="M299" i="5"/>
  <c r="M554" i="5"/>
  <c r="M503" i="5"/>
  <c r="M1058" i="4"/>
  <c r="M827" i="4"/>
  <c r="J15" i="2" l="1"/>
  <c r="J25" i="2"/>
  <c r="J17" i="2"/>
  <c r="L249" i="3"/>
  <c r="L914" i="3"/>
  <c r="J33" i="2"/>
  <c r="L897" i="3"/>
  <c r="L262" i="3"/>
  <c r="L965" i="3"/>
  <c r="L278" i="3"/>
  <c r="L31" i="3"/>
  <c r="L774" i="3"/>
  <c r="J27" i="2"/>
  <c r="L492" i="3"/>
  <c r="J50" i="2"/>
  <c r="L207" i="3"/>
  <c r="J21" i="2"/>
  <c r="L215" i="3"/>
  <c r="J14" i="2"/>
  <c r="L441" i="3"/>
  <c r="M485" i="5"/>
  <c r="M106" i="5"/>
  <c r="M553" i="5"/>
  <c r="M238" i="5"/>
  <c r="M292" i="5"/>
  <c r="M21" i="5"/>
  <c r="M59" i="5"/>
  <c r="M199" i="5"/>
  <c r="M43" i="5"/>
  <c r="M122" i="5"/>
  <c r="M107" i="5"/>
  <c r="M66" i="5"/>
  <c r="M393" i="5"/>
  <c r="M362" i="5"/>
  <c r="M328" i="5"/>
  <c r="M73" i="5"/>
  <c r="M85" i="5"/>
  <c r="M627" i="5"/>
  <c r="M418" i="5"/>
  <c r="M151" i="5"/>
  <c r="M329" i="5"/>
  <c r="M50" i="5"/>
  <c r="O1134" i="4"/>
  <c r="O1130" i="4"/>
  <c r="O1116" i="4"/>
  <c r="O1111" i="4"/>
  <c r="O1106" i="4"/>
  <c r="O1104" i="4"/>
  <c r="O1098" i="4"/>
  <c r="O1096" i="4"/>
  <c r="O1094" i="4"/>
  <c r="O1088" i="4"/>
  <c r="O1086" i="4"/>
  <c r="O1078" i="4"/>
  <c r="O1062" i="4"/>
  <c r="O1058" i="4"/>
  <c r="O1056" i="4"/>
  <c r="O1054" i="4"/>
  <c r="O1048" i="4"/>
  <c r="O1045" i="4"/>
  <c r="O1042" i="4"/>
  <c r="O1038" i="4"/>
  <c r="O1035" i="4"/>
  <c r="O1024" i="4"/>
  <c r="O1020" i="4"/>
  <c r="O1017" i="4"/>
  <c r="O1014" i="4"/>
  <c r="O1011" i="4"/>
  <c r="O1009" i="4"/>
  <c r="O1005" i="4"/>
  <c r="O1002" i="4"/>
  <c r="O994" i="4"/>
  <c r="O988" i="4"/>
  <c r="O985" i="4"/>
  <c r="O982" i="4"/>
  <c r="O974" i="4"/>
  <c r="O973" i="4"/>
  <c r="O967" i="4"/>
  <c r="O964" i="4"/>
  <c r="O959" i="4"/>
  <c r="O951" i="4"/>
  <c r="O942" i="4"/>
  <c r="O937" i="4"/>
  <c r="O929" i="4"/>
  <c r="O914" i="4"/>
  <c r="O893" i="4"/>
  <c r="O878" i="4"/>
  <c r="O863" i="4"/>
  <c r="O848" i="4"/>
  <c r="O843" i="4"/>
  <c r="O836" i="4"/>
  <c r="O833" i="4"/>
  <c r="O830" i="4"/>
  <c r="O827" i="4"/>
  <c r="O806" i="4"/>
  <c r="O803" i="4"/>
  <c r="O800" i="4"/>
  <c r="O797" i="4"/>
  <c r="O787" i="4"/>
  <c r="O767" i="4"/>
  <c r="O762" i="4"/>
  <c r="O760" i="4"/>
  <c r="O752" i="4"/>
  <c r="O734" i="4"/>
  <c r="O729" i="4"/>
  <c r="O726" i="4"/>
  <c r="O692" i="4"/>
  <c r="O689" i="4"/>
  <c r="O681" i="4"/>
  <c r="O675" i="4"/>
  <c r="O666" i="4"/>
  <c r="O663" i="4"/>
  <c r="O660" i="4"/>
  <c r="O657" i="4"/>
  <c r="O641" i="4"/>
  <c r="O632" i="4"/>
  <c r="O629" i="4"/>
  <c r="O624" i="4"/>
  <c r="O621" i="4"/>
  <c r="O615" i="4"/>
  <c r="O612" i="4"/>
  <c r="O609" i="4"/>
  <c r="O606" i="4"/>
  <c r="O595" i="4"/>
  <c r="O591" i="4"/>
  <c r="O586" i="4"/>
  <c r="O583" i="4"/>
  <c r="O570" i="4"/>
  <c r="O567" i="4"/>
  <c r="O563" i="4"/>
  <c r="O555" i="4"/>
  <c r="O548" i="4"/>
  <c r="O534" i="4"/>
  <c r="O526" i="4"/>
  <c r="O522" i="4"/>
  <c r="O518" i="4"/>
  <c r="O515" i="4"/>
  <c r="O510" i="4"/>
  <c r="O506" i="4"/>
  <c r="O504" i="4"/>
  <c r="O501" i="4"/>
  <c r="O498" i="4"/>
  <c r="O495" i="4"/>
  <c r="O494" i="4"/>
  <c r="O493" i="4"/>
  <c r="O492" i="4"/>
  <c r="O484" i="4"/>
  <c r="O480" i="4"/>
  <c r="O478" i="4"/>
  <c r="O474" i="4"/>
  <c r="O470" i="4"/>
  <c r="O463" i="4"/>
  <c r="O452" i="4"/>
  <c r="O450" i="4"/>
  <c r="O444" i="4"/>
  <c r="O437" i="4"/>
  <c r="O433" i="4"/>
  <c r="O430" i="4"/>
  <c r="O427" i="4"/>
  <c r="O424" i="4"/>
  <c r="O421" i="4"/>
  <c r="O418" i="4"/>
  <c r="O413" i="4"/>
  <c r="O407" i="4"/>
  <c r="O404" i="4"/>
  <c r="O402" i="4"/>
  <c r="O392" i="4"/>
  <c r="O388" i="4"/>
  <c r="O385" i="4"/>
  <c r="O382" i="4"/>
  <c r="O379" i="4"/>
  <c r="O376" i="4"/>
  <c r="O373" i="4"/>
  <c r="O370" i="4"/>
  <c r="O367" i="4"/>
  <c r="O365" i="4"/>
  <c r="O358" i="4"/>
  <c r="O356" i="4"/>
  <c r="O354" i="4"/>
  <c r="O351" i="4"/>
  <c r="O348" i="4"/>
  <c r="O345" i="4"/>
  <c r="O339" i="4"/>
  <c r="O326" i="4"/>
  <c r="O309" i="4"/>
  <c r="O306" i="4"/>
  <c r="O303" i="4"/>
  <c r="O300" i="4"/>
  <c r="O297" i="4"/>
  <c r="O291" i="4"/>
  <c r="O278" i="4"/>
  <c r="O274" i="4"/>
  <c r="O269" i="4"/>
  <c r="O265" i="4"/>
  <c r="O262" i="4"/>
  <c r="O259" i="4"/>
  <c r="O256" i="4"/>
  <c r="O253" i="4"/>
  <c r="O228" i="4"/>
  <c r="O223" i="4"/>
  <c r="I27" i="6" s="1"/>
  <c r="I26" i="6" s="1"/>
  <c r="I25" i="6" s="1"/>
  <c r="I24" i="6" s="1"/>
  <c r="I23" i="6" s="1"/>
  <c r="I22" i="6" s="1"/>
  <c r="I21" i="6" s="1"/>
  <c r="I20" i="6" s="1"/>
  <c r="I19" i="6" s="1"/>
  <c r="O211" i="4"/>
  <c r="O201" i="4"/>
  <c r="O198" i="4"/>
  <c r="O193" i="4"/>
  <c r="O176" i="4"/>
  <c r="O166" i="4"/>
  <c r="O159" i="4"/>
  <c r="O156" i="4"/>
  <c r="O154" i="4"/>
  <c r="O146" i="4"/>
  <c r="O143" i="4"/>
  <c r="O140" i="4"/>
  <c r="O137" i="4"/>
  <c r="O123" i="4"/>
  <c r="O112" i="4"/>
  <c r="O105" i="4"/>
  <c r="O102" i="4"/>
  <c r="O101" i="4"/>
  <c r="O100" i="4"/>
  <c r="O99" i="4"/>
  <c r="O95" i="4"/>
  <c r="O91" i="4"/>
  <c r="O87" i="4"/>
  <c r="O73" i="4"/>
  <c r="O66" i="4"/>
  <c r="O61" i="4"/>
  <c r="O53" i="4"/>
  <c r="O42" i="4"/>
  <c r="O37" i="4"/>
  <c r="O27" i="4"/>
  <c r="O22" i="4"/>
  <c r="N1122" i="4"/>
  <c r="N210" i="4"/>
  <c r="L964" i="3" l="1"/>
  <c r="J52" i="2"/>
  <c r="J35" i="2"/>
  <c r="L214" i="3"/>
  <c r="J23" i="2"/>
  <c r="J36" i="2"/>
  <c r="J42" i="2"/>
  <c r="J30" i="2"/>
  <c r="J28" i="2"/>
  <c r="J47" i="2"/>
  <c r="J20" i="2"/>
  <c r="J16" i="2"/>
  <c r="J49" i="2"/>
  <c r="L913" i="3"/>
  <c r="J26" i="2"/>
  <c r="L232" i="3"/>
  <c r="M352" i="5"/>
  <c r="M335" i="5"/>
  <c r="M300" i="5"/>
  <c r="N1133" i="4"/>
  <c r="N1131" i="4"/>
  <c r="N1129" i="4"/>
  <c r="N1121" i="4"/>
  <c r="N1115" i="4"/>
  <c r="N1110" i="4"/>
  <c r="N1105" i="4"/>
  <c r="N1103" i="4"/>
  <c r="N1097" i="4"/>
  <c r="N1095" i="4"/>
  <c r="N1093" i="4"/>
  <c r="N1087" i="4"/>
  <c r="N1077" i="4"/>
  <c r="N1073" i="4"/>
  <c r="N1066" i="4"/>
  <c r="N1064" i="4"/>
  <c r="N1061" i="4"/>
  <c r="N1057" i="4"/>
  <c r="N1055" i="4"/>
  <c r="N1053" i="4"/>
  <c r="N1047" i="4"/>
  <c r="N1044" i="4"/>
  <c r="N1041" i="4"/>
  <c r="N1037" i="4"/>
  <c r="N1034" i="4"/>
  <c r="N1031" i="4"/>
  <c r="N1029" i="4"/>
  <c r="N1028" i="4"/>
  <c r="N1023" i="4"/>
  <c r="N1019" i="4"/>
  <c r="N1016" i="4"/>
  <c r="N1015" i="4"/>
  <c r="N1013" i="4"/>
  <c r="N1010" i="4"/>
  <c r="N1008" i="4"/>
  <c r="N1004" i="4"/>
  <c r="N1001" i="4"/>
  <c r="N998" i="4"/>
  <c r="N996" i="4"/>
  <c r="N993" i="4"/>
  <c r="N987" i="4"/>
  <c r="N984" i="4"/>
  <c r="N981" i="4"/>
  <c r="N978" i="4"/>
  <c r="N976" i="4"/>
  <c r="N972" i="4"/>
  <c r="N970" i="4"/>
  <c r="N966" i="4"/>
  <c r="N963" i="4"/>
  <c r="N961" i="4"/>
  <c r="N958" i="4"/>
  <c r="N954" i="4"/>
  <c r="N953" i="4" s="1"/>
  <c r="N952" i="4" s="1"/>
  <c r="N950" i="4"/>
  <c r="N947" i="4"/>
  <c r="N946" i="4" s="1"/>
  <c r="N944" i="4"/>
  <c r="N941" i="4"/>
  <c r="N939" i="4"/>
  <c r="N936" i="4"/>
  <c r="N935" i="4"/>
  <c r="N934" i="4"/>
  <c r="N931" i="4"/>
  <c r="N928" i="4"/>
  <c r="N927" i="4" s="1"/>
  <c r="N923" i="4"/>
  <c r="N920" i="4"/>
  <c r="N917" i="4"/>
  <c r="N913" i="4"/>
  <c r="N906" i="4"/>
  <c r="N904" i="4"/>
  <c r="N899" i="4"/>
  <c r="N892" i="4"/>
  <c r="N885" i="4"/>
  <c r="N883" i="4"/>
  <c r="N881" i="4"/>
  <c r="N877" i="4"/>
  <c r="N870" i="4"/>
  <c r="N868" i="4"/>
  <c r="N866" i="4"/>
  <c r="N862" i="4"/>
  <c r="N860" i="4"/>
  <c r="N855" i="4"/>
  <c r="N853" i="4"/>
  <c r="N847" i="4"/>
  <c r="N846" i="4"/>
  <c r="N842" i="4"/>
  <c r="N838" i="4"/>
  <c r="N835" i="4"/>
  <c r="N832" i="4"/>
  <c r="N831" i="4" s="1"/>
  <c r="N829" i="4"/>
  <c r="N826" i="4"/>
  <c r="N819" i="4"/>
  <c r="N816" i="4"/>
  <c r="N813" i="4"/>
  <c r="N808" i="4"/>
  <c r="N805" i="4"/>
  <c r="N802" i="4"/>
  <c r="N799" i="4"/>
  <c r="N798" i="4" s="1"/>
  <c r="N796" i="4"/>
  <c r="N793" i="4"/>
  <c r="N786" i="4"/>
  <c r="N785" i="4"/>
  <c r="N779" i="4"/>
  <c r="N777" i="4"/>
  <c r="N775" i="4"/>
  <c r="N772" i="4"/>
  <c r="N768" i="4"/>
  <c r="N766" i="4"/>
  <c r="N761" i="4"/>
  <c r="N759" i="4"/>
  <c r="N757" i="4"/>
  <c r="N751" i="4"/>
  <c r="N745" i="4"/>
  <c r="N739" i="4"/>
  <c r="N736" i="4"/>
  <c r="N733" i="4"/>
  <c r="N728" i="4"/>
  <c r="N725" i="4"/>
  <c r="N721" i="4"/>
  <c r="N715" i="4"/>
  <c r="N712" i="4"/>
  <c r="N709" i="4"/>
  <c r="N706" i="4"/>
  <c r="N703" i="4"/>
  <c r="N700" i="4"/>
  <c r="N697" i="4"/>
  <c r="N695" i="4"/>
  <c r="N691" i="4"/>
  <c r="N690" i="4" s="1"/>
  <c r="N688" i="4"/>
  <c r="N683" i="4"/>
  <c r="N680" i="4"/>
  <c r="N679" i="4" s="1"/>
  <c r="N677" i="4"/>
  <c r="N674" i="4"/>
  <c r="N671" i="4"/>
  <c r="N668" i="4"/>
  <c r="N665" i="4"/>
  <c r="N662" i="4"/>
  <c r="N659" i="4"/>
  <c r="N656" i="4"/>
  <c r="N652" i="4"/>
  <c r="N647" i="4"/>
  <c r="N643" i="4"/>
  <c r="N640" i="4"/>
  <c r="N637" i="4"/>
  <c r="N634" i="4"/>
  <c r="N631" i="4"/>
  <c r="N630" i="4" s="1"/>
  <c r="N628" i="4"/>
  <c r="N623" i="4"/>
  <c r="N620" i="4"/>
  <c r="N617" i="4"/>
  <c r="N614" i="4"/>
  <c r="N611" i="4"/>
  <c r="N608" i="4"/>
  <c r="N605" i="4"/>
  <c r="N601" i="4"/>
  <c r="N594" i="4"/>
  <c r="N590" i="4"/>
  <c r="N585" i="4"/>
  <c r="N582" i="4"/>
  <c r="N576" i="4"/>
  <c r="N569" i="4"/>
  <c r="N566" i="4"/>
  <c r="N562" i="4"/>
  <c r="N554" i="4"/>
  <c r="N551" i="4"/>
  <c r="N547" i="4"/>
  <c r="N542" i="4"/>
  <c r="N537" i="4"/>
  <c r="N535" i="4"/>
  <c r="N533" i="4"/>
  <c r="N525" i="4"/>
  <c r="N521" i="4"/>
  <c r="N517" i="4"/>
  <c r="N514" i="4"/>
  <c r="N509" i="4"/>
  <c r="N505" i="4"/>
  <c r="N503" i="4"/>
  <c r="N500" i="4"/>
  <c r="N497" i="4"/>
  <c r="N496" i="4" s="1"/>
  <c r="N491" i="4"/>
  <c r="N487" i="4"/>
  <c r="N483" i="4"/>
  <c r="N479" i="4"/>
  <c r="N477" i="4"/>
  <c r="N473" i="4"/>
  <c r="N469" i="4"/>
  <c r="N465" i="4"/>
  <c r="N462" i="4"/>
  <c r="N460" i="4"/>
  <c r="N458" i="4"/>
  <c r="N451" i="4"/>
  <c r="N449" i="4"/>
  <c r="N447" i="4"/>
  <c r="N443" i="4"/>
  <c r="N441" i="4"/>
  <c r="N436" i="4"/>
  <c r="N432" i="4"/>
  <c r="N429" i="4"/>
  <c r="N426" i="4"/>
  <c r="N423" i="4"/>
  <c r="N420" i="4"/>
  <c r="N417" i="4"/>
  <c r="N416" i="4" s="1"/>
  <c r="N412" i="4"/>
  <c r="N409" i="4"/>
  <c r="N406" i="4"/>
  <c r="N405" i="4" s="1"/>
  <c r="N403" i="4"/>
  <c r="N401" i="4"/>
  <c r="N399" i="4"/>
  <c r="N397" i="4"/>
  <c r="N391" i="4"/>
  <c r="N390" i="4" s="1"/>
  <c r="N387" i="4"/>
  <c r="N384" i="4"/>
  <c r="N381" i="4"/>
  <c r="N378" i="4"/>
  <c r="N377" i="4"/>
  <c r="N375" i="4"/>
  <c r="N372" i="4"/>
  <c r="N369" i="4"/>
  <c r="N366" i="4"/>
  <c r="N364" i="4"/>
  <c r="N361" i="4"/>
  <c r="N357" i="4"/>
  <c r="N355" i="4"/>
  <c r="N353" i="4"/>
  <c r="N350" i="4"/>
  <c r="N347" i="4"/>
  <c r="N346" i="4"/>
  <c r="N344" i="4"/>
  <c r="N341" i="4"/>
  <c r="N338" i="4"/>
  <c r="N335" i="4"/>
  <c r="N332" i="4"/>
  <c r="N325" i="4"/>
  <c r="N319" i="4"/>
  <c r="N316" i="4"/>
  <c r="N313" i="4"/>
  <c r="N308" i="4"/>
  <c r="N305" i="4"/>
  <c r="N302" i="4"/>
  <c r="N299" i="4"/>
  <c r="N296" i="4"/>
  <c r="N293" i="4"/>
  <c r="N290" i="4"/>
  <c r="N289" i="4"/>
  <c r="N287" i="4"/>
  <c r="N280" i="4"/>
  <c r="N277" i="4"/>
  <c r="N273" i="4"/>
  <c r="N268" i="4"/>
  <c r="N267" i="4" s="1"/>
  <c r="N264" i="4"/>
  <c r="N261" i="4"/>
  <c r="N260" i="4" s="1"/>
  <c r="N258" i="4"/>
  <c r="N255" i="4"/>
  <c r="N252" i="4"/>
  <c r="N248" i="4"/>
  <c r="N240" i="4"/>
  <c r="N238" i="4"/>
  <c r="N233" i="4"/>
  <c r="N227" i="4"/>
  <c r="N222" i="4"/>
  <c r="N215" i="4"/>
  <c r="N213" i="4"/>
  <c r="N209" i="4"/>
  <c r="N205" i="4"/>
  <c r="N200" i="4"/>
  <c r="N199" i="4" s="1"/>
  <c r="N197" i="4"/>
  <c r="N192" i="4"/>
  <c r="N189" i="4"/>
  <c r="N183" i="4"/>
  <c r="N180" i="4"/>
  <c r="N178" i="4"/>
  <c r="N175" i="4"/>
  <c r="N172" i="4"/>
  <c r="N165" i="4"/>
  <c r="N158" i="4"/>
  <c r="N155" i="4"/>
  <c r="N153" i="4"/>
  <c r="N150" i="4"/>
  <c r="N148" i="4"/>
  <c r="N145" i="4"/>
  <c r="N142" i="4"/>
  <c r="N139" i="4"/>
  <c r="N136" i="4"/>
  <c r="N132" i="4"/>
  <c r="N130" i="4"/>
  <c r="N127" i="4"/>
  <c r="N125" i="4"/>
  <c r="N122" i="4"/>
  <c r="N120" i="4"/>
  <c r="N116" i="4"/>
  <c r="N114" i="4"/>
  <c r="N111" i="4"/>
  <c r="N109" i="4"/>
  <c r="N104" i="4"/>
  <c r="N98" i="4"/>
  <c r="N94" i="4"/>
  <c r="N90" i="4"/>
  <c r="N86" i="4"/>
  <c r="N83" i="4"/>
  <c r="N78" i="4"/>
  <c r="N77" i="4" s="1"/>
  <c r="N74" i="4"/>
  <c r="N72" i="4"/>
  <c r="N69" i="4"/>
  <c r="N65" i="4"/>
  <c r="N64" i="4"/>
  <c r="N60" i="4"/>
  <c r="N58" i="4"/>
  <c r="N52" i="4"/>
  <c r="N50" i="4"/>
  <c r="N49" i="4"/>
  <c r="N46" i="4"/>
  <c r="N44" i="4"/>
  <c r="N41" i="4"/>
  <c r="N38" i="4"/>
  <c r="N36" i="4"/>
  <c r="N34" i="4"/>
  <c r="N26" i="4"/>
  <c r="N21" i="4"/>
  <c r="N19" i="4"/>
  <c r="N17" i="4"/>
  <c r="N389" i="4" l="1"/>
  <c r="N135" i="4"/>
  <c r="N419" i="4"/>
  <c r="N561" i="4"/>
  <c r="N607" i="4"/>
  <c r="N804" i="4"/>
  <c r="N949" i="4"/>
  <c r="N25" i="4"/>
  <c r="N63" i="4"/>
  <c r="N138" i="4"/>
  <c r="N157" i="4"/>
  <c r="N295" i="4"/>
  <c r="N337" i="4"/>
  <c r="N422" i="4"/>
  <c r="N435" i="4"/>
  <c r="N516" i="4"/>
  <c r="N646" i="4"/>
  <c r="N658" i="4"/>
  <c r="N876" i="4"/>
  <c r="N875" i="4" s="1"/>
  <c r="N891" i="4"/>
  <c r="N912" i="4"/>
  <c r="M532" i="5"/>
  <c r="M531" i="5" s="1"/>
  <c r="M530" i="5" s="1"/>
  <c r="L307" i="3"/>
  <c r="L306" i="3" s="1"/>
  <c r="L305" i="3" s="1"/>
  <c r="L401" i="3"/>
  <c r="L400" i="3" s="1"/>
  <c r="L399" i="3" s="1"/>
  <c r="L398" i="3" s="1"/>
  <c r="L397" i="3" s="1"/>
  <c r="L361" i="3" s="1"/>
  <c r="J32" i="2" s="1"/>
  <c r="N1085" i="4"/>
  <c r="N266" i="4"/>
  <c r="N304" i="4"/>
  <c r="N398" i="4"/>
  <c r="N395" i="4" s="1"/>
  <c r="N431" i="4"/>
  <c r="N76" i="4"/>
  <c r="N119" i="4"/>
  <c r="L167" i="3"/>
  <c r="L166" i="3" s="1"/>
  <c r="L165" i="3" s="1"/>
  <c r="L145" i="3" s="1"/>
  <c r="L144" i="3" s="1"/>
  <c r="N141" i="4"/>
  <c r="N152" i="4"/>
  <c r="N164" i="4"/>
  <c r="N232" i="4"/>
  <c r="L876" i="3"/>
  <c r="L875" i="3" s="1"/>
  <c r="L874" i="3" s="1"/>
  <c r="N272" i="4"/>
  <c r="N324" i="4"/>
  <c r="N371" i="4"/>
  <c r="N380" i="4"/>
  <c r="N425" i="4"/>
  <c r="N520" i="4"/>
  <c r="L896" i="3"/>
  <c r="L895" i="3" s="1"/>
  <c r="L894" i="3" s="1"/>
  <c r="N568" i="4"/>
  <c r="N673" i="4"/>
  <c r="N694" i="4"/>
  <c r="N756" i="4"/>
  <c r="L654" i="3"/>
  <c r="L653" i="3" s="1"/>
  <c r="L652" i="3" s="1"/>
  <c r="L651" i="3" s="1"/>
  <c r="L650" i="3" s="1"/>
  <c r="N82" i="4"/>
  <c r="N957" i="4"/>
  <c r="N1027" i="4"/>
  <c r="M269" i="5"/>
  <c r="M268" i="5" s="1"/>
  <c r="M267" i="5" s="1"/>
  <c r="M254" i="5" s="1"/>
  <c r="M253" i="5" s="1"/>
  <c r="M252" i="5" s="1"/>
  <c r="L93" i="3"/>
  <c r="L92" i="3" s="1"/>
  <c r="L91" i="3" s="1"/>
  <c r="L79" i="3" s="1"/>
  <c r="N93" i="4"/>
  <c r="N121" i="4"/>
  <c r="N144" i="4"/>
  <c r="N315" i="4"/>
  <c r="N343" i="4"/>
  <c r="N352" i="4"/>
  <c r="N374" i="4"/>
  <c r="N396" i="4"/>
  <c r="N428" i="4"/>
  <c r="N524" i="4"/>
  <c r="N575" i="4"/>
  <c r="L893" i="3"/>
  <c r="L892" i="3" s="1"/>
  <c r="L891" i="3" s="1"/>
  <c r="L890" i="3" s="1"/>
  <c r="L889" i="3" s="1"/>
  <c r="J46" i="2" s="1"/>
  <c r="N589" i="4"/>
  <c r="N655" i="4"/>
  <c r="N687" i="4"/>
  <c r="N724" i="4"/>
  <c r="L578" i="3"/>
  <c r="L577" i="3" s="1"/>
  <c r="L576" i="3" s="1"/>
  <c r="L575" i="3" s="1"/>
  <c r="L570" i="3" s="1"/>
  <c r="L569" i="3" s="1"/>
  <c r="J37" i="2" s="1"/>
  <c r="N758" i="4"/>
  <c r="N795" i="4"/>
  <c r="M551" i="5"/>
  <c r="M550" i="5" s="1"/>
  <c r="M549" i="5" s="1"/>
  <c r="L326" i="3"/>
  <c r="L325" i="3" s="1"/>
  <c r="L324" i="3" s="1"/>
  <c r="N965" i="4"/>
  <c r="N1033" i="4"/>
  <c r="N1043" i="4"/>
  <c r="J48" i="2"/>
  <c r="J22" i="2"/>
  <c r="J51" i="2"/>
  <c r="J24" i="2"/>
  <c r="N1120" i="4"/>
  <c r="N1114" i="4"/>
  <c r="N1109" i="4"/>
  <c r="N1084" i="4"/>
  <c r="N1076" i="4"/>
  <c r="N1072" i="4"/>
  <c r="N1063" i="4"/>
  <c r="N1060" i="4"/>
  <c r="N1046" i="4"/>
  <c r="N1040" i="4"/>
  <c r="N1036" i="4"/>
  <c r="N1030" i="4"/>
  <c r="N1022" i="4"/>
  <c r="N1018" i="4"/>
  <c r="N1012" i="4"/>
  <c r="N1003" i="4"/>
  <c r="N1000" i="4"/>
  <c r="N995" i="4"/>
  <c r="N992" i="4"/>
  <c r="N986" i="4"/>
  <c r="N983" i="4"/>
  <c r="N980" i="4"/>
  <c r="N969" i="4"/>
  <c r="N943" i="4"/>
  <c r="N930" i="4"/>
  <c r="N922" i="4"/>
  <c r="N919" i="4"/>
  <c r="N916" i="4"/>
  <c r="N898" i="4"/>
  <c r="N859" i="4"/>
  <c r="N852" i="4"/>
  <c r="N845" i="4"/>
  <c r="N1164" i="4" s="1"/>
  <c r="N841" i="4"/>
  <c r="N837" i="4"/>
  <c r="N828" i="4"/>
  <c r="N834" i="4"/>
  <c r="N825" i="4"/>
  <c r="N818" i="4"/>
  <c r="N815" i="4"/>
  <c r="N812" i="4"/>
  <c r="N807" i="4"/>
  <c r="N801" i="4"/>
  <c r="N792" i="4"/>
  <c r="N784" i="4"/>
  <c r="N771" i="4"/>
  <c r="N750" i="4"/>
  <c r="N748" i="4" s="1"/>
  <c r="N744" i="4"/>
  <c r="N738" i="4"/>
  <c r="N735" i="4"/>
  <c r="N732" i="4"/>
  <c r="N727" i="4"/>
  <c r="N720" i="4"/>
  <c r="N714" i="4"/>
  <c r="N711" i="4"/>
  <c r="N708" i="4"/>
  <c r="N705" i="4"/>
  <c r="N702" i="4"/>
  <c r="N699" i="4"/>
  <c r="N696" i="4"/>
  <c r="N664" i="4"/>
  <c r="N661" i="4"/>
  <c r="N682" i="4"/>
  <c r="N676" i="4"/>
  <c r="N670" i="4"/>
  <c r="N667" i="4"/>
  <c r="N651" i="4"/>
  <c r="N642" i="4"/>
  <c r="N639" i="4"/>
  <c r="N636" i="4"/>
  <c r="N633" i="4"/>
  <c r="N627" i="4"/>
  <c r="N622" i="4"/>
  <c r="N619" i="4"/>
  <c r="N616" i="4"/>
  <c r="N613" i="4"/>
  <c r="N610" i="4"/>
  <c r="N604" i="4"/>
  <c r="N600" i="4"/>
  <c r="N593" i="4"/>
  <c r="N584" i="4"/>
  <c r="N581" i="4"/>
  <c r="N565" i="4"/>
  <c r="N553" i="4"/>
  <c r="N550" i="4"/>
  <c r="N546" i="4"/>
  <c r="N541" i="4"/>
  <c r="N532" i="4"/>
  <c r="N513" i="4"/>
  <c r="N508" i="4"/>
  <c r="N499" i="4"/>
  <c r="N490" i="4"/>
  <c r="N486" i="4"/>
  <c r="N482" i="4"/>
  <c r="N472" i="4"/>
  <c r="N468" i="4"/>
  <c r="N464" i="4"/>
  <c r="N457" i="4"/>
  <c r="N411" i="4"/>
  <c r="N408" i="4"/>
  <c r="N386" i="4"/>
  <c r="N383" i="4"/>
  <c r="N368" i="4"/>
  <c r="N360" i="4"/>
  <c r="N349" i="4"/>
  <c r="N340" i="4"/>
  <c r="N334" i="4"/>
  <c r="N331" i="4"/>
  <c r="N318" i="4"/>
  <c r="N312" i="4"/>
  <c r="N307" i="4"/>
  <c r="N301" i="4"/>
  <c r="N298" i="4"/>
  <c r="N292" i="4"/>
  <c r="N286" i="4"/>
  <c r="N279" i="4"/>
  <c r="N276" i="4"/>
  <c r="N263" i="4"/>
  <c r="N257" i="4"/>
  <c r="N254" i="4"/>
  <c r="N251" i="4"/>
  <c r="N247" i="4"/>
  <c r="N226" i="4"/>
  <c r="N221" i="4"/>
  <c r="N204" i="4"/>
  <c r="N196" i="4"/>
  <c r="N191" i="4"/>
  <c r="N188" i="4"/>
  <c r="N182" i="4"/>
  <c r="N174" i="4"/>
  <c r="N171" i="4"/>
  <c r="N108" i="4"/>
  <c r="N103" i="4"/>
  <c r="N97" i="4"/>
  <c r="N89" i="4"/>
  <c r="N85" i="4"/>
  <c r="N68" i="4"/>
  <c r="N57" i="4"/>
  <c r="N48" i="4"/>
  <c r="N40" i="4"/>
  <c r="N1128" i="4"/>
  <c r="N1102" i="4"/>
  <c r="N1007" i="4"/>
  <c r="N960" i="4"/>
  <c r="N903" i="4"/>
  <c r="N765" i="4"/>
  <c r="N476" i="4"/>
  <c r="N446" i="4"/>
  <c r="N363" i="4"/>
  <c r="N129" i="4"/>
  <c r="N43" i="4"/>
  <c r="N124" i="4"/>
  <c r="N865" i="4"/>
  <c r="N938" i="4"/>
  <c r="N177" i="4"/>
  <c r="N170" i="4" s="1"/>
  <c r="N212" i="4"/>
  <c r="N237" i="4"/>
  <c r="N440" i="4"/>
  <c r="N774" i="4"/>
  <c r="N71" i="4"/>
  <c r="N502" i="4"/>
  <c r="N880" i="4"/>
  <c r="N147" i="4"/>
  <c r="N933" i="4"/>
  <c r="N1052" i="4"/>
  <c r="N1092" i="4"/>
  <c r="N400" i="4"/>
  <c r="N113" i="4"/>
  <c r="N16" i="4"/>
  <c r="N33" i="4"/>
  <c r="N195" i="4"/>
  <c r="N844" i="4"/>
  <c r="N975" i="4"/>
  <c r="M684" i="4"/>
  <c r="O684" i="4" s="1"/>
  <c r="M672" i="4"/>
  <c r="O672" i="4" s="1"/>
  <c r="N991" i="4" l="1"/>
  <c r="N956" i="4"/>
  <c r="N749" i="4"/>
  <c r="N811" i="4"/>
  <c r="N810" i="4" s="1"/>
  <c r="N1026" i="4"/>
  <c r="N415" i="4"/>
  <c r="N330" i="4"/>
  <c r="N1039" i="4"/>
  <c r="N1025" i="4" s="1"/>
  <c r="M522" i="5"/>
  <c r="M521" i="5" s="1"/>
  <c r="M520" i="5" s="1"/>
  <c r="M552" i="5" s="1"/>
  <c r="N915" i="4"/>
  <c r="N910" i="4" s="1"/>
  <c r="N791" i="4"/>
  <c r="L870" i="3"/>
  <c r="L869" i="3" s="1"/>
  <c r="L811" i="3" s="1"/>
  <c r="J45" i="2" s="1"/>
  <c r="J43" i="2" s="1"/>
  <c r="N24" i="4"/>
  <c r="L770" i="3"/>
  <c r="L769" i="3" s="1"/>
  <c r="L768" i="3" s="1"/>
  <c r="L754" i="3" s="1"/>
  <c r="L753" i="3" s="1"/>
  <c r="L683" i="3" s="1"/>
  <c r="N693" i="4"/>
  <c r="N686" i="4" s="1"/>
  <c r="N685" i="4" s="1"/>
  <c r="N489" i="4"/>
  <c r="N890" i="4"/>
  <c r="N560" i="4"/>
  <c r="N519" i="4"/>
  <c r="N731" i="4"/>
  <c r="N730" i="4" s="1"/>
  <c r="N523" i="4"/>
  <c r="N92" i="4"/>
  <c r="J39" i="2"/>
  <c r="J34" i="2" s="1"/>
  <c r="L440" i="3"/>
  <c r="N118" i="4"/>
  <c r="N107" i="4" s="1"/>
  <c r="N645" i="4"/>
  <c r="N626" i="4" s="1"/>
  <c r="N625" i="4" s="1"/>
  <c r="N574" i="4"/>
  <c r="N755" i="4"/>
  <c r="N271" i="4"/>
  <c r="N231" i="4"/>
  <c r="N163" i="4"/>
  <c r="N911" i="4"/>
  <c r="N434" i="4"/>
  <c r="N824" i="4"/>
  <c r="N823" i="4" s="1"/>
  <c r="N723" i="4"/>
  <c r="N588" i="4"/>
  <c r="L74" i="3"/>
  <c r="N81" i="4"/>
  <c r="N323" i="4"/>
  <c r="L298" i="3"/>
  <c r="L297" i="3" s="1"/>
  <c r="N1127" i="4"/>
  <c r="N1119" i="4"/>
  <c r="N1113" i="4"/>
  <c r="N1108" i="4"/>
  <c r="N1101" i="4"/>
  <c r="N1091" i="4"/>
  <c r="N1083" i="4"/>
  <c r="N1075" i="4"/>
  <c r="N1071" i="4"/>
  <c r="N1059" i="4"/>
  <c r="N1051" i="4"/>
  <c r="N1021" i="4"/>
  <c r="N1006" i="4"/>
  <c r="N968" i="4"/>
  <c r="N902" i="4"/>
  <c r="N897" i="4"/>
  <c r="N879" i="4"/>
  <c r="N864" i="4"/>
  <c r="N858" i="4"/>
  <c r="O852" i="4"/>
  <c r="N851" i="4"/>
  <c r="N840" i="4"/>
  <c r="N790" i="4"/>
  <c r="N783" i="4"/>
  <c r="N770" i="4"/>
  <c r="N764" i="4"/>
  <c r="N763" i="4" s="1"/>
  <c r="N747" i="4"/>
  <c r="N743" i="4"/>
  <c r="N719" i="4"/>
  <c r="N654" i="4"/>
  <c r="N650" i="4"/>
  <c r="N603" i="4"/>
  <c r="N599" i="4"/>
  <c r="N592" i="4"/>
  <c r="N580" i="4"/>
  <c r="N564" i="4"/>
  <c r="N549" i="4"/>
  <c r="N545" i="4"/>
  <c r="N540" i="4"/>
  <c r="N531" i="4"/>
  <c r="N507" i="4"/>
  <c r="N485" i="4"/>
  <c r="N481" i="4"/>
  <c r="N475" i="4"/>
  <c r="N471" i="4"/>
  <c r="N467" i="4"/>
  <c r="N456" i="4"/>
  <c r="N445" i="4"/>
  <c r="N439" i="4"/>
  <c r="N359" i="4"/>
  <c r="N311" i="4"/>
  <c r="N285" i="4"/>
  <c r="N284" i="4" s="1"/>
  <c r="N275" i="4"/>
  <c r="N250" i="4"/>
  <c r="N246" i="4"/>
  <c r="N236" i="4"/>
  <c r="N225" i="4"/>
  <c r="N220" i="4"/>
  <c r="N208" i="4"/>
  <c r="N1149" i="4" s="1"/>
  <c r="N203" i="4"/>
  <c r="N187" i="4"/>
  <c r="N169" i="4"/>
  <c r="N134" i="4"/>
  <c r="N96" i="4"/>
  <c r="N88" i="4"/>
  <c r="N84" i="4"/>
  <c r="N67" i="4"/>
  <c r="N1174" i="4" s="1"/>
  <c r="N56" i="4"/>
  <c r="N32" i="4"/>
  <c r="N15" i="4"/>
  <c r="N926" i="4"/>
  <c r="N394" i="4"/>
  <c r="N1158" i="4" s="1"/>
  <c r="N1152" i="4"/>
  <c r="N194" i="4"/>
  <c r="M294" i="4"/>
  <c r="O294" i="4" s="1"/>
  <c r="M635" i="5" l="1"/>
  <c r="L804" i="3"/>
  <c r="N162" i="4"/>
  <c r="N270" i="4"/>
  <c r="N573" i="4"/>
  <c r="N754" i="4"/>
  <c r="N512" i="4"/>
  <c r="L277" i="3"/>
  <c r="J31" i="2"/>
  <c r="J29" i="2" s="1"/>
  <c r="N23" i="4"/>
  <c r="J19" i="2"/>
  <c r="J13" i="2" s="1"/>
  <c r="L12" i="3"/>
  <c r="J41" i="2"/>
  <c r="J40" i="2" s="1"/>
  <c r="L682" i="3"/>
  <c r="N186" i="4"/>
  <c r="N322" i="4"/>
  <c r="N80" i="4"/>
  <c r="N79" i="4" s="1"/>
  <c r="N587" i="4"/>
  <c r="N230" i="4"/>
  <c r="N559" i="4"/>
  <c r="N889" i="4"/>
  <c r="N1126" i="4"/>
  <c r="N1118" i="4"/>
  <c r="N1112" i="4"/>
  <c r="N1144" i="4" s="1"/>
  <c r="N1100" i="4"/>
  <c r="N1090" i="4"/>
  <c r="N1082" i="4"/>
  <c r="N1070" i="4"/>
  <c r="N1050" i="4"/>
  <c r="N1185" i="4"/>
  <c r="N990" i="4"/>
  <c r="N989" i="4" s="1"/>
  <c r="N955" i="4"/>
  <c r="N1182" i="4"/>
  <c r="N909" i="4"/>
  <c r="N1170" i="4"/>
  <c r="N901" i="4"/>
  <c r="N896" i="4"/>
  <c r="N874" i="4"/>
  <c r="N857" i="4"/>
  <c r="N850" i="4"/>
  <c r="N1177" i="4" s="1"/>
  <c r="N1179" i="4"/>
  <c r="N822" i="4"/>
  <c r="N789" i="4"/>
  <c r="N788" i="4" s="1"/>
  <c r="N782" i="4"/>
  <c r="N753" i="4"/>
  <c r="N742" i="4"/>
  <c r="N718" i="4"/>
  <c r="N649" i="4"/>
  <c r="N598" i="4"/>
  <c r="N597" i="4" s="1"/>
  <c r="N579" i="4"/>
  <c r="N558" i="4"/>
  <c r="N544" i="4"/>
  <c r="N1186" i="4"/>
  <c r="N530" i="4"/>
  <c r="N511" i="4"/>
  <c r="N455" i="4"/>
  <c r="N438" i="4"/>
  <c r="N329" i="4"/>
  <c r="N310" i="4"/>
  <c r="N1155" i="4"/>
  <c r="N245" i="4"/>
  <c r="N235" i="4"/>
  <c r="N1175" i="4"/>
  <c r="N219" i="4"/>
  <c r="N207" i="4"/>
  <c r="N1173" i="4"/>
  <c r="N1181" i="4"/>
  <c r="N168" i="4"/>
  <c r="N106" i="4"/>
  <c r="N1184" i="4"/>
  <c r="N55" i="4"/>
  <c r="N31" i="4"/>
  <c r="N14" i="4"/>
  <c r="N393" i="4"/>
  <c r="M288" i="4"/>
  <c r="O288" i="4" s="1"/>
  <c r="L975" i="3" l="1"/>
  <c r="N1107" i="4"/>
  <c r="N328" i="4"/>
  <c r="J53" i="2"/>
  <c r="N1180" i="4"/>
  <c r="N888" i="4"/>
  <c r="N229" i="4"/>
  <c r="N1183" i="4"/>
  <c r="N572" i="4"/>
  <c r="N161" i="4"/>
  <c r="N321" i="4"/>
  <c r="N1161" i="4"/>
  <c r="N202" i="4"/>
  <c r="N1125" i="4"/>
  <c r="N1099" i="4"/>
  <c r="N1089" i="4"/>
  <c r="N1081" i="4"/>
  <c r="N1069" i="4"/>
  <c r="N1049" i="4"/>
  <c r="N925" i="4"/>
  <c r="N895" i="4"/>
  <c r="N873" i="4"/>
  <c r="N849" i="4"/>
  <c r="N741" i="4"/>
  <c r="N717" i="4"/>
  <c r="N648" i="4"/>
  <c r="N1172" i="4"/>
  <c r="N578" i="4"/>
  <c r="N557" i="4"/>
  <c r="N539" i="4"/>
  <c r="N529" i="4"/>
  <c r="N454" i="4"/>
  <c r="N453" i="4" s="1"/>
  <c r="N1138" i="4"/>
  <c r="N1171" i="4"/>
  <c r="N414" i="4"/>
  <c r="N1178" i="4"/>
  <c r="N283" i="4"/>
  <c r="N282" i="4" s="1"/>
  <c r="N244" i="4"/>
  <c r="N234" i="4"/>
  <c r="N218" i="4"/>
  <c r="N185" i="4"/>
  <c r="N167" i="4"/>
  <c r="N62" i="4"/>
  <c r="N1176" i="4"/>
  <c r="N54" i="4"/>
  <c r="N30" i="4"/>
  <c r="N13" i="4"/>
  <c r="I133" i="1"/>
  <c r="K133" i="1" s="1"/>
  <c r="J57" i="2" l="1"/>
  <c r="K22" i="7"/>
  <c r="N160" i="4"/>
  <c r="N887" i="4"/>
  <c r="N571" i="4"/>
  <c r="N224" i="4"/>
  <c r="N217" i="4" s="1"/>
  <c r="N1124" i="4"/>
  <c r="N1080" i="4"/>
  <c r="N1068" i="4"/>
  <c r="N908" i="4"/>
  <c r="N894" i="4"/>
  <c r="N821" i="4"/>
  <c r="N781" i="4" s="1"/>
  <c r="N596" i="4"/>
  <c r="N577" i="4" s="1"/>
  <c r="N556" i="4"/>
  <c r="N1151" i="4"/>
  <c r="N528" i="4"/>
  <c r="N1187" i="4"/>
  <c r="N327" i="4"/>
  <c r="N1156" i="4" s="1"/>
  <c r="N1157" i="4" s="1"/>
  <c r="N243" i="4"/>
  <c r="N1146" i="4"/>
  <c r="N29" i="4"/>
  <c r="N12" i="4"/>
  <c r="M442" i="4"/>
  <c r="O442" i="4" s="1"/>
  <c r="M448" i="4"/>
  <c r="O448" i="4" s="1"/>
  <c r="M882" i="4"/>
  <c r="O882" i="4" s="1"/>
  <c r="M342" i="4"/>
  <c r="O342" i="4" s="1"/>
  <c r="M336" i="4"/>
  <c r="O336" i="4" s="1"/>
  <c r="M333" i="4"/>
  <c r="O333" i="4" s="1"/>
  <c r="N1145" i="4" l="1"/>
  <c r="N1160" i="4"/>
  <c r="N1165" i="4"/>
  <c r="N1117" i="4"/>
  <c r="N1079" i="4"/>
  <c r="N872" i="4"/>
  <c r="N1147" i="4"/>
  <c r="N1148" i="4" s="1"/>
  <c r="N1162" i="4"/>
  <c r="N1163" i="4" s="1"/>
  <c r="N1153" i="4"/>
  <c r="N1154" i="4" s="1"/>
  <c r="N1150" i="4"/>
  <c r="N527" i="4"/>
  <c r="N242" i="4"/>
  <c r="N1159" i="4"/>
  <c r="N28" i="4"/>
  <c r="N11" i="4"/>
  <c r="N1143" i="4"/>
  <c r="N1142" i="4"/>
  <c r="M1065" i="4"/>
  <c r="O1065" i="4" s="1"/>
  <c r="N1167" i="4" l="1"/>
  <c r="N1166" i="4"/>
  <c r="N1135" i="4"/>
  <c r="M1067" i="4"/>
  <c r="O1067" i="4" s="1"/>
  <c r="M971" i="4"/>
  <c r="O971" i="4" s="1"/>
  <c r="N1137" i="4" l="1"/>
  <c r="J54" i="2"/>
  <c r="J55" i="2" s="1"/>
  <c r="L976" i="3"/>
  <c r="L977" i="3" s="1"/>
  <c r="N1168" i="4"/>
  <c r="M602" i="4"/>
  <c r="O602" i="4" s="1"/>
  <c r="M281" i="4"/>
  <c r="O281" i="4" s="1"/>
  <c r="M362" i="4"/>
  <c r="O362" i="4" s="1"/>
  <c r="M794" i="4" l="1"/>
  <c r="O794" i="4" s="1"/>
  <c r="L150" i="5" l="1"/>
  <c r="L451" i="5"/>
  <c r="N451" i="5" s="1"/>
  <c r="L149" i="5" l="1"/>
  <c r="N150" i="5"/>
  <c r="M884" i="4"/>
  <c r="O884" i="4" s="1"/>
  <c r="L148" i="5" l="1"/>
  <c r="N148" i="5" s="1"/>
  <c r="N149" i="5"/>
  <c r="M618" i="4"/>
  <c r="O618" i="4" s="1"/>
  <c r="M778" i="4"/>
  <c r="O778" i="4" s="1"/>
  <c r="K745" i="3"/>
  <c r="K471" i="3"/>
  <c r="M623" i="4"/>
  <c r="M948" i="4"/>
  <c r="O948" i="4" s="1"/>
  <c r="M886" i="4"/>
  <c r="O886" i="4" s="1"/>
  <c r="M932" i="4"/>
  <c r="O932" i="4" s="1"/>
  <c r="M945" i="4"/>
  <c r="O945" i="4" s="1"/>
  <c r="K912" i="3"/>
  <c r="M1074" i="4"/>
  <c r="O1074" i="4" s="1"/>
  <c r="M1077" i="4"/>
  <c r="M776" i="4"/>
  <c r="O776" i="4" s="1"/>
  <c r="M538" i="4"/>
  <c r="O538" i="4" s="1"/>
  <c r="M536" i="4"/>
  <c r="O536" i="4" s="1"/>
  <c r="M622" i="4" l="1"/>
  <c r="O622" i="4" s="1"/>
  <c r="O623" i="4"/>
  <c r="M1076" i="4"/>
  <c r="O1077" i="4"/>
  <c r="K911" i="3"/>
  <c r="M912" i="3"/>
  <c r="K470" i="3"/>
  <c r="M471" i="3"/>
  <c r="K744" i="3"/>
  <c r="M745" i="3"/>
  <c r="K197" i="3"/>
  <c r="M197" i="3" s="1"/>
  <c r="M554" i="4"/>
  <c r="M1075" i="4" l="1"/>
  <c r="O1075" i="4" s="1"/>
  <c r="O1076" i="4"/>
  <c r="M553" i="4"/>
  <c r="O553" i="4" s="1"/>
  <c r="O554" i="4"/>
  <c r="K469" i="3"/>
  <c r="M469" i="3" s="1"/>
  <c r="M470" i="3"/>
  <c r="K743" i="3"/>
  <c r="M743" i="3" s="1"/>
  <c r="M744" i="3"/>
  <c r="K910" i="3"/>
  <c r="M911" i="3"/>
  <c r="M704" i="4"/>
  <c r="O704" i="4" s="1"/>
  <c r="K909" i="3" l="1"/>
  <c r="M909" i="3" s="1"/>
  <c r="M910" i="3"/>
  <c r="M669" i="4"/>
  <c r="O669" i="4" s="1"/>
  <c r="M653" i="4"/>
  <c r="O653" i="4" s="1"/>
  <c r="M45" i="4" l="1"/>
  <c r="O45" i="4" s="1"/>
  <c r="M35" i="4"/>
  <c r="O35" i="4" s="1"/>
  <c r="I155" i="1" l="1"/>
  <c r="K155" i="1" s="1"/>
  <c r="I59" i="1"/>
  <c r="K59" i="1" s="1"/>
  <c r="M126" i="4" l="1"/>
  <c r="O126" i="4" s="1"/>
  <c r="M128" i="4"/>
  <c r="O128" i="4" s="1"/>
  <c r="M940" i="4"/>
  <c r="O940" i="4" s="1"/>
  <c r="M117" i="4"/>
  <c r="O117" i="4" s="1"/>
  <c r="M115" i="4"/>
  <c r="O115" i="4" s="1"/>
  <c r="M576" i="4"/>
  <c r="O576" i="4" s="1"/>
  <c r="M814" i="4"/>
  <c r="O814" i="4" s="1"/>
  <c r="K360" i="3" l="1"/>
  <c r="M987" i="4"/>
  <c r="M986" i="4" l="1"/>
  <c r="O986" i="4" s="1"/>
  <c r="O987" i="4"/>
  <c r="K359" i="3"/>
  <c r="M360" i="3"/>
  <c r="K476" i="3"/>
  <c r="K475" i="3" l="1"/>
  <c r="M476" i="3"/>
  <c r="K358" i="3"/>
  <c r="M358" i="3" s="1"/>
  <c r="M359" i="3"/>
  <c r="M628" i="4"/>
  <c r="M627" i="4" l="1"/>
  <c r="O627" i="4" s="1"/>
  <c r="O628" i="4"/>
  <c r="K474" i="3"/>
  <c r="M474" i="3" s="1"/>
  <c r="M475" i="3"/>
  <c r="M918" i="4"/>
  <c r="O918" i="4" s="1"/>
  <c r="M977" i="4" l="1"/>
  <c r="O977" i="4" s="1"/>
  <c r="M924" i="4"/>
  <c r="O924" i="4" s="1"/>
  <c r="M869" i="4" l="1"/>
  <c r="O869" i="4" s="1"/>
  <c r="M867" i="4"/>
  <c r="O867" i="4" s="1"/>
  <c r="M861" i="4"/>
  <c r="O861" i="4" s="1"/>
  <c r="M997" i="4" l="1"/>
  <c r="O997" i="4" s="1"/>
  <c r="M999" i="4"/>
  <c r="O999" i="4" s="1"/>
  <c r="M746" i="4" l="1"/>
  <c r="O746" i="4" s="1"/>
  <c r="I109" i="1" l="1"/>
  <c r="K109" i="1" s="1"/>
  <c r="M773" i="4" l="1"/>
  <c r="O773" i="4" s="1"/>
  <c r="K420" i="3"/>
  <c r="M1047" i="4"/>
  <c r="M1046" i="4" l="1"/>
  <c r="O1046" i="4" s="1"/>
  <c r="O1047" i="4"/>
  <c r="K419" i="3"/>
  <c r="M420" i="3"/>
  <c r="I154" i="1"/>
  <c r="K154" i="1" s="1"/>
  <c r="K418" i="3" l="1"/>
  <c r="M418" i="3" s="1"/>
  <c r="M419" i="3"/>
  <c r="M839" i="4"/>
  <c r="O839" i="4" s="1"/>
  <c r="M1132" i="4" l="1"/>
  <c r="O1132" i="4" s="1"/>
  <c r="L375" i="5"/>
  <c r="N375" i="5" s="1"/>
  <c r="K612" i="3" l="1"/>
  <c r="M543" i="4"/>
  <c r="O543" i="4" s="1"/>
  <c r="K611" i="3" l="1"/>
  <c r="M612" i="3"/>
  <c r="M552" i="4"/>
  <c r="O552" i="4" s="1"/>
  <c r="K610" i="3" l="1"/>
  <c r="M610" i="3" s="1"/>
  <c r="M611" i="3"/>
  <c r="K357" i="3"/>
  <c r="M984" i="4"/>
  <c r="M962" i="4"/>
  <c r="O962" i="4" s="1"/>
  <c r="M1032" i="4"/>
  <c r="O1032" i="4" s="1"/>
  <c r="K148" i="3"/>
  <c r="M547" i="4"/>
  <c r="L534" i="5"/>
  <c r="M184" i="4"/>
  <c r="O184" i="4" s="1"/>
  <c r="M181" i="4"/>
  <c r="O181" i="4" s="1"/>
  <c r="K309" i="3"/>
  <c r="M936" i="4"/>
  <c r="O936" i="4" s="1"/>
  <c r="M976" i="4"/>
  <c r="O976" i="4" s="1"/>
  <c r="K349" i="3"/>
  <c r="M979" i="4"/>
  <c r="O979" i="4" s="1"/>
  <c r="K336" i="3"/>
  <c r="M963" i="4"/>
  <c r="O963" i="4" s="1"/>
  <c r="M983" i="4" l="1"/>
  <c r="O983" i="4" s="1"/>
  <c r="O984" i="4"/>
  <c r="M546" i="4"/>
  <c r="O547" i="4"/>
  <c r="K147" i="3"/>
  <c r="M148" i="3"/>
  <c r="K308" i="3"/>
  <c r="M308" i="3" s="1"/>
  <c r="M309" i="3"/>
  <c r="K348" i="3"/>
  <c r="M348" i="3" s="1"/>
  <c r="M349" i="3"/>
  <c r="K356" i="3"/>
  <c r="M357" i="3"/>
  <c r="K335" i="3"/>
  <c r="M335" i="3" s="1"/>
  <c r="M336" i="3"/>
  <c r="L533" i="5"/>
  <c r="N533" i="5" s="1"/>
  <c r="N534" i="5"/>
  <c r="F124" i="1"/>
  <c r="M545" i="4" l="1"/>
  <c r="O545" i="4" s="1"/>
  <c r="O546" i="4"/>
  <c r="K355" i="3"/>
  <c r="M355" i="3" s="1"/>
  <c r="M356" i="3"/>
  <c r="K146" i="3"/>
  <c r="M146" i="3" s="1"/>
  <c r="M147" i="3"/>
  <c r="G124" i="1"/>
  <c r="H124" i="1" s="1"/>
  <c r="M75" i="4" l="1"/>
  <c r="O75" i="4" s="1"/>
  <c r="M78" i="4"/>
  <c r="O78" i="4" s="1"/>
  <c r="M120" i="4"/>
  <c r="O120" i="4" s="1"/>
  <c r="M1123" i="4" l="1"/>
  <c r="O1123" i="4" s="1"/>
  <c r="M954" i="4" l="1"/>
  <c r="O954" i="4" s="1"/>
  <c r="M939" i="4"/>
  <c r="O939" i="4" s="1"/>
  <c r="M935" i="4"/>
  <c r="O935" i="4" s="1"/>
  <c r="M83" i="4" l="1"/>
  <c r="O83" i="4" s="1"/>
  <c r="M249" i="4"/>
  <c r="L284" i="5" l="1"/>
  <c r="N284" i="5" s="1"/>
  <c r="O249" i="4"/>
  <c r="M248" i="4"/>
  <c r="L285" i="5"/>
  <c r="N285" i="5" s="1"/>
  <c r="K98" i="3"/>
  <c r="M98" i="3" s="1"/>
  <c r="M247" i="4" l="1"/>
  <c r="O248" i="4"/>
  <c r="M461" i="4"/>
  <c r="O461" i="4" s="1"/>
  <c r="M459" i="4"/>
  <c r="M458" i="4" l="1"/>
  <c r="O458" i="4" s="1"/>
  <c r="O459" i="4"/>
  <c r="M246" i="4"/>
  <c r="O247" i="4"/>
  <c r="L27" i="5"/>
  <c r="N27" i="5" s="1"/>
  <c r="K816" i="3"/>
  <c r="L484" i="5"/>
  <c r="K377" i="3"/>
  <c r="M1029" i="4"/>
  <c r="O1029" i="4" s="1"/>
  <c r="M1004" i="4"/>
  <c r="M245" i="4" l="1"/>
  <c r="O245" i="4" s="1"/>
  <c r="O246" i="4"/>
  <c r="M1003" i="4"/>
  <c r="O1003" i="4" s="1"/>
  <c r="O1004" i="4"/>
  <c r="K376" i="3"/>
  <c r="M377" i="3"/>
  <c r="K815" i="3"/>
  <c r="M815" i="3" s="1"/>
  <c r="M816" i="3"/>
  <c r="L483" i="5"/>
  <c r="N484" i="5"/>
  <c r="M678" i="4"/>
  <c r="O678" i="4" s="1"/>
  <c r="K375" i="3" l="1"/>
  <c r="M375" i="3" s="1"/>
  <c r="M376" i="3"/>
  <c r="L482" i="5"/>
  <c r="N482" i="5" s="1"/>
  <c r="N483" i="5"/>
  <c r="L539" i="5"/>
  <c r="L518" i="5"/>
  <c r="L478" i="5"/>
  <c r="K240" i="3"/>
  <c r="M190" i="4"/>
  <c r="O190" i="4" s="1"/>
  <c r="M192" i="4"/>
  <c r="M191" i="4" l="1"/>
  <c r="O191" i="4" s="1"/>
  <c r="O192" i="4"/>
  <c r="K239" i="3"/>
  <c r="M240" i="3"/>
  <c r="L517" i="5"/>
  <c r="N518" i="5"/>
  <c r="L538" i="5"/>
  <c r="N538" i="5" s="1"/>
  <c r="N539" i="5"/>
  <c r="L477" i="5"/>
  <c r="N477" i="5" s="1"/>
  <c r="N478" i="5"/>
  <c r="I122" i="1"/>
  <c r="K122" i="1" s="1"/>
  <c r="K238" i="3" l="1"/>
  <c r="M238" i="3" s="1"/>
  <c r="M239" i="3"/>
  <c r="L516" i="5"/>
  <c r="N516" i="5" s="1"/>
  <c r="N517" i="5"/>
  <c r="K313" i="3"/>
  <c r="M313" i="3" s="1"/>
  <c r="K371" i="3" l="1"/>
  <c r="M998" i="4"/>
  <c r="O998" i="4" s="1"/>
  <c r="M941" i="4"/>
  <c r="L183" i="5"/>
  <c r="M938" i="4" l="1"/>
  <c r="O938" i="4" s="1"/>
  <c r="O941" i="4"/>
  <c r="K370" i="3"/>
  <c r="M370" i="3" s="1"/>
  <c r="M371" i="3"/>
  <c r="L182" i="5"/>
  <c r="N183" i="5"/>
  <c r="K245" i="3"/>
  <c r="M197" i="4"/>
  <c r="M196" i="4" l="1"/>
  <c r="O196" i="4" s="1"/>
  <c r="O197" i="4"/>
  <c r="K244" i="3"/>
  <c r="M245" i="3"/>
  <c r="L181" i="5"/>
  <c r="N181" i="5" s="1"/>
  <c r="N182" i="5"/>
  <c r="I99" i="1"/>
  <c r="I98" i="1" l="1"/>
  <c r="K243" i="3"/>
  <c r="M243" i="3" s="1"/>
  <c r="M244" i="3"/>
  <c r="K521" i="3"/>
  <c r="K520" i="3" l="1"/>
  <c r="M521" i="3"/>
  <c r="M668" i="4"/>
  <c r="M667" i="4" l="1"/>
  <c r="O667" i="4" s="1"/>
  <c r="O668" i="4"/>
  <c r="K519" i="3"/>
  <c r="M519" i="3" s="1"/>
  <c r="M520" i="3"/>
  <c r="M241" i="4"/>
  <c r="O241" i="4" s="1"/>
  <c r="M239" i="4" l="1"/>
  <c r="O239" i="4" s="1"/>
  <c r="K172" i="3" l="1"/>
  <c r="M127" i="4"/>
  <c r="O127" i="4" s="1"/>
  <c r="K171" i="3" l="1"/>
  <c r="M171" i="3" s="1"/>
  <c r="M172" i="3"/>
  <c r="K158" i="3"/>
  <c r="M214" i="4"/>
  <c r="O214" i="4" s="1"/>
  <c r="M216" i="4"/>
  <c r="O216" i="4" s="1"/>
  <c r="M133" i="4"/>
  <c r="O133" i="4" s="1"/>
  <c r="M131" i="4"/>
  <c r="O131" i="4" s="1"/>
  <c r="M179" i="4"/>
  <c r="O179" i="4" s="1"/>
  <c r="M149" i="4"/>
  <c r="O149" i="4" s="1"/>
  <c r="M51" i="4"/>
  <c r="O51" i="4" s="1"/>
  <c r="K237" i="3"/>
  <c r="M237" i="3" s="1"/>
  <c r="M854" i="4"/>
  <c r="O854" i="4" s="1"/>
  <c r="M905" i="4"/>
  <c r="O905" i="4" s="1"/>
  <c r="M900" i="4"/>
  <c r="O900" i="4" s="1"/>
  <c r="M173" i="4"/>
  <c r="O173" i="4" s="1"/>
  <c r="K157" i="3" l="1"/>
  <c r="M157" i="3" s="1"/>
  <c r="M158" i="3"/>
  <c r="M116" i="4"/>
  <c r="O116" i="4" s="1"/>
  <c r="K354" i="3" l="1"/>
  <c r="M354" i="3" s="1"/>
  <c r="M981" i="4"/>
  <c r="M980" i="4" l="1"/>
  <c r="O980" i="4" s="1"/>
  <c r="O981" i="4"/>
  <c r="M44" i="4"/>
  <c r="O44" i="4" s="1"/>
  <c r="K47" i="3" l="1"/>
  <c r="M47" i="4"/>
  <c r="G47" i="4"/>
  <c r="G46" i="4" s="1"/>
  <c r="L46" i="4"/>
  <c r="K46" i="4"/>
  <c r="J46" i="4"/>
  <c r="I46" i="4"/>
  <c r="H46" i="4"/>
  <c r="I45" i="4"/>
  <c r="G45" i="4"/>
  <c r="M46" i="4" l="1"/>
  <c r="O47" i="4"/>
  <c r="K46" i="3"/>
  <c r="M46" i="3" s="1"/>
  <c r="M47" i="3"/>
  <c r="K49" i="3"/>
  <c r="M43" i="4" l="1"/>
  <c r="O43" i="4" s="1"/>
  <c r="O46" i="4"/>
  <c r="K48" i="3"/>
  <c r="M49" i="3"/>
  <c r="I153" i="1"/>
  <c r="K153" i="1" s="1"/>
  <c r="I112" i="1"/>
  <c r="K112" i="1" s="1"/>
  <c r="C115" i="1"/>
  <c r="D115" i="1"/>
  <c r="D110" i="1" s="1"/>
  <c r="E115" i="1"/>
  <c r="F115" i="1"/>
  <c r="F110" i="1" s="1"/>
  <c r="G115" i="1"/>
  <c r="G110" i="1" s="1"/>
  <c r="H115" i="1"/>
  <c r="H110" i="1" s="1"/>
  <c r="I115" i="1"/>
  <c r="K115" i="1" s="1"/>
  <c r="I110" i="1" l="1"/>
  <c r="K110" i="1" s="1"/>
  <c r="K45" i="3"/>
  <c r="M45" i="3" s="1"/>
  <c r="M48" i="3"/>
  <c r="C110" i="1"/>
  <c r="E110" i="1"/>
  <c r="K291" i="3"/>
  <c r="M921" i="4"/>
  <c r="M920" i="4" l="1"/>
  <c r="O920" i="4" s="1"/>
  <c r="O921" i="4"/>
  <c r="K290" i="3"/>
  <c r="M291" i="3"/>
  <c r="L633" i="5"/>
  <c r="L620" i="5"/>
  <c r="N620" i="5" s="1"/>
  <c r="L619" i="5"/>
  <c r="N619" i="5" s="1"/>
  <c r="L618" i="5"/>
  <c r="N618" i="5" s="1"/>
  <c r="L613" i="5"/>
  <c r="L465" i="5"/>
  <c r="N465" i="5" s="1"/>
  <c r="K143" i="3"/>
  <c r="K133" i="3"/>
  <c r="M133" i="3" s="1"/>
  <c r="K130" i="3"/>
  <c r="M130" i="3" s="1"/>
  <c r="K935" i="3"/>
  <c r="M842" i="4"/>
  <c r="M809" i="4"/>
  <c r="O809" i="4" s="1"/>
  <c r="K139" i="3"/>
  <c r="M542" i="4"/>
  <c r="M70" i="4"/>
  <c r="O70" i="4" s="1"/>
  <c r="M20" i="4"/>
  <c r="O20" i="4" s="1"/>
  <c r="M18" i="4"/>
  <c r="O18" i="4" s="1"/>
  <c r="M841" i="4" l="1"/>
  <c r="O842" i="4"/>
  <c r="M541" i="4"/>
  <c r="O542" i="4"/>
  <c r="K138" i="3"/>
  <c r="M139" i="3"/>
  <c r="K934" i="3"/>
  <c r="M935" i="3"/>
  <c r="K142" i="3"/>
  <c r="M143" i="3"/>
  <c r="K289" i="3"/>
  <c r="M289" i="3" s="1"/>
  <c r="M290" i="3"/>
  <c r="L612" i="5"/>
  <c r="N613" i="5"/>
  <c r="L632" i="5"/>
  <c r="N633" i="5"/>
  <c r="M540" i="4" l="1"/>
  <c r="O541" i="4"/>
  <c r="M840" i="4"/>
  <c r="O841" i="4"/>
  <c r="K933" i="3"/>
  <c r="M934" i="3"/>
  <c r="K141" i="3"/>
  <c r="M142" i="3"/>
  <c r="K137" i="3"/>
  <c r="M137" i="3" s="1"/>
  <c r="M138" i="3"/>
  <c r="L631" i="5"/>
  <c r="N632" i="5"/>
  <c r="L611" i="5"/>
  <c r="N612" i="5"/>
  <c r="M716" i="4"/>
  <c r="O716" i="4" s="1"/>
  <c r="M644" i="4"/>
  <c r="O644" i="4" s="1"/>
  <c r="M110" i="4"/>
  <c r="O840" i="4" l="1"/>
  <c r="O1179" i="4" s="1"/>
  <c r="M1179" i="4"/>
  <c r="O540" i="4"/>
  <c r="O1186" i="4" s="1"/>
  <c r="M1186" i="4"/>
  <c r="K151" i="3"/>
  <c r="M151" i="3" s="1"/>
  <c r="O110" i="4"/>
  <c r="K140" i="3"/>
  <c r="M140" i="3" s="1"/>
  <c r="M141" i="3"/>
  <c r="K932" i="3"/>
  <c r="M932" i="3" s="1"/>
  <c r="M933" i="3"/>
  <c r="N611" i="5"/>
  <c r="L610" i="5"/>
  <c r="N610" i="5" s="1"/>
  <c r="L614" i="5"/>
  <c r="N614" i="5" s="1"/>
  <c r="L630" i="5"/>
  <c r="N631" i="5"/>
  <c r="M820" i="4"/>
  <c r="O820" i="4" s="1"/>
  <c r="M740" i="4"/>
  <c r="O740" i="4" s="1"/>
  <c r="M320" i="4"/>
  <c r="O320" i="4" s="1"/>
  <c r="M317" i="4"/>
  <c r="O317" i="4" s="1"/>
  <c r="M638" i="4"/>
  <c r="O638" i="4" s="1"/>
  <c r="M710" i="4"/>
  <c r="O710" i="4" s="1"/>
  <c r="M737" i="4"/>
  <c r="O737" i="4" s="1"/>
  <c r="M817" i="4"/>
  <c r="O817" i="4" s="1"/>
  <c r="M410" i="4"/>
  <c r="O410" i="4" s="1"/>
  <c r="I142" i="1"/>
  <c r="K142" i="1" s="1"/>
  <c r="I152" i="1"/>
  <c r="K152" i="1" s="1"/>
  <c r="I151" i="1"/>
  <c r="K151" i="1" s="1"/>
  <c r="I145" i="1"/>
  <c r="K145" i="1" s="1"/>
  <c r="I139" i="1"/>
  <c r="K139" i="1" s="1"/>
  <c r="I137" i="1"/>
  <c r="K137" i="1" s="1"/>
  <c r="I134" i="1"/>
  <c r="K134" i="1" s="1"/>
  <c r="L629" i="5" l="1"/>
  <c r="N630" i="5"/>
  <c r="O82" i="3"/>
  <c r="O81" i="3"/>
  <c r="I61" i="2"/>
  <c r="L628" i="5" l="1"/>
  <c r="N629" i="5"/>
  <c r="K132" i="3"/>
  <c r="K136" i="3"/>
  <c r="M136" i="3" s="1"/>
  <c r="M1122" i="4"/>
  <c r="L1122" i="4"/>
  <c r="L1120" i="4" s="1"/>
  <c r="K1122" i="4"/>
  <c r="K1120" i="4" s="1"/>
  <c r="J1122" i="4"/>
  <c r="J1121" i="4" s="1"/>
  <c r="I1122" i="4"/>
  <c r="I1121" i="4" s="1"/>
  <c r="H1122" i="4"/>
  <c r="H1120" i="4" s="1"/>
  <c r="G1122" i="4"/>
  <c r="G1120" i="4" s="1"/>
  <c r="M722" i="4"/>
  <c r="O722" i="4" s="1"/>
  <c r="M786" i="4"/>
  <c r="L786" i="4"/>
  <c r="L785" i="4" s="1"/>
  <c r="K786" i="4"/>
  <c r="K785" i="4" s="1"/>
  <c r="J786" i="4"/>
  <c r="J784" i="4" s="1"/>
  <c r="I786" i="4"/>
  <c r="I784" i="4" s="1"/>
  <c r="H786" i="4"/>
  <c r="H785" i="4" s="1"/>
  <c r="G786" i="4"/>
  <c r="G785" i="4" s="1"/>
  <c r="M594" i="4"/>
  <c r="L594" i="4"/>
  <c r="L593" i="4" s="1"/>
  <c r="K594" i="4"/>
  <c r="K593" i="4" s="1"/>
  <c r="J594" i="4"/>
  <c r="J593" i="4" s="1"/>
  <c r="I594" i="4"/>
  <c r="I593" i="4" s="1"/>
  <c r="H594" i="4"/>
  <c r="H593" i="4" s="1"/>
  <c r="G594" i="4"/>
  <c r="G593" i="4" s="1"/>
  <c r="M280" i="4"/>
  <c r="L280" i="4"/>
  <c r="L279" i="4" s="1"/>
  <c r="K280" i="4"/>
  <c r="K279" i="4" s="1"/>
  <c r="J280" i="4"/>
  <c r="J279" i="4" s="1"/>
  <c r="I280" i="4"/>
  <c r="I279" i="4" s="1"/>
  <c r="H280" i="4"/>
  <c r="H279" i="4" s="1"/>
  <c r="G280" i="4"/>
  <c r="G279" i="4" s="1"/>
  <c r="L608" i="5"/>
  <c r="M277" i="4"/>
  <c r="L277" i="4"/>
  <c r="L276" i="4" s="1"/>
  <c r="L275" i="4" s="1"/>
  <c r="K277" i="4"/>
  <c r="K276" i="4" s="1"/>
  <c r="K275" i="4" s="1"/>
  <c r="J277" i="4"/>
  <c r="J276" i="4" s="1"/>
  <c r="J275" i="4" s="1"/>
  <c r="I277" i="4"/>
  <c r="I276" i="4" s="1"/>
  <c r="I275" i="4" s="1"/>
  <c r="H277" i="4"/>
  <c r="H276" i="4" s="1"/>
  <c r="H275" i="4" s="1"/>
  <c r="G277" i="4"/>
  <c r="G276" i="4" s="1"/>
  <c r="G275" i="4" s="1"/>
  <c r="M276" i="4" l="1"/>
  <c r="O276" i="4" s="1"/>
  <c r="O277" i="4"/>
  <c r="M279" i="4"/>
  <c r="O279" i="4" s="1"/>
  <c r="O280" i="4"/>
  <c r="M593" i="4"/>
  <c r="O594" i="4"/>
  <c r="M785" i="4"/>
  <c r="O786" i="4"/>
  <c r="M1121" i="4"/>
  <c r="O1122" i="4"/>
  <c r="K131" i="3"/>
  <c r="M131" i="3" s="1"/>
  <c r="M132" i="3"/>
  <c r="L607" i="5"/>
  <c r="N608" i="5"/>
  <c r="L634" i="5"/>
  <c r="N634" i="5" s="1"/>
  <c r="N628" i="5"/>
  <c r="J1120" i="4"/>
  <c r="G784" i="4"/>
  <c r="J785" i="4"/>
  <c r="I785" i="4"/>
  <c r="L592" i="4"/>
  <c r="L1121" i="4"/>
  <c r="H592" i="4"/>
  <c r="H1121" i="4"/>
  <c r="K784" i="4"/>
  <c r="H784" i="4"/>
  <c r="L784" i="4"/>
  <c r="G592" i="4"/>
  <c r="J592" i="4"/>
  <c r="I1120" i="4"/>
  <c r="G1121" i="4"/>
  <c r="K1121" i="4"/>
  <c r="L617" i="5"/>
  <c r="K592" i="4"/>
  <c r="I592" i="4"/>
  <c r="M275" i="4" l="1"/>
  <c r="O275" i="4" s="1"/>
  <c r="M784" i="4"/>
  <c r="O785" i="4"/>
  <c r="M1120" i="4"/>
  <c r="O1121" i="4"/>
  <c r="M592" i="4"/>
  <c r="O592" i="4" s="1"/>
  <c r="O593" i="4"/>
  <c r="L616" i="5"/>
  <c r="N617" i="5"/>
  <c r="L606" i="5"/>
  <c r="N607" i="5"/>
  <c r="L604" i="5"/>
  <c r="K604" i="5"/>
  <c r="K603" i="5" s="1"/>
  <c r="K602" i="5" s="1"/>
  <c r="J604" i="5"/>
  <c r="J603" i="5" s="1"/>
  <c r="J602" i="5" s="1"/>
  <c r="I604" i="5"/>
  <c r="I603" i="5" s="1"/>
  <c r="I602" i="5" s="1"/>
  <c r="H604" i="5"/>
  <c r="H603" i="5" s="1"/>
  <c r="H602" i="5" s="1"/>
  <c r="G604" i="5"/>
  <c r="G603" i="5" s="1"/>
  <c r="G602" i="5" s="1"/>
  <c r="M104" i="4"/>
  <c r="L104" i="4"/>
  <c r="L103" i="4" s="1"/>
  <c r="K104" i="4"/>
  <c r="K103" i="4" s="1"/>
  <c r="J104" i="4"/>
  <c r="J103" i="4" s="1"/>
  <c r="I104" i="4"/>
  <c r="I103" i="4" s="1"/>
  <c r="H104" i="4"/>
  <c r="H103" i="4" s="1"/>
  <c r="G104" i="4"/>
  <c r="G103" i="4" s="1"/>
  <c r="M1119" i="4" l="1"/>
  <c r="O1120" i="4"/>
  <c r="M103" i="4"/>
  <c r="O103" i="4" s="1"/>
  <c r="O104" i="4"/>
  <c r="M783" i="4"/>
  <c r="O784" i="4"/>
  <c r="L609" i="5"/>
  <c r="N609" i="5" s="1"/>
  <c r="N606" i="5"/>
  <c r="L603" i="5"/>
  <c r="N604" i="5"/>
  <c r="L615" i="5"/>
  <c r="N615" i="5" s="1"/>
  <c r="N616" i="5"/>
  <c r="O16" i="7"/>
  <c r="Q16" i="7" s="1"/>
  <c r="S16" i="7" s="1"/>
  <c r="M782" i="4" l="1"/>
  <c r="O782" i="4" s="1"/>
  <c r="O783" i="4"/>
  <c r="M1118" i="4"/>
  <c r="O1118" i="4" s="1"/>
  <c r="O1119" i="4"/>
  <c r="L602" i="5"/>
  <c r="N602" i="5" s="1"/>
  <c r="N603" i="5"/>
  <c r="M713" i="4"/>
  <c r="O713" i="4" s="1"/>
  <c r="K893" i="3"/>
  <c r="M893" i="3" s="1"/>
  <c r="K514" i="5" l="1"/>
  <c r="K513" i="5" s="1"/>
  <c r="K512" i="5" s="1"/>
  <c r="K511" i="5" s="1"/>
  <c r="K519" i="5" s="1"/>
  <c r="J514" i="5"/>
  <c r="J513" i="5" s="1"/>
  <c r="J512" i="5" s="1"/>
  <c r="J511" i="5" s="1"/>
  <c r="J519" i="5" s="1"/>
  <c r="I514" i="5"/>
  <c r="I513" i="5" s="1"/>
  <c r="I512" i="5" s="1"/>
  <c r="I511" i="5" s="1"/>
  <c r="I519" i="5" s="1"/>
  <c r="H514" i="5"/>
  <c r="H513" i="5" s="1"/>
  <c r="H512" i="5" s="1"/>
  <c r="H511" i="5" s="1"/>
  <c r="H519" i="5" s="1"/>
  <c r="L515" i="5"/>
  <c r="G514" i="5"/>
  <c r="G513" i="5" s="1"/>
  <c r="G512" i="5" s="1"/>
  <c r="G511" i="5" s="1"/>
  <c r="G519" i="5" s="1"/>
  <c r="K249" i="5"/>
  <c r="K248" i="5" s="1"/>
  <c r="K247" i="5" s="1"/>
  <c r="K246" i="5" s="1"/>
  <c r="K251" i="5" s="1"/>
  <c r="J249" i="5"/>
  <c r="J248" i="5" s="1"/>
  <c r="J247" i="5" s="1"/>
  <c r="J246" i="5" s="1"/>
  <c r="J251" i="5" s="1"/>
  <c r="I249" i="5"/>
  <c r="I248" i="5" s="1"/>
  <c r="I247" i="5" s="1"/>
  <c r="I246" i="5" s="1"/>
  <c r="I251" i="5" s="1"/>
  <c r="H249" i="5"/>
  <c r="H248" i="5" s="1"/>
  <c r="H247" i="5" s="1"/>
  <c r="H246" i="5" s="1"/>
  <c r="H251" i="5" s="1"/>
  <c r="G249" i="5"/>
  <c r="G248" i="5" s="1"/>
  <c r="G247" i="5" s="1"/>
  <c r="G246" i="5" s="1"/>
  <c r="G251" i="5" s="1"/>
  <c r="J266" i="3"/>
  <c r="J265" i="3" s="1"/>
  <c r="J264" i="3" s="1"/>
  <c r="J263" i="3" s="1"/>
  <c r="I266" i="3"/>
  <c r="I265" i="3" s="1"/>
  <c r="I264" i="3" s="1"/>
  <c r="I263" i="3" s="1"/>
  <c r="H266" i="3"/>
  <c r="H265" i="3" s="1"/>
  <c r="H264" i="3" s="1"/>
  <c r="H263" i="3" s="1"/>
  <c r="G266" i="3"/>
  <c r="G265" i="3" s="1"/>
  <c r="G264" i="3" s="1"/>
  <c r="G263" i="3" s="1"/>
  <c r="F266" i="3"/>
  <c r="F265" i="3" s="1"/>
  <c r="F264" i="3" s="1"/>
  <c r="F263" i="3" s="1"/>
  <c r="K236" i="3"/>
  <c r="J237" i="3"/>
  <c r="J236" i="3" s="1"/>
  <c r="J235" i="3" s="1"/>
  <c r="J234" i="3" s="1"/>
  <c r="I237" i="3"/>
  <c r="I236" i="3" s="1"/>
  <c r="I235" i="3" s="1"/>
  <c r="I234" i="3" s="1"/>
  <c r="H237" i="3"/>
  <c r="H236" i="3" s="1"/>
  <c r="H235" i="3" s="1"/>
  <c r="H234" i="3" s="1"/>
  <c r="G237" i="3"/>
  <c r="G236" i="3" s="1"/>
  <c r="G235" i="3" s="1"/>
  <c r="G234" i="3" s="1"/>
  <c r="F237" i="3"/>
  <c r="F236" i="3" s="1"/>
  <c r="F235" i="3" s="1"/>
  <c r="F234" i="3" s="1"/>
  <c r="M206" i="4"/>
  <c r="I205" i="4"/>
  <c r="I204" i="4" s="1"/>
  <c r="I203" i="4" s="1"/>
  <c r="L205" i="4"/>
  <c r="L204" i="4" s="1"/>
  <c r="L203" i="4" s="1"/>
  <c r="K205" i="4"/>
  <c r="K204" i="4" s="1"/>
  <c r="K203" i="4" s="1"/>
  <c r="J205" i="4"/>
  <c r="J204" i="4" s="1"/>
  <c r="J203" i="4" s="1"/>
  <c r="H205" i="4"/>
  <c r="H204" i="4" s="1"/>
  <c r="H203" i="4" s="1"/>
  <c r="G205" i="4"/>
  <c r="G204" i="4" s="1"/>
  <c r="G203" i="4" s="1"/>
  <c r="I189" i="4"/>
  <c r="I188" i="4" s="1"/>
  <c r="I187" i="4" s="1"/>
  <c r="G189" i="4"/>
  <c r="G188" i="4" s="1"/>
  <c r="G187" i="4" s="1"/>
  <c r="M189" i="4"/>
  <c r="L189" i="4"/>
  <c r="L188" i="4" s="1"/>
  <c r="L187" i="4" s="1"/>
  <c r="K189" i="4"/>
  <c r="K188" i="4" s="1"/>
  <c r="K187" i="4" s="1"/>
  <c r="J189" i="4"/>
  <c r="J188" i="4" s="1"/>
  <c r="J187" i="4" s="1"/>
  <c r="H189" i="4"/>
  <c r="H188" i="4" s="1"/>
  <c r="H187" i="4" s="1"/>
  <c r="M188" i="4" l="1"/>
  <c r="O188" i="4" s="1"/>
  <c r="O189" i="4"/>
  <c r="L250" i="5"/>
  <c r="L249" i="5" s="1"/>
  <c r="O206" i="4"/>
  <c r="K235" i="3"/>
  <c r="M236" i="3"/>
  <c r="N250" i="5"/>
  <c r="L514" i="5"/>
  <c r="N515" i="5"/>
  <c r="M187" i="4"/>
  <c r="M205" i="4"/>
  <c r="K266" i="3"/>
  <c r="F100" i="1"/>
  <c r="M204" i="4" l="1"/>
  <c r="O205" i="4"/>
  <c r="M1181" i="4"/>
  <c r="O187" i="4"/>
  <c r="O1181" i="4" s="1"/>
  <c r="K265" i="3"/>
  <c r="M266" i="3"/>
  <c r="K234" i="3"/>
  <c r="M234" i="3" s="1"/>
  <c r="M235" i="3"/>
  <c r="L513" i="5"/>
  <c r="N514" i="5"/>
  <c r="L248" i="5"/>
  <c r="N249" i="5"/>
  <c r="G868" i="3"/>
  <c r="F868" i="3"/>
  <c r="I1086" i="4"/>
  <c r="I1085" i="4" s="1"/>
  <c r="F20" i="3"/>
  <c r="M203" i="4" l="1"/>
  <c r="O204" i="4"/>
  <c r="K264" i="3"/>
  <c r="M265" i="3"/>
  <c r="L247" i="5"/>
  <c r="N248" i="5"/>
  <c r="N513" i="5"/>
  <c r="L512" i="5"/>
  <c r="G1086" i="4"/>
  <c r="M1173" i="4" l="1"/>
  <c r="O203" i="4"/>
  <c r="O1173" i="4" s="1"/>
  <c r="K263" i="3"/>
  <c r="M263" i="3" s="1"/>
  <c r="M264" i="3"/>
  <c r="L511" i="5"/>
  <c r="N512" i="5"/>
  <c r="L246" i="5"/>
  <c r="N247" i="5"/>
  <c r="K392" i="3"/>
  <c r="M392" i="3" s="1"/>
  <c r="J392" i="3"/>
  <c r="I392" i="3"/>
  <c r="H392" i="3"/>
  <c r="G392" i="3"/>
  <c r="F392" i="3"/>
  <c r="L251" i="5" l="1"/>
  <c r="N251" i="5" s="1"/>
  <c r="N246" i="5"/>
  <c r="L519" i="5"/>
  <c r="N519" i="5" s="1"/>
  <c r="N511" i="5"/>
  <c r="G125" i="3"/>
  <c r="G124" i="3" s="1"/>
  <c r="G122" i="3"/>
  <c r="G121" i="3" s="1"/>
  <c r="G119" i="3"/>
  <c r="G118" i="3" s="1"/>
  <c r="G116" i="3"/>
  <c r="G115" i="3" s="1"/>
  <c r="G113" i="3"/>
  <c r="G112" i="3" s="1"/>
  <c r="F113" i="3"/>
  <c r="F112" i="3" s="1"/>
  <c r="F116" i="3"/>
  <c r="F115" i="3" s="1"/>
  <c r="F119" i="3"/>
  <c r="F118" i="3" s="1"/>
  <c r="F122" i="3"/>
  <c r="F121" i="3" s="1"/>
  <c r="F125" i="3"/>
  <c r="F124" i="3" s="1"/>
  <c r="K126" i="3"/>
  <c r="J126" i="3"/>
  <c r="J125" i="3" s="1"/>
  <c r="J124" i="3" s="1"/>
  <c r="I126" i="3"/>
  <c r="I125" i="3" s="1"/>
  <c r="I124" i="3" s="1"/>
  <c r="K123" i="3"/>
  <c r="J123" i="3"/>
  <c r="J122" i="3" s="1"/>
  <c r="J121" i="3" s="1"/>
  <c r="I123" i="3"/>
  <c r="I122" i="3" s="1"/>
  <c r="I121" i="3" s="1"/>
  <c r="K120" i="3"/>
  <c r="J120" i="3"/>
  <c r="J119" i="3" s="1"/>
  <c r="J118" i="3" s="1"/>
  <c r="I120" i="3"/>
  <c r="I119" i="3" s="1"/>
  <c r="I118" i="3" s="1"/>
  <c r="K117" i="3"/>
  <c r="J117" i="3"/>
  <c r="J116" i="3" s="1"/>
  <c r="J115" i="3" s="1"/>
  <c r="I117" i="3"/>
  <c r="I116" i="3" s="1"/>
  <c r="I115" i="3" s="1"/>
  <c r="K114" i="3"/>
  <c r="J114" i="3"/>
  <c r="J113" i="3" s="1"/>
  <c r="J112" i="3" s="1"/>
  <c r="I114" i="3"/>
  <c r="I113" i="3" s="1"/>
  <c r="I112" i="3" s="1"/>
  <c r="H126" i="3"/>
  <c r="H125" i="3" s="1"/>
  <c r="H124" i="3" s="1"/>
  <c r="H120" i="3"/>
  <c r="H119" i="3" s="1"/>
  <c r="H118" i="3" s="1"/>
  <c r="H117" i="3"/>
  <c r="H116" i="3" s="1"/>
  <c r="H115" i="3" s="1"/>
  <c r="H114" i="3"/>
  <c r="H113" i="3" s="1"/>
  <c r="H112" i="3" s="1"/>
  <c r="H123" i="3"/>
  <c r="H122" i="3" s="1"/>
  <c r="H121" i="3" s="1"/>
  <c r="H593" i="5"/>
  <c r="H592" i="5" s="1"/>
  <c r="G593" i="5"/>
  <c r="G592" i="5" s="1"/>
  <c r="L594" i="5"/>
  <c r="K594" i="5"/>
  <c r="K593" i="5" s="1"/>
  <c r="K592" i="5" s="1"/>
  <c r="J594" i="5"/>
  <c r="J593" i="5" s="1"/>
  <c r="J592" i="5" s="1"/>
  <c r="I594" i="5"/>
  <c r="I593" i="5" s="1"/>
  <c r="I592" i="5" s="1"/>
  <c r="H579" i="5"/>
  <c r="H578" i="5" s="1"/>
  <c r="G579" i="5"/>
  <c r="G578" i="5" s="1"/>
  <c r="L580" i="5"/>
  <c r="K580" i="5"/>
  <c r="K579" i="5" s="1"/>
  <c r="K578" i="5" s="1"/>
  <c r="J580" i="5"/>
  <c r="J579" i="5" s="1"/>
  <c r="J578" i="5" s="1"/>
  <c r="I580" i="5"/>
  <c r="I579" i="5" s="1"/>
  <c r="I578" i="5" s="1"/>
  <c r="L582" i="5"/>
  <c r="N582" i="5" s="1"/>
  <c r="K582" i="5"/>
  <c r="J582" i="5"/>
  <c r="I582" i="5"/>
  <c r="H582" i="5"/>
  <c r="G582" i="5"/>
  <c r="L558" i="5"/>
  <c r="N558" i="5" s="1"/>
  <c r="K558" i="5"/>
  <c r="J558" i="5"/>
  <c r="I558" i="5"/>
  <c r="L571" i="5"/>
  <c r="K571" i="5"/>
  <c r="K570" i="5" s="1"/>
  <c r="J571" i="5"/>
  <c r="J570" i="5" s="1"/>
  <c r="I571" i="5"/>
  <c r="I570" i="5" s="1"/>
  <c r="H571" i="5"/>
  <c r="H570" i="5" s="1"/>
  <c r="G571" i="5"/>
  <c r="G570" i="5" s="1"/>
  <c r="H574" i="5"/>
  <c r="H573" i="5" s="1"/>
  <c r="G574" i="5"/>
  <c r="G573" i="5" s="1"/>
  <c r="L575" i="5"/>
  <c r="K575" i="5"/>
  <c r="K574" i="5" s="1"/>
  <c r="K573" i="5" s="1"/>
  <c r="J575" i="5"/>
  <c r="J574" i="5" s="1"/>
  <c r="J573" i="5" s="1"/>
  <c r="I575" i="5"/>
  <c r="I574" i="5" s="1"/>
  <c r="I573" i="5" s="1"/>
  <c r="H568" i="5"/>
  <c r="H567" i="5" s="1"/>
  <c r="G568" i="5"/>
  <c r="G567" i="5" s="1"/>
  <c r="L569" i="5"/>
  <c r="K569" i="5"/>
  <c r="K568" i="5" s="1"/>
  <c r="K567" i="5" s="1"/>
  <c r="J569" i="5"/>
  <c r="J568" i="5" s="1"/>
  <c r="J567" i="5" s="1"/>
  <c r="I569" i="5"/>
  <c r="I568" i="5" s="1"/>
  <c r="I567" i="5" s="1"/>
  <c r="H565" i="5"/>
  <c r="H564" i="5" s="1"/>
  <c r="G565" i="5"/>
  <c r="G564" i="5" s="1"/>
  <c r="L566" i="5"/>
  <c r="K566" i="5"/>
  <c r="K565" i="5" s="1"/>
  <c r="K564" i="5" s="1"/>
  <c r="J566" i="5"/>
  <c r="J565" i="5" s="1"/>
  <c r="J564" i="5" s="1"/>
  <c r="I566" i="5"/>
  <c r="I565" i="5" s="1"/>
  <c r="I564" i="5" s="1"/>
  <c r="L953" i="4"/>
  <c r="L952" i="4" s="1"/>
  <c r="K953" i="4"/>
  <c r="K952" i="4" s="1"/>
  <c r="J953" i="4"/>
  <c r="J952" i="4" s="1"/>
  <c r="L950" i="4"/>
  <c r="L949" i="4" s="1"/>
  <c r="K950" i="4"/>
  <c r="K949" i="4" s="1"/>
  <c r="J950" i="4"/>
  <c r="J949" i="4" s="1"/>
  <c r="L947" i="4"/>
  <c r="L946" i="4" s="1"/>
  <c r="K947" i="4"/>
  <c r="K946" i="4" s="1"/>
  <c r="J947" i="4"/>
  <c r="J946" i="4" s="1"/>
  <c r="L945" i="4"/>
  <c r="L944" i="4" s="1"/>
  <c r="L943" i="4" s="1"/>
  <c r="K945" i="4"/>
  <c r="K944" i="4" s="1"/>
  <c r="K943" i="4" s="1"/>
  <c r="J945" i="4"/>
  <c r="J944" i="4" s="1"/>
  <c r="J943" i="4" s="1"/>
  <c r="L940" i="4"/>
  <c r="L939" i="4" s="1"/>
  <c r="L938" i="4" s="1"/>
  <c r="K940" i="4"/>
  <c r="K939" i="4" s="1"/>
  <c r="K938" i="4" s="1"/>
  <c r="J940" i="4"/>
  <c r="J939" i="4" s="1"/>
  <c r="J938" i="4" s="1"/>
  <c r="L935" i="4"/>
  <c r="L934" i="4" s="1"/>
  <c r="L933" i="4" s="1"/>
  <c r="K935" i="4"/>
  <c r="K934" i="4" s="1"/>
  <c r="K933" i="4" s="1"/>
  <c r="J935" i="4"/>
  <c r="J934" i="4" s="1"/>
  <c r="J933" i="4" s="1"/>
  <c r="L931" i="4"/>
  <c r="L930" i="4" s="1"/>
  <c r="K931" i="4"/>
  <c r="K930" i="4" s="1"/>
  <c r="J931" i="4"/>
  <c r="J930" i="4" s="1"/>
  <c r="L928" i="4"/>
  <c r="L927" i="4" s="1"/>
  <c r="K928" i="4"/>
  <c r="K927" i="4" s="1"/>
  <c r="J928" i="4"/>
  <c r="J927" i="4" s="1"/>
  <c r="M585" i="4"/>
  <c r="L585" i="4"/>
  <c r="L584" i="4" s="1"/>
  <c r="K585" i="4"/>
  <c r="K584" i="4" s="1"/>
  <c r="J585" i="4"/>
  <c r="J584" i="4" s="1"/>
  <c r="I585" i="4"/>
  <c r="I584" i="4" s="1"/>
  <c r="H585" i="4"/>
  <c r="H584" i="4" s="1"/>
  <c r="G585" i="4"/>
  <c r="G584" i="4" s="1"/>
  <c r="M582" i="4"/>
  <c r="L582" i="4"/>
  <c r="L581" i="4" s="1"/>
  <c r="K582" i="4"/>
  <c r="K581" i="4" s="1"/>
  <c r="J582" i="4"/>
  <c r="J581" i="4" s="1"/>
  <c r="I582" i="4"/>
  <c r="I581" i="4" s="1"/>
  <c r="H582" i="4"/>
  <c r="H581" i="4" s="1"/>
  <c r="G582" i="4"/>
  <c r="G581" i="4" s="1"/>
  <c r="M268" i="4"/>
  <c r="L268" i="4"/>
  <c r="L267" i="4" s="1"/>
  <c r="L266" i="4" s="1"/>
  <c r="K268" i="4"/>
  <c r="K267" i="4" s="1"/>
  <c r="K266" i="4" s="1"/>
  <c r="J268" i="4"/>
  <c r="J267" i="4" s="1"/>
  <c r="J266" i="4" s="1"/>
  <c r="I268" i="4"/>
  <c r="I267" i="4" s="1"/>
  <c r="I266" i="4" s="1"/>
  <c r="H268" i="4"/>
  <c r="H267" i="4" s="1"/>
  <c r="H266" i="4" s="1"/>
  <c r="G268" i="4"/>
  <c r="G267" i="4" s="1"/>
  <c r="G266" i="4" s="1"/>
  <c r="M264" i="4"/>
  <c r="L264" i="4"/>
  <c r="L263" i="4" s="1"/>
  <c r="K264" i="4"/>
  <c r="K263" i="4" s="1"/>
  <c r="J264" i="4"/>
  <c r="J263" i="4" s="1"/>
  <c r="I264" i="4"/>
  <c r="I263" i="4" s="1"/>
  <c r="H264" i="4"/>
  <c r="H263" i="4" s="1"/>
  <c r="G264" i="4"/>
  <c r="G263" i="4" s="1"/>
  <c r="I261" i="4"/>
  <c r="I260" i="4" s="1"/>
  <c r="G261" i="4"/>
  <c r="G260" i="4" s="1"/>
  <c r="M261" i="4"/>
  <c r="L261" i="4"/>
  <c r="L260" i="4" s="1"/>
  <c r="K261" i="4"/>
  <c r="K260" i="4" s="1"/>
  <c r="J261" i="4"/>
  <c r="J260" i="4" s="1"/>
  <c r="H261" i="4"/>
  <c r="H260" i="4" s="1"/>
  <c r="M258" i="4"/>
  <c r="L258" i="4"/>
  <c r="L257" i="4" s="1"/>
  <c r="K258" i="4"/>
  <c r="K257" i="4" s="1"/>
  <c r="J258" i="4"/>
  <c r="J257" i="4" s="1"/>
  <c r="I258" i="4"/>
  <c r="I257" i="4" s="1"/>
  <c r="H258" i="4"/>
  <c r="H257" i="4" s="1"/>
  <c r="G258" i="4"/>
  <c r="G257" i="4" s="1"/>
  <c r="M255" i="4"/>
  <c r="L255" i="4"/>
  <c r="L254" i="4" s="1"/>
  <c r="K255" i="4"/>
  <c r="K254" i="4" s="1"/>
  <c r="J255" i="4"/>
  <c r="J254" i="4" s="1"/>
  <c r="I255" i="4"/>
  <c r="I254" i="4" s="1"/>
  <c r="H255" i="4"/>
  <c r="H254" i="4" s="1"/>
  <c r="G255" i="4"/>
  <c r="G254" i="4" s="1"/>
  <c r="M252" i="4"/>
  <c r="L252" i="4"/>
  <c r="L251" i="4" s="1"/>
  <c r="K252" i="4"/>
  <c r="K251" i="4" s="1"/>
  <c r="J252" i="4"/>
  <c r="J251" i="4" s="1"/>
  <c r="I252" i="4"/>
  <c r="I251" i="4" s="1"/>
  <c r="H252" i="4"/>
  <c r="H251" i="4" s="1"/>
  <c r="G252" i="4"/>
  <c r="G251" i="4" s="1"/>
  <c r="M432" i="4"/>
  <c r="L432" i="4"/>
  <c r="L431" i="4" s="1"/>
  <c r="K432" i="4"/>
  <c r="K431" i="4" s="1"/>
  <c r="J432" i="4"/>
  <c r="J431" i="4" s="1"/>
  <c r="I432" i="4"/>
  <c r="I431" i="4" s="1"/>
  <c r="H432" i="4"/>
  <c r="H431" i="4" s="1"/>
  <c r="G432" i="4"/>
  <c r="G431" i="4" s="1"/>
  <c r="M420" i="4"/>
  <c r="L420" i="4"/>
  <c r="L419" i="4" s="1"/>
  <c r="K420" i="4"/>
  <c r="K419" i="4" s="1"/>
  <c r="J420" i="4"/>
  <c r="J419" i="4" s="1"/>
  <c r="I420" i="4"/>
  <c r="I419" i="4" s="1"/>
  <c r="H420" i="4"/>
  <c r="H419" i="4" s="1"/>
  <c r="G420" i="4"/>
  <c r="G419" i="4" s="1"/>
  <c r="M426" i="4"/>
  <c r="L426" i="4"/>
  <c r="L425" i="4" s="1"/>
  <c r="K426" i="4"/>
  <c r="K425" i="4" s="1"/>
  <c r="J426" i="4"/>
  <c r="J425" i="4" s="1"/>
  <c r="I426" i="4"/>
  <c r="I425" i="4" s="1"/>
  <c r="H426" i="4"/>
  <c r="H425" i="4" s="1"/>
  <c r="G426" i="4"/>
  <c r="G425" i="4" s="1"/>
  <c r="M425" i="4" l="1"/>
  <c r="O425" i="4" s="1"/>
  <c r="O426" i="4"/>
  <c r="M254" i="4"/>
  <c r="O254" i="4" s="1"/>
  <c r="O255" i="4"/>
  <c r="M260" i="4"/>
  <c r="O260" i="4" s="1"/>
  <c r="O261" i="4"/>
  <c r="M267" i="4"/>
  <c r="O268" i="4"/>
  <c r="M251" i="4"/>
  <c r="O251" i="4" s="1"/>
  <c r="O252" i="4"/>
  <c r="M263" i="4"/>
  <c r="O263" i="4" s="1"/>
  <c r="O264" i="4"/>
  <c r="M419" i="4"/>
  <c r="O419" i="4" s="1"/>
  <c r="O420" i="4"/>
  <c r="M257" i="4"/>
  <c r="O257" i="4" s="1"/>
  <c r="O258" i="4"/>
  <c r="M581" i="4"/>
  <c r="O581" i="4" s="1"/>
  <c r="O582" i="4"/>
  <c r="M431" i="4"/>
  <c r="O431" i="4" s="1"/>
  <c r="O432" i="4"/>
  <c r="M584" i="4"/>
  <c r="O584" i="4" s="1"/>
  <c r="O585" i="4"/>
  <c r="K113" i="3"/>
  <c r="M114" i="3"/>
  <c r="K125" i="3"/>
  <c r="M126" i="3"/>
  <c r="K122" i="3"/>
  <c r="M123" i="3"/>
  <c r="K116" i="3"/>
  <c r="M117" i="3"/>
  <c r="K119" i="3"/>
  <c r="M120" i="3"/>
  <c r="L568" i="5"/>
  <c r="N569" i="5"/>
  <c r="L579" i="5"/>
  <c r="N580" i="5"/>
  <c r="L565" i="5"/>
  <c r="N566" i="5"/>
  <c r="L574" i="5"/>
  <c r="N575" i="5"/>
  <c r="L570" i="5"/>
  <c r="N570" i="5" s="1"/>
  <c r="N571" i="5"/>
  <c r="L593" i="5"/>
  <c r="N594" i="5"/>
  <c r="G580" i="4"/>
  <c r="K580" i="4"/>
  <c r="M580" i="4"/>
  <c r="O580" i="4" s="1"/>
  <c r="F111" i="3"/>
  <c r="G111" i="3"/>
  <c r="H580" i="4"/>
  <c r="L926" i="4"/>
  <c r="J926" i="4"/>
  <c r="I580" i="4"/>
  <c r="K926" i="4"/>
  <c r="I111" i="3"/>
  <c r="J111" i="3"/>
  <c r="H111" i="3"/>
  <c r="I250" i="4"/>
  <c r="L250" i="4"/>
  <c r="H250" i="4"/>
  <c r="J580" i="4"/>
  <c r="K250" i="4"/>
  <c r="G250" i="4"/>
  <c r="L580" i="4"/>
  <c r="J250" i="4"/>
  <c r="G35" i="6"/>
  <c r="I35" i="6" s="1"/>
  <c r="G27" i="6"/>
  <c r="G26" i="6" s="1"/>
  <c r="G25" i="6" s="1"/>
  <c r="G24" i="6" s="1"/>
  <c r="G23" i="6" s="1"/>
  <c r="G22" i="6" s="1"/>
  <c r="G21" i="6" s="1"/>
  <c r="G20" i="6" s="1"/>
  <c r="G19" i="6" s="1"/>
  <c r="M250" i="4" l="1"/>
  <c r="O250" i="4" s="1"/>
  <c r="M266" i="4"/>
  <c r="O266" i="4" s="1"/>
  <c r="O267" i="4"/>
  <c r="K115" i="3"/>
  <c r="M115" i="3" s="1"/>
  <c r="M116" i="3"/>
  <c r="K124" i="3"/>
  <c r="M124" i="3" s="1"/>
  <c r="M125" i="3"/>
  <c r="K118" i="3"/>
  <c r="M118" i="3" s="1"/>
  <c r="M119" i="3"/>
  <c r="K121" i="3"/>
  <c r="M121" i="3" s="1"/>
  <c r="M122" i="3"/>
  <c r="K112" i="3"/>
  <c r="M113" i="3"/>
  <c r="L573" i="5"/>
  <c r="N573" i="5" s="1"/>
  <c r="N574" i="5"/>
  <c r="L592" i="5"/>
  <c r="N592" i="5" s="1"/>
  <c r="N593" i="5"/>
  <c r="L578" i="5"/>
  <c r="N578" i="5" s="1"/>
  <c r="N579" i="5"/>
  <c r="L564" i="5"/>
  <c r="N564" i="5" s="1"/>
  <c r="N565" i="5"/>
  <c r="L567" i="5"/>
  <c r="N567" i="5" s="1"/>
  <c r="N568" i="5"/>
  <c r="G47" i="6"/>
  <c r="I47" i="6" s="1"/>
  <c r="G43" i="6"/>
  <c r="I43" i="6" s="1"/>
  <c r="G39" i="6"/>
  <c r="I39" i="6" s="1"/>
  <c r="H52" i="4"/>
  <c r="I52" i="4"/>
  <c r="J52" i="4"/>
  <c r="K52" i="4"/>
  <c r="L52" i="4"/>
  <c r="M52" i="4"/>
  <c r="O52" i="4" s="1"/>
  <c r="H58" i="4"/>
  <c r="I58" i="4"/>
  <c r="J58" i="4"/>
  <c r="K58" i="4"/>
  <c r="L58" i="4"/>
  <c r="M59" i="4"/>
  <c r="M58" i="4" l="1"/>
  <c r="O58" i="4" s="1"/>
  <c r="O59" i="4"/>
  <c r="M112" i="3"/>
  <c r="K111" i="3"/>
  <c r="M111" i="3" s="1"/>
  <c r="G1085" i="4"/>
  <c r="I35" i="4" l="1"/>
  <c r="K918" i="4" l="1"/>
  <c r="L918" i="4" s="1"/>
  <c r="L884" i="4"/>
  <c r="K884" i="4"/>
  <c r="J886" i="4"/>
  <c r="J884" i="4" s="1"/>
  <c r="I971" i="4" l="1"/>
  <c r="I882" i="4"/>
  <c r="I1054" i="4"/>
  <c r="I1088" i="4"/>
  <c r="G20" i="3" s="1"/>
  <c r="I1132" i="4"/>
  <c r="I37" i="4" l="1"/>
  <c r="I66" i="4"/>
  <c r="I149" i="4"/>
  <c r="I154" i="4"/>
  <c r="I173" i="4"/>
  <c r="I179" i="4"/>
  <c r="I288" i="4"/>
  <c r="I442" i="4" l="1"/>
  <c r="I450" i="4"/>
  <c r="I448" i="4"/>
  <c r="I484" i="4"/>
  <c r="I534" i="4"/>
  <c r="I666" i="4"/>
  <c r="I663" i="4"/>
  <c r="I884" i="4"/>
  <c r="I905" i="4"/>
  <c r="J905" i="4" s="1"/>
  <c r="H601" i="4"/>
  <c r="H600" i="4" s="1"/>
  <c r="H599" i="4" s="1"/>
  <c r="H1133" i="4"/>
  <c r="H1131" i="4"/>
  <c r="H1129" i="4"/>
  <c r="H1115" i="4"/>
  <c r="H1114" i="4" s="1"/>
  <c r="H1113" i="4" s="1"/>
  <c r="H1112" i="4" s="1"/>
  <c r="H1110" i="4"/>
  <c r="H1109" i="4" s="1"/>
  <c r="H1108" i="4" s="1"/>
  <c r="H1105" i="4"/>
  <c r="H1103" i="4"/>
  <c r="H1097" i="4"/>
  <c r="H1095" i="4"/>
  <c r="H1093" i="4"/>
  <c r="H1087" i="4"/>
  <c r="H1085" i="4"/>
  <c r="H1073" i="4"/>
  <c r="H1072" i="4" s="1"/>
  <c r="H1071" i="4" s="1"/>
  <c r="H1070" i="4" s="1"/>
  <c r="H1069" i="4" s="1"/>
  <c r="H1068" i="4" s="1"/>
  <c r="H1066" i="4"/>
  <c r="H1064" i="4"/>
  <c r="H1061" i="4"/>
  <c r="H1060" i="4" s="1"/>
  <c r="H1057" i="4"/>
  <c r="H1055" i="4"/>
  <c r="H1053" i="4"/>
  <c r="H1041" i="4"/>
  <c r="H1040" i="4" s="1"/>
  <c r="H1039" i="4" s="1"/>
  <c r="H1037" i="4"/>
  <c r="H1036" i="4" s="1"/>
  <c r="H1034" i="4"/>
  <c r="H1033" i="4" s="1"/>
  <c r="H1031" i="4"/>
  <c r="H1030" i="4" s="1"/>
  <c r="H1028" i="4"/>
  <c r="H1027" i="4" s="1"/>
  <c r="H1023" i="4"/>
  <c r="H1022" i="4" s="1"/>
  <c r="H1021" i="4" s="1"/>
  <c r="H1185" i="4" s="1"/>
  <c r="H1019" i="4"/>
  <c r="H1018" i="4" s="1"/>
  <c r="H1016" i="4"/>
  <c r="H1015" i="4" s="1"/>
  <c r="H1013" i="4"/>
  <c r="H1012" i="4" s="1"/>
  <c r="H1010" i="4"/>
  <c r="H1008" i="4"/>
  <c r="H1001" i="4"/>
  <c r="H1000" i="4" s="1"/>
  <c r="H996" i="4"/>
  <c r="H995" i="4" s="1"/>
  <c r="H993" i="4"/>
  <c r="H992" i="4" s="1"/>
  <c r="H978" i="4"/>
  <c r="H975" i="4" s="1"/>
  <c r="H972" i="4"/>
  <c r="H970" i="4"/>
  <c r="H966" i="4"/>
  <c r="H965" i="4" s="1"/>
  <c r="H961" i="4"/>
  <c r="H960" i="4" s="1"/>
  <c r="H959" i="4"/>
  <c r="H958" i="4" s="1"/>
  <c r="H957" i="4" s="1"/>
  <c r="H953" i="4"/>
  <c r="H952" i="4" s="1"/>
  <c r="H947" i="4"/>
  <c r="H946" i="4" s="1"/>
  <c r="H944" i="4"/>
  <c r="H943" i="4" s="1"/>
  <c r="H939" i="4"/>
  <c r="H938" i="4" s="1"/>
  <c r="H934" i="4"/>
  <c r="H933" i="4" s="1"/>
  <c r="H931" i="4"/>
  <c r="H930" i="4" s="1"/>
  <c r="H928" i="4"/>
  <c r="H927" i="4" s="1"/>
  <c r="H920" i="4"/>
  <c r="H919" i="4" s="1"/>
  <c r="H917" i="4"/>
  <c r="H916" i="4" s="1"/>
  <c r="H923" i="4"/>
  <c r="H922" i="4" s="1"/>
  <c r="H913" i="4"/>
  <c r="H912" i="4" s="1"/>
  <c r="H911" i="4" s="1"/>
  <c r="H906" i="4"/>
  <c r="H904" i="4"/>
  <c r="H899" i="4"/>
  <c r="H898" i="4" s="1"/>
  <c r="H897" i="4" s="1"/>
  <c r="H896" i="4" s="1"/>
  <c r="H895" i="4" s="1"/>
  <c r="H892" i="4"/>
  <c r="H891" i="4" s="1"/>
  <c r="H890" i="4" s="1"/>
  <c r="H889" i="4" s="1"/>
  <c r="H888" i="4" s="1"/>
  <c r="H887" i="4" s="1"/>
  <c r="H885" i="4"/>
  <c r="H883" i="4"/>
  <c r="H881" i="4"/>
  <c r="H877" i="4"/>
  <c r="H876" i="4" s="1"/>
  <c r="H875" i="4" s="1"/>
  <c r="H870" i="4"/>
  <c r="H868" i="4"/>
  <c r="H866" i="4"/>
  <c r="H862" i="4"/>
  <c r="H860" i="4"/>
  <c r="H855" i="4"/>
  <c r="H853" i="4"/>
  <c r="H847" i="4"/>
  <c r="H846" i="4"/>
  <c r="H845" i="4" s="1"/>
  <c r="H844" i="4" s="1"/>
  <c r="H830" i="4"/>
  <c r="H829" i="4" s="1"/>
  <c r="H828" i="4" s="1"/>
  <c r="H826" i="4"/>
  <c r="H825" i="4" s="1"/>
  <c r="H819" i="4"/>
  <c r="H818" i="4" s="1"/>
  <c r="H816" i="4"/>
  <c r="H815" i="4" s="1"/>
  <c r="H813" i="4"/>
  <c r="H812" i="4" s="1"/>
  <c r="H802" i="4"/>
  <c r="H801" i="4" s="1"/>
  <c r="H793" i="4"/>
  <c r="H792" i="4" s="1"/>
  <c r="H779" i="4"/>
  <c r="H777" i="4"/>
  <c r="H775" i="4"/>
  <c r="H772" i="4"/>
  <c r="H771" i="4" s="1"/>
  <c r="H768" i="4"/>
  <c r="H766" i="4"/>
  <c r="H761" i="4"/>
  <c r="H759" i="4"/>
  <c r="H757" i="4"/>
  <c r="H756" i="4" s="1"/>
  <c r="H755" i="4" s="1"/>
  <c r="H752" i="4"/>
  <c r="H751" i="4" s="1"/>
  <c r="H750" i="4" s="1"/>
  <c r="H745" i="4"/>
  <c r="H744" i="4" s="1"/>
  <c r="H743" i="4" s="1"/>
  <c r="H742" i="4" s="1"/>
  <c r="H739" i="4"/>
  <c r="H738" i="4" s="1"/>
  <c r="H736" i="4"/>
  <c r="H735" i="4" s="1"/>
  <c r="H733" i="4"/>
  <c r="H732" i="4" s="1"/>
  <c r="H723" i="4"/>
  <c r="H721" i="4"/>
  <c r="H720" i="4" s="1"/>
  <c r="H719" i="4" s="1"/>
  <c r="H715" i="4"/>
  <c r="H714" i="4" s="1"/>
  <c r="H712" i="4"/>
  <c r="H711" i="4" s="1"/>
  <c r="H709" i="4"/>
  <c r="H708" i="4" s="1"/>
  <c r="H706" i="4"/>
  <c r="H705" i="4" s="1"/>
  <c r="H703" i="4"/>
  <c r="H702" i="4" s="1"/>
  <c r="H700" i="4"/>
  <c r="H699" i="4" s="1"/>
  <c r="H697" i="4"/>
  <c r="H696" i="4" s="1"/>
  <c r="H695" i="4"/>
  <c r="H694" i="4" s="1"/>
  <c r="H693" i="4" s="1"/>
  <c r="H691" i="4"/>
  <c r="H690" i="4" s="1"/>
  <c r="H688" i="4"/>
  <c r="H687" i="4" s="1"/>
  <c r="H680" i="4"/>
  <c r="H679" i="4" s="1"/>
  <c r="H677" i="4"/>
  <c r="H676" i="4" s="1"/>
  <c r="H671" i="4"/>
  <c r="H670" i="4" s="1"/>
  <c r="H668" i="4"/>
  <c r="H667" i="4" s="1"/>
  <c r="H665" i="4"/>
  <c r="H664" i="4" s="1"/>
  <c r="H662" i="4"/>
  <c r="H661" i="4" s="1"/>
  <c r="H652" i="4"/>
  <c r="H651" i="4" s="1"/>
  <c r="H650" i="4" s="1"/>
  <c r="H647" i="4"/>
  <c r="H646" i="4" s="1"/>
  <c r="H645" i="4" s="1"/>
  <c r="H643" i="4"/>
  <c r="H642" i="4" s="1"/>
  <c r="H640" i="4"/>
  <c r="H639" i="4" s="1"/>
  <c r="H637" i="4"/>
  <c r="H636" i="4" s="1"/>
  <c r="H634" i="4"/>
  <c r="H633" i="4" s="1"/>
  <c r="H631" i="4"/>
  <c r="H630" i="4" s="1"/>
  <c r="H611" i="4"/>
  <c r="H610" i="4" s="1"/>
  <c r="H609" i="4"/>
  <c r="H608" i="4" s="1"/>
  <c r="H607" i="4" s="1"/>
  <c r="H590" i="4"/>
  <c r="H589" i="4" s="1"/>
  <c r="H588" i="4" s="1"/>
  <c r="H569" i="4"/>
  <c r="H568" i="4" s="1"/>
  <c r="H566" i="4"/>
  <c r="H565" i="4" s="1"/>
  <c r="H562" i="4"/>
  <c r="H561" i="4" s="1"/>
  <c r="H560" i="4" s="1"/>
  <c r="H559" i="4" s="1"/>
  <c r="H551" i="4"/>
  <c r="H550" i="4" s="1"/>
  <c r="H549" i="4" s="1"/>
  <c r="H544" i="4" s="1"/>
  <c r="H539" i="4" s="1"/>
  <c r="H537" i="4"/>
  <c r="H535" i="4"/>
  <c r="H533" i="4"/>
  <c r="H520" i="4"/>
  <c r="H519" i="4" s="1"/>
  <c r="H517" i="4"/>
  <c r="H516" i="4" s="1"/>
  <c r="H514" i="4"/>
  <c r="H513" i="4" s="1"/>
  <c r="H509" i="4"/>
  <c r="H508" i="4" s="1"/>
  <c r="H507" i="4" s="1"/>
  <c r="H505" i="4"/>
  <c r="H503" i="4"/>
  <c r="H500" i="4"/>
  <c r="H499" i="4" s="1"/>
  <c r="H497" i="4"/>
  <c r="H496" i="4" s="1"/>
  <c r="H491" i="4"/>
  <c r="H490" i="4" s="1"/>
  <c r="H487" i="4"/>
  <c r="H486" i="4" s="1"/>
  <c r="H485" i="4" s="1"/>
  <c r="H483" i="4"/>
  <c r="H482" i="4" s="1"/>
  <c r="H481" i="4" s="1"/>
  <c r="H479" i="4"/>
  <c r="H477" i="4"/>
  <c r="H473" i="4"/>
  <c r="H472" i="4" s="1"/>
  <c r="H471" i="4" s="1"/>
  <c r="H469" i="4"/>
  <c r="H468" i="4" s="1"/>
  <c r="H467" i="4" s="1"/>
  <c r="H466" i="4"/>
  <c r="H465" i="4" s="1"/>
  <c r="H464" i="4" s="1"/>
  <c r="H462" i="4"/>
  <c r="H460" i="4"/>
  <c r="H451" i="4"/>
  <c r="H449" i="4"/>
  <c r="H447" i="4"/>
  <c r="H443" i="4"/>
  <c r="H441" i="4"/>
  <c r="H436" i="4"/>
  <c r="H435" i="4" s="1"/>
  <c r="H434" i="4" s="1"/>
  <c r="H429" i="4"/>
  <c r="H428" i="4" s="1"/>
  <c r="H423" i="4"/>
  <c r="H422" i="4" s="1"/>
  <c r="H417" i="4"/>
  <c r="H416" i="4" s="1"/>
  <c r="H412" i="4"/>
  <c r="H411" i="4" s="1"/>
  <c r="H409" i="4"/>
  <c r="H408" i="4" s="1"/>
  <c r="H406" i="4"/>
  <c r="H405" i="4" s="1"/>
  <c r="H403" i="4"/>
  <c r="H401" i="4"/>
  <c r="H399" i="4"/>
  <c r="H398" i="4" s="1"/>
  <c r="H397" i="4"/>
  <c r="H396" i="4" s="1"/>
  <c r="H391" i="4"/>
  <c r="H390" i="4" s="1"/>
  <c r="H389" i="4" s="1"/>
  <c r="H1179" i="4" s="1"/>
  <c r="H369" i="4"/>
  <c r="H368" i="4" s="1"/>
  <c r="H366" i="4"/>
  <c r="H364" i="4"/>
  <c r="H362" i="4"/>
  <c r="H361" i="4" s="1"/>
  <c r="H360" i="4" s="1"/>
  <c r="H342" i="4"/>
  <c r="H341" i="4" s="1"/>
  <c r="H340" i="4" s="1"/>
  <c r="H338" i="4"/>
  <c r="H337" i="4" s="1"/>
  <c r="H335" i="4"/>
  <c r="H334" i="4" s="1"/>
  <c r="H332" i="4"/>
  <c r="H331" i="4" s="1"/>
  <c r="H319" i="4"/>
  <c r="H318" i="4" s="1"/>
  <c r="H316" i="4"/>
  <c r="H315" i="4" s="1"/>
  <c r="H313" i="4"/>
  <c r="H312" i="4" s="1"/>
  <c r="H299" i="4"/>
  <c r="H298" i="4" s="1"/>
  <c r="H287" i="4"/>
  <c r="H286" i="4" s="1"/>
  <c r="H294" i="4"/>
  <c r="H293" i="4" s="1"/>
  <c r="H292" i="4" s="1"/>
  <c r="H291" i="4" s="1"/>
  <c r="H290" i="4" s="1"/>
  <c r="H289" i="4" s="1"/>
  <c r="H273" i="4"/>
  <c r="H240" i="4"/>
  <c r="H238" i="4"/>
  <c r="H233" i="4"/>
  <c r="H232" i="4" s="1"/>
  <c r="H231" i="4" s="1"/>
  <c r="H230" i="4" s="1"/>
  <c r="H229" i="4" s="1"/>
  <c r="H227" i="4"/>
  <c r="H226" i="4" s="1"/>
  <c r="H225" i="4" s="1"/>
  <c r="H1175" i="4" s="1"/>
  <c r="H222" i="4"/>
  <c r="H221" i="4" s="1"/>
  <c r="H220" i="4" s="1"/>
  <c r="H219" i="4" s="1"/>
  <c r="H218" i="4" s="1"/>
  <c r="H215" i="4"/>
  <c r="H213" i="4"/>
  <c r="H210" i="4"/>
  <c r="H209" i="4" s="1"/>
  <c r="H200" i="4"/>
  <c r="H199" i="4" s="1"/>
  <c r="H195" i="4" s="1"/>
  <c r="H194" i="4" s="1"/>
  <c r="H186" i="4" s="1"/>
  <c r="H183" i="4"/>
  <c r="H182" i="4" s="1"/>
  <c r="H180" i="4"/>
  <c r="H178" i="4"/>
  <c r="H175" i="4"/>
  <c r="H174" i="4" s="1"/>
  <c r="H172" i="4"/>
  <c r="H171" i="4" s="1"/>
  <c r="H165" i="4"/>
  <c r="H164" i="4" s="1"/>
  <c r="H163" i="4" s="1"/>
  <c r="H162" i="4" s="1"/>
  <c r="H161" i="4" s="1"/>
  <c r="H160" i="4" s="1"/>
  <c r="H1145" i="4" s="1"/>
  <c r="H158" i="4"/>
  <c r="H157" i="4" s="1"/>
  <c r="H155" i="4"/>
  <c r="H153" i="4"/>
  <c r="H150" i="4"/>
  <c r="H148" i="4"/>
  <c r="H145" i="4"/>
  <c r="H144" i="4" s="1"/>
  <c r="H142" i="4"/>
  <c r="H141" i="4" s="1"/>
  <c r="H139" i="4"/>
  <c r="H138" i="4" s="1"/>
  <c r="H136" i="4"/>
  <c r="H135" i="4" s="1"/>
  <c r="H132" i="4"/>
  <c r="H130" i="4"/>
  <c r="H125" i="4"/>
  <c r="H124" i="4" s="1"/>
  <c r="H122" i="4"/>
  <c r="H121" i="4" s="1"/>
  <c r="H119" i="4"/>
  <c r="H118" i="4" s="1"/>
  <c r="H114" i="4"/>
  <c r="H113" i="4" s="1"/>
  <c r="H111" i="4"/>
  <c r="H109" i="4"/>
  <c r="H98" i="4"/>
  <c r="H97" i="4" s="1"/>
  <c r="H96" i="4" s="1"/>
  <c r="H94" i="4"/>
  <c r="H90" i="4"/>
  <c r="H89" i="4" s="1"/>
  <c r="H88" i="4" s="1"/>
  <c r="H86" i="4"/>
  <c r="H85" i="4" s="1"/>
  <c r="H84" i="4" s="1"/>
  <c r="H82" i="4"/>
  <c r="H81" i="4" s="1"/>
  <c r="H80" i="4" s="1"/>
  <c r="H77" i="4"/>
  <c r="H76" i="4" s="1"/>
  <c r="H74" i="4"/>
  <c r="H72" i="4"/>
  <c r="H69" i="4"/>
  <c r="H68" i="4" s="1"/>
  <c r="H65" i="4"/>
  <c r="H64" i="4" s="1"/>
  <c r="H63" i="4" s="1"/>
  <c r="H1173" i="4" s="1"/>
  <c r="H60" i="4"/>
  <c r="H57" i="4" s="1"/>
  <c r="H56" i="4" s="1"/>
  <c r="H55" i="4" s="1"/>
  <c r="H54" i="4" s="1"/>
  <c r="H50" i="4"/>
  <c r="H49" i="4" s="1"/>
  <c r="H48" i="4" s="1"/>
  <c r="H41" i="4"/>
  <c r="H40" i="4" s="1"/>
  <c r="H38" i="4"/>
  <c r="H36" i="4"/>
  <c r="H34" i="4"/>
  <c r="H26" i="4"/>
  <c r="H25" i="4" s="1"/>
  <c r="H24" i="4" s="1"/>
  <c r="H23" i="4" s="1"/>
  <c r="H21" i="4"/>
  <c r="H19" i="4"/>
  <c r="H17" i="4"/>
  <c r="E67" i="1"/>
  <c r="E64" i="1" s="1"/>
  <c r="I35" i="1"/>
  <c r="K35" i="1" s="1"/>
  <c r="H35" i="1"/>
  <c r="G35" i="1"/>
  <c r="F35" i="1"/>
  <c r="E35" i="1"/>
  <c r="D35" i="1"/>
  <c r="C35" i="1"/>
  <c r="I25" i="1"/>
  <c r="K25" i="1" s="1"/>
  <c r="H25" i="1"/>
  <c r="G25" i="1"/>
  <c r="F25" i="1"/>
  <c r="E25" i="1"/>
  <c r="D25" i="1"/>
  <c r="D24" i="1" s="1"/>
  <c r="C25" i="1"/>
  <c r="E20" i="1"/>
  <c r="H153" i="1"/>
  <c r="G153" i="1"/>
  <c r="F153" i="1"/>
  <c r="E153" i="1"/>
  <c r="I92" i="1"/>
  <c r="H92" i="1"/>
  <c r="G92" i="1"/>
  <c r="F92" i="1"/>
  <c r="E92" i="1"/>
  <c r="I94" i="1"/>
  <c r="H94" i="1"/>
  <c r="G94" i="1"/>
  <c r="F94" i="1"/>
  <c r="E94" i="1"/>
  <c r="I67" i="1"/>
  <c r="I64" i="1" s="1"/>
  <c r="K64" i="1" s="1"/>
  <c r="H67" i="1"/>
  <c r="H64" i="1" s="1"/>
  <c r="G67" i="1"/>
  <c r="G64" i="1" s="1"/>
  <c r="F67" i="1"/>
  <c r="F64" i="1" s="1"/>
  <c r="C67" i="1"/>
  <c r="C64" i="1" s="1"/>
  <c r="D153" i="1"/>
  <c r="D150" i="1"/>
  <c r="D147" i="1"/>
  <c r="D138" i="1"/>
  <c r="D130" i="1" s="1"/>
  <c r="D129" i="1" s="1"/>
  <c r="D108" i="1"/>
  <c r="D106" i="1"/>
  <c r="D104" i="1"/>
  <c r="D99" i="1"/>
  <c r="D98" i="1" s="1"/>
  <c r="D94" i="1"/>
  <c r="D92" i="1"/>
  <c r="D89" i="1"/>
  <c r="D86" i="1"/>
  <c r="D84" i="1"/>
  <c r="D80" i="1"/>
  <c r="D75" i="1"/>
  <c r="D72" i="1"/>
  <c r="D70" i="1"/>
  <c r="D67" i="1"/>
  <c r="D64" i="1" s="1"/>
  <c r="D65" i="1"/>
  <c r="D59" i="1"/>
  <c r="D58" i="1" s="1"/>
  <c r="D56" i="1"/>
  <c r="D54" i="1"/>
  <c r="D46" i="1"/>
  <c r="D45" i="1" s="1"/>
  <c r="D42" i="1"/>
  <c r="D40" i="1"/>
  <c r="D32" i="1"/>
  <c r="D31" i="1" s="1"/>
  <c r="D19" i="1"/>
  <c r="D18" i="1" s="1"/>
  <c r="F91" i="1" l="1"/>
  <c r="D53" i="1"/>
  <c r="D52" i="1" s="1"/>
  <c r="D30" i="1"/>
  <c r="D128" i="1"/>
  <c r="D69" i="1"/>
  <c r="E91" i="1"/>
  <c r="I91" i="1"/>
  <c r="G91" i="1"/>
  <c r="H91" i="1"/>
  <c r="D103" i="1"/>
  <c r="H915" i="4"/>
  <c r="H910" i="4" s="1"/>
  <c r="H909" i="4" s="1"/>
  <c r="H926" i="4"/>
  <c r="H79" i="4"/>
  <c r="H1176" i="4" s="1"/>
  <c r="H476" i="4"/>
  <c r="H475" i="4" s="1"/>
  <c r="H969" i="4"/>
  <c r="H968" i="4" s="1"/>
  <c r="H587" i="4"/>
  <c r="H532" i="4"/>
  <c r="H531" i="4" s="1"/>
  <c r="H530" i="4" s="1"/>
  <c r="H529" i="4" s="1"/>
  <c r="H528" i="4" s="1"/>
  <c r="H603" i="4"/>
  <c r="H598" i="4" s="1"/>
  <c r="H718" i="4"/>
  <c r="H1063" i="4"/>
  <c r="H1059" i="4" s="1"/>
  <c r="H237" i="4"/>
  <c r="H236" i="4" s="1"/>
  <c r="H235" i="4" s="1"/>
  <c r="H234" i="4" s="1"/>
  <c r="H285" i="4"/>
  <c r="H284" i="4" s="1"/>
  <c r="H400" i="4"/>
  <c r="H991" i="4"/>
  <c r="H71" i="4"/>
  <c r="H67" i="4" s="1"/>
  <c r="H1174" i="4" s="1"/>
  <c r="H212" i="4"/>
  <c r="H208" i="4" s="1"/>
  <c r="H207" i="4" s="1"/>
  <c r="H272" i="4"/>
  <c r="H271" i="4" s="1"/>
  <c r="H270" i="4" s="1"/>
  <c r="H244" i="4" s="1"/>
  <c r="H363" i="4"/>
  <c r="H359" i="4" s="1"/>
  <c r="H440" i="4"/>
  <c r="H439" i="4" s="1"/>
  <c r="H502" i="4"/>
  <c r="H489" i="4" s="1"/>
  <c r="H16" i="4"/>
  <c r="H15" i="4" s="1"/>
  <c r="H14" i="4" s="1"/>
  <c r="H13" i="4" s="1"/>
  <c r="H12" i="4" s="1"/>
  <c r="H11" i="4" s="1"/>
  <c r="H446" i="4"/>
  <c r="H445" i="4" s="1"/>
  <c r="H765" i="4"/>
  <c r="H764" i="4" s="1"/>
  <c r="H865" i="4"/>
  <c r="H864" i="4" s="1"/>
  <c r="H147" i="4"/>
  <c r="H774" i="4"/>
  <c r="H770" i="4" s="1"/>
  <c r="H811" i="4"/>
  <c r="H810" i="4" s="1"/>
  <c r="H852" i="4"/>
  <c r="H851" i="4" s="1"/>
  <c r="H850" i="4" s="1"/>
  <c r="H956" i="4"/>
  <c r="H1052" i="4"/>
  <c r="H1051" i="4" s="1"/>
  <c r="H1084" i="4"/>
  <c r="H1083" i="4" s="1"/>
  <c r="H1082" i="4" s="1"/>
  <c r="H1081" i="4" s="1"/>
  <c r="H395" i="4"/>
  <c r="H731" i="4"/>
  <c r="H730" i="4" s="1"/>
  <c r="H1128" i="4"/>
  <c r="H1127" i="4" s="1"/>
  <c r="H1126" i="4" s="1"/>
  <c r="H1125" i="4" s="1"/>
  <c r="H1124" i="4" s="1"/>
  <c r="H1117" i="4" s="1"/>
  <c r="H129" i="4"/>
  <c r="H107" i="4" s="1"/>
  <c r="H1007" i="4"/>
  <c r="H1006" i="4" s="1"/>
  <c r="H1102" i="4"/>
  <c r="H1101" i="4" s="1"/>
  <c r="H1100" i="4" s="1"/>
  <c r="H1099" i="4" s="1"/>
  <c r="H1164" i="4"/>
  <c r="H1184" i="4"/>
  <c r="H1026" i="4"/>
  <c r="H1025" i="4" s="1"/>
  <c r="H311" i="4"/>
  <c r="H310" i="4" s="1"/>
  <c r="H626" i="4"/>
  <c r="H625" i="4" s="1"/>
  <c r="H415" i="4"/>
  <c r="H512" i="4"/>
  <c r="H511" i="4" s="1"/>
  <c r="H654" i="4"/>
  <c r="H649" i="4" s="1"/>
  <c r="H880" i="4"/>
  <c r="H879" i="4" s="1"/>
  <c r="H874" i="4" s="1"/>
  <c r="H873" i="4" s="1"/>
  <c r="H108" i="4"/>
  <c r="H456" i="4"/>
  <c r="H758" i="4"/>
  <c r="H754" i="4" s="1"/>
  <c r="H859" i="4"/>
  <c r="H858" i="4" s="1"/>
  <c r="H903" i="4"/>
  <c r="H902" i="4" s="1"/>
  <c r="H1092" i="4"/>
  <c r="H1091" i="4" s="1"/>
  <c r="H1090" i="4" s="1"/>
  <c r="H1089" i="4" s="1"/>
  <c r="H224" i="4"/>
  <c r="H93" i="4"/>
  <c r="H92" i="4" s="1"/>
  <c r="H1181" i="4" s="1"/>
  <c r="H330" i="4"/>
  <c r="H1107" i="4"/>
  <c r="H824" i="4"/>
  <c r="H823" i="4" s="1"/>
  <c r="H822" i="4" s="1"/>
  <c r="H791" i="4"/>
  <c r="H790" i="4" s="1"/>
  <c r="H748" i="4"/>
  <c r="H747" i="4" s="1"/>
  <c r="H741" i="4" s="1"/>
  <c r="H749" i="4"/>
  <c r="H686" i="4"/>
  <c r="H685" i="4" s="1"/>
  <c r="H564" i="4"/>
  <c r="H558" i="4" s="1"/>
  <c r="H557" i="4" s="1"/>
  <c r="H556" i="4" s="1"/>
  <c r="H152" i="4"/>
  <c r="H177" i="4"/>
  <c r="H170" i="4" s="1"/>
  <c r="H169" i="4" s="1"/>
  <c r="H168" i="4" s="1"/>
  <c r="H167" i="4" s="1"/>
  <c r="H1146" i="4" s="1"/>
  <c r="H33" i="4"/>
  <c r="H32" i="4" s="1"/>
  <c r="H31" i="4" s="1"/>
  <c r="H30" i="4" s="1"/>
  <c r="D91" i="1"/>
  <c r="D39" i="1"/>
  <c r="D74" i="1"/>
  <c r="D149" i="1"/>
  <c r="I18" i="7"/>
  <c r="H18" i="7"/>
  <c r="G18" i="7"/>
  <c r="J14" i="7"/>
  <c r="I14" i="7"/>
  <c r="H14" i="7"/>
  <c r="G14" i="7"/>
  <c r="I16" i="7"/>
  <c r="H16" i="7"/>
  <c r="G16" i="7"/>
  <c r="H150" i="1"/>
  <c r="G150" i="1"/>
  <c r="H147" i="1"/>
  <c r="G147" i="1"/>
  <c r="H138" i="1"/>
  <c r="G138" i="1"/>
  <c r="H133" i="1"/>
  <c r="G133" i="1"/>
  <c r="H108" i="1"/>
  <c r="G108" i="1"/>
  <c r="H106" i="1"/>
  <c r="G106" i="1"/>
  <c r="H104" i="1"/>
  <c r="G104" i="1"/>
  <c r="H99" i="1"/>
  <c r="H98" i="1" s="1"/>
  <c r="G99" i="1"/>
  <c r="G98" i="1" s="1"/>
  <c r="H89" i="1"/>
  <c r="G89" i="1"/>
  <c r="H86" i="1"/>
  <c r="G86" i="1"/>
  <c r="H84" i="1"/>
  <c r="G84" i="1"/>
  <c r="H80" i="1"/>
  <c r="G80" i="1"/>
  <c r="H75" i="1"/>
  <c r="G75" i="1"/>
  <c r="H72" i="1"/>
  <c r="G72" i="1"/>
  <c r="H70" i="1"/>
  <c r="G70" i="1"/>
  <c r="H65" i="1"/>
  <c r="G65" i="1"/>
  <c r="H59" i="1"/>
  <c r="H58" i="1" s="1"/>
  <c r="G59" i="1"/>
  <c r="G58" i="1" s="1"/>
  <c r="H56" i="1"/>
  <c r="G56" i="1"/>
  <c r="H54" i="1"/>
  <c r="G54" i="1"/>
  <c r="H46" i="1"/>
  <c r="H45" i="1" s="1"/>
  <c r="G46" i="1"/>
  <c r="G45" i="1" s="1"/>
  <c r="H40" i="1"/>
  <c r="G40" i="1"/>
  <c r="H42" i="1"/>
  <c r="G42" i="1"/>
  <c r="H31" i="1"/>
  <c r="H30" i="1" s="1"/>
  <c r="G31" i="1"/>
  <c r="G30" i="1" s="1"/>
  <c r="H24" i="1"/>
  <c r="G24" i="1"/>
  <c r="G20" i="1"/>
  <c r="H20" i="1" s="1"/>
  <c r="H19" i="1" s="1"/>
  <c r="H18" i="1" s="1"/>
  <c r="F65" i="1"/>
  <c r="E65" i="1"/>
  <c r="C65" i="1"/>
  <c r="F150" i="1"/>
  <c r="F147" i="1"/>
  <c r="F138" i="1"/>
  <c r="F133" i="1"/>
  <c r="F108" i="1"/>
  <c r="F106" i="1"/>
  <c r="F104" i="1"/>
  <c r="F99" i="1"/>
  <c r="F98" i="1" s="1"/>
  <c r="F89" i="1"/>
  <c r="F86" i="1"/>
  <c r="F84" i="1"/>
  <c r="F80" i="1"/>
  <c r="F75" i="1"/>
  <c r="F72" i="1"/>
  <c r="F70" i="1"/>
  <c r="F59" i="1"/>
  <c r="F58" i="1" s="1"/>
  <c r="F56" i="1"/>
  <c r="F54" i="1"/>
  <c r="F46" i="1"/>
  <c r="F45" i="1" s="1"/>
  <c r="F42" i="1"/>
  <c r="F40" i="1"/>
  <c r="F31" i="1"/>
  <c r="F30" i="1" s="1"/>
  <c r="F24" i="1"/>
  <c r="F19" i="1"/>
  <c r="F18" i="1" s="1"/>
  <c r="E150" i="1"/>
  <c r="E147" i="1"/>
  <c r="E138" i="1"/>
  <c r="E133" i="1"/>
  <c r="E108" i="1"/>
  <c r="E106" i="1"/>
  <c r="E104" i="1"/>
  <c r="E99" i="1"/>
  <c r="E98" i="1" s="1"/>
  <c r="E89" i="1"/>
  <c r="E86" i="1"/>
  <c r="E84" i="1"/>
  <c r="E80" i="1"/>
  <c r="E75" i="1"/>
  <c r="E72" i="1"/>
  <c r="E70" i="1"/>
  <c r="E59" i="1"/>
  <c r="E58" i="1" s="1"/>
  <c r="E56" i="1"/>
  <c r="E54" i="1"/>
  <c r="E46" i="1"/>
  <c r="E45" i="1" s="1"/>
  <c r="E42" i="1"/>
  <c r="E40" i="1"/>
  <c r="E34" i="1"/>
  <c r="E32" i="1"/>
  <c r="E24" i="1"/>
  <c r="E19" i="1"/>
  <c r="E18" i="1" s="1"/>
  <c r="C78" i="1"/>
  <c r="C150" i="1"/>
  <c r="C147" i="1"/>
  <c r="C138" i="1"/>
  <c r="C133" i="1"/>
  <c r="C108" i="1"/>
  <c r="C106" i="1"/>
  <c r="C104" i="1"/>
  <c r="C99" i="1"/>
  <c r="C98" i="1" s="1"/>
  <c r="C84" i="1"/>
  <c r="C89" i="1"/>
  <c r="C86" i="1"/>
  <c r="C80" i="1"/>
  <c r="C75" i="1"/>
  <c r="C72" i="1"/>
  <c r="C70" i="1"/>
  <c r="C62" i="1"/>
  <c r="C59" i="1" s="1"/>
  <c r="C58" i="1" s="1"/>
  <c r="C56" i="1"/>
  <c r="C54" i="1"/>
  <c r="C46" i="1"/>
  <c r="C45" i="1" s="1"/>
  <c r="C42" i="1"/>
  <c r="C40" i="1"/>
  <c r="C34" i="1"/>
  <c r="C32" i="1"/>
  <c r="C24" i="1"/>
  <c r="C20" i="1"/>
  <c r="C19" i="1" s="1"/>
  <c r="C18" i="1" s="1"/>
  <c r="I13" i="7" l="1"/>
  <c r="G130" i="1"/>
  <c r="G129" i="1" s="1"/>
  <c r="G128" i="1" s="1"/>
  <c r="H39" i="1"/>
  <c r="H53" i="1"/>
  <c r="H52" i="1" s="1"/>
  <c r="H74" i="1"/>
  <c r="G69" i="1"/>
  <c r="F149" i="1"/>
  <c r="D97" i="1"/>
  <c r="D96" i="1" s="1"/>
  <c r="C130" i="1"/>
  <c r="C129" i="1" s="1"/>
  <c r="C128" i="1" s="1"/>
  <c r="E31" i="1"/>
  <c r="E30" i="1" s="1"/>
  <c r="G53" i="1"/>
  <c r="G52" i="1" s="1"/>
  <c r="F74" i="1"/>
  <c r="G39" i="1"/>
  <c r="H13" i="7"/>
  <c r="C149" i="1"/>
  <c r="F69" i="1"/>
  <c r="F130" i="1"/>
  <c r="F129" i="1" s="1"/>
  <c r="F128" i="1" s="1"/>
  <c r="G13" i="7"/>
  <c r="H69" i="1"/>
  <c r="H130" i="1"/>
  <c r="H129" i="1" s="1"/>
  <c r="H128" i="1" s="1"/>
  <c r="C39" i="1"/>
  <c r="F39" i="1"/>
  <c r="G149" i="1"/>
  <c r="E53" i="1"/>
  <c r="E52" i="1" s="1"/>
  <c r="E130" i="1"/>
  <c r="E129" i="1" s="1"/>
  <c r="E128" i="1" s="1"/>
  <c r="F53" i="1"/>
  <c r="F52" i="1" s="1"/>
  <c r="H149" i="1"/>
  <c r="H202" i="4"/>
  <c r="H1149" i="4" s="1"/>
  <c r="D17" i="1"/>
  <c r="G103" i="1"/>
  <c r="H103" i="1"/>
  <c r="E149" i="1"/>
  <c r="H1080" i="4"/>
  <c r="H1079" i="4" s="1"/>
  <c r="H134" i="4"/>
  <c r="H579" i="4"/>
  <c r="H578" i="4" s="1"/>
  <c r="H717" i="4"/>
  <c r="H283" i="4"/>
  <c r="H282" i="4" s="1"/>
  <c r="H990" i="4"/>
  <c r="H989" i="4" s="1"/>
  <c r="H789" i="4"/>
  <c r="H788" i="4" s="1"/>
  <c r="H394" i="4"/>
  <c r="H1158" i="4" s="1"/>
  <c r="H243" i="4"/>
  <c r="H763" i="4"/>
  <c r="H753" i="4" s="1"/>
  <c r="H438" i="4"/>
  <c r="H414" i="4" s="1"/>
  <c r="H648" i="4"/>
  <c r="H1050" i="4"/>
  <c r="H1049" i="4" s="1"/>
  <c r="H1165" i="4"/>
  <c r="H527" i="4"/>
  <c r="H857" i="4"/>
  <c r="H849" i="4" s="1"/>
  <c r="H821" i="4" s="1"/>
  <c r="H1155" i="4"/>
  <c r="H955" i="4"/>
  <c r="H925" i="4" s="1"/>
  <c r="H1161" i="4"/>
  <c r="H455" i="4"/>
  <c r="H1160" i="4" s="1"/>
  <c r="H597" i="4"/>
  <c r="H1172" i="4"/>
  <c r="H1182" i="4"/>
  <c r="H1170" i="4"/>
  <c r="H901" i="4"/>
  <c r="H894" i="4" s="1"/>
  <c r="H1183" i="4"/>
  <c r="H329" i="4"/>
  <c r="H1178" i="4" s="1"/>
  <c r="H1177" i="4"/>
  <c r="H217" i="4"/>
  <c r="E74" i="1"/>
  <c r="C74" i="1"/>
  <c r="C31" i="1"/>
  <c r="C30" i="1" s="1"/>
  <c r="C53" i="1"/>
  <c r="C52" i="1" s="1"/>
  <c r="C69" i="1"/>
  <c r="C103" i="1"/>
  <c r="E39" i="1"/>
  <c r="E103" i="1"/>
  <c r="G19" i="1"/>
  <c r="G18" i="1" s="1"/>
  <c r="G74" i="1"/>
  <c r="E69" i="1"/>
  <c r="F103" i="1"/>
  <c r="D164" i="1" l="1"/>
  <c r="H17" i="1"/>
  <c r="C97" i="1"/>
  <c r="C96" i="1" s="1"/>
  <c r="H97" i="1"/>
  <c r="H96" i="1" s="1"/>
  <c r="G17" i="1"/>
  <c r="F97" i="1"/>
  <c r="F96" i="1" s="1"/>
  <c r="F17" i="1"/>
  <c r="G97" i="1"/>
  <c r="G96" i="1" s="1"/>
  <c r="E17" i="1"/>
  <c r="H1143" i="4"/>
  <c r="H185" i="4"/>
  <c r="H1147" i="4" s="1"/>
  <c r="H1148" i="4" s="1"/>
  <c r="C17" i="1"/>
  <c r="E97" i="1"/>
  <c r="E96" i="1" s="1"/>
  <c r="H106" i="4"/>
  <c r="H62" i="4" s="1"/>
  <c r="H29" i="4" s="1"/>
  <c r="H1142" i="4" s="1"/>
  <c r="H1180" i="4"/>
  <c r="H1138" i="4"/>
  <c r="H1151" i="4"/>
  <c r="H393" i="4"/>
  <c r="H328" i="4" s="1"/>
  <c r="H327" i="4" s="1"/>
  <c r="H1156" i="4" s="1"/>
  <c r="H1157" i="4" s="1"/>
  <c r="H908" i="4"/>
  <c r="H1150" i="4" s="1"/>
  <c r="H596" i="4"/>
  <c r="H577" i="4" s="1"/>
  <c r="H1162" i="4"/>
  <c r="H1163" i="4" s="1"/>
  <c r="H781" i="4"/>
  <c r="H454" i="4"/>
  <c r="H453" i="4" s="1"/>
  <c r="H1159" i="4" s="1"/>
  <c r="H1171" i="4"/>
  <c r="E164" i="1" l="1"/>
  <c r="F21" i="7" s="1"/>
  <c r="C164" i="1"/>
  <c r="C21" i="7" s="1"/>
  <c r="H164" i="1"/>
  <c r="I21" i="7" s="1"/>
  <c r="G164" i="1"/>
  <c r="H21" i="7" s="1"/>
  <c r="F164" i="1"/>
  <c r="G21" i="7" s="1"/>
  <c r="H1144" i="4"/>
  <c r="H872" i="4"/>
  <c r="H28" i="4"/>
  <c r="H1152" i="4"/>
  <c r="H1187" i="4"/>
  <c r="H1153" i="4"/>
  <c r="H1154" i="4" s="1"/>
  <c r="H1167" i="4" s="1"/>
  <c r="H242" i="4"/>
  <c r="F15" i="7"/>
  <c r="L402" i="5"/>
  <c r="N402" i="5" s="1"/>
  <c r="K402" i="5"/>
  <c r="J402" i="5"/>
  <c r="I402" i="5"/>
  <c r="H402" i="5"/>
  <c r="G402" i="5"/>
  <c r="L454" i="5"/>
  <c r="K454" i="5"/>
  <c r="K453" i="5" s="1"/>
  <c r="K452" i="5" s="1"/>
  <c r="J454" i="5"/>
  <c r="J453" i="5" s="1"/>
  <c r="J452" i="5" s="1"/>
  <c r="I454" i="5"/>
  <c r="I453" i="5" s="1"/>
  <c r="I452" i="5" s="1"/>
  <c r="H454" i="5"/>
  <c r="H453" i="5" s="1"/>
  <c r="H452" i="5" s="1"/>
  <c r="L450" i="5"/>
  <c r="K451" i="5"/>
  <c r="K450" i="5" s="1"/>
  <c r="K449" i="5" s="1"/>
  <c r="J451" i="5"/>
  <c r="J450" i="5" s="1"/>
  <c r="J449" i="5" s="1"/>
  <c r="I451" i="5"/>
  <c r="I450" i="5" s="1"/>
  <c r="I449" i="5" s="1"/>
  <c r="H451" i="5"/>
  <c r="H450" i="5" s="1"/>
  <c r="H449" i="5" s="1"/>
  <c r="G454" i="5"/>
  <c r="G453" i="5" s="1"/>
  <c r="G452" i="5" s="1"/>
  <c r="G451" i="5"/>
  <c r="G450" i="5" s="1"/>
  <c r="G449" i="5" s="1"/>
  <c r="L417" i="5"/>
  <c r="K417" i="5"/>
  <c r="K416" i="5" s="1"/>
  <c r="K415" i="5" s="1"/>
  <c r="J417" i="5"/>
  <c r="J416" i="5" s="1"/>
  <c r="J415" i="5" s="1"/>
  <c r="I417" i="5"/>
  <c r="I416" i="5" s="1"/>
  <c r="I415" i="5" s="1"/>
  <c r="H417" i="5"/>
  <c r="H416" i="5" s="1"/>
  <c r="H415" i="5" s="1"/>
  <c r="L414" i="5"/>
  <c r="K414" i="5"/>
  <c r="K413" i="5" s="1"/>
  <c r="K412" i="5" s="1"/>
  <c r="J414" i="5"/>
  <c r="J413" i="5" s="1"/>
  <c r="J412" i="5" s="1"/>
  <c r="I414" i="5"/>
  <c r="I413" i="5" s="1"/>
  <c r="I412" i="5" s="1"/>
  <c r="H414" i="5"/>
  <c r="H413" i="5" s="1"/>
  <c r="H412" i="5" s="1"/>
  <c r="L411" i="5"/>
  <c r="N411" i="5" s="1"/>
  <c r="K411" i="5"/>
  <c r="J411" i="5"/>
  <c r="I411" i="5"/>
  <c r="H411" i="5"/>
  <c r="G417" i="5"/>
  <c r="G416" i="5" s="1"/>
  <c r="G415" i="5" s="1"/>
  <c r="G414" i="5"/>
  <c r="G413" i="5" s="1"/>
  <c r="G412" i="5" s="1"/>
  <c r="G411" i="5"/>
  <c r="L392" i="5"/>
  <c r="K392" i="5"/>
  <c r="K391" i="5" s="1"/>
  <c r="K390" i="5" s="1"/>
  <c r="J392" i="5"/>
  <c r="J391" i="5" s="1"/>
  <c r="J390" i="5" s="1"/>
  <c r="I392" i="5"/>
  <c r="I391" i="5" s="1"/>
  <c r="I390" i="5" s="1"/>
  <c r="H392" i="5"/>
  <c r="H391" i="5" s="1"/>
  <c r="H390" i="5" s="1"/>
  <c r="L389" i="5"/>
  <c r="K389" i="5"/>
  <c r="K388" i="5" s="1"/>
  <c r="K387" i="5" s="1"/>
  <c r="J389" i="5"/>
  <c r="J388" i="5" s="1"/>
  <c r="J387" i="5" s="1"/>
  <c r="I389" i="5"/>
  <c r="I388" i="5" s="1"/>
  <c r="I387" i="5" s="1"/>
  <c r="H389" i="5"/>
  <c r="H388" i="5" s="1"/>
  <c r="H387" i="5" s="1"/>
  <c r="G392" i="5"/>
  <c r="G391" i="5" s="1"/>
  <c r="G390" i="5" s="1"/>
  <c r="G389" i="5"/>
  <c r="G388" i="5" s="1"/>
  <c r="G387" i="5" s="1"/>
  <c r="L386" i="5"/>
  <c r="N386" i="5" s="1"/>
  <c r="K386" i="5"/>
  <c r="J386" i="5"/>
  <c r="I386" i="5"/>
  <c r="H386" i="5"/>
  <c r="G386" i="5"/>
  <c r="L351" i="5"/>
  <c r="K351" i="5"/>
  <c r="K350" i="5" s="1"/>
  <c r="K349" i="5" s="1"/>
  <c r="J351" i="5"/>
  <c r="J350" i="5" s="1"/>
  <c r="J349" i="5" s="1"/>
  <c r="I351" i="5"/>
  <c r="I350" i="5" s="1"/>
  <c r="I349" i="5" s="1"/>
  <c r="H351" i="5"/>
  <c r="H350" i="5" s="1"/>
  <c r="H349" i="5" s="1"/>
  <c r="G351" i="5"/>
  <c r="G350" i="5" s="1"/>
  <c r="G349" i="5" s="1"/>
  <c r="L348" i="5"/>
  <c r="N348" i="5" s="1"/>
  <c r="K348" i="5"/>
  <c r="I348" i="5"/>
  <c r="H348" i="5"/>
  <c r="G348" i="5"/>
  <c r="L345" i="5"/>
  <c r="N345" i="5" s="1"/>
  <c r="K345" i="5"/>
  <c r="J345" i="5"/>
  <c r="I345" i="5"/>
  <c r="H345" i="5"/>
  <c r="G345" i="5"/>
  <c r="L327" i="5"/>
  <c r="K327" i="5"/>
  <c r="K326" i="5" s="1"/>
  <c r="K325" i="5" s="1"/>
  <c r="J327" i="5"/>
  <c r="J326" i="5" s="1"/>
  <c r="J325" i="5" s="1"/>
  <c r="I327" i="5"/>
  <c r="I326" i="5" s="1"/>
  <c r="I325" i="5" s="1"/>
  <c r="H327" i="5"/>
  <c r="H326" i="5" s="1"/>
  <c r="H325" i="5" s="1"/>
  <c r="L324" i="5"/>
  <c r="K324" i="5"/>
  <c r="K323" i="5" s="1"/>
  <c r="K322" i="5" s="1"/>
  <c r="J324" i="5"/>
  <c r="J323" i="5" s="1"/>
  <c r="J322" i="5" s="1"/>
  <c r="I324" i="5"/>
  <c r="I323" i="5" s="1"/>
  <c r="I322" i="5" s="1"/>
  <c r="H324" i="5"/>
  <c r="H323" i="5" s="1"/>
  <c r="H322" i="5" s="1"/>
  <c r="G327" i="5"/>
  <c r="G326" i="5" s="1"/>
  <c r="G325" i="5" s="1"/>
  <c r="G324" i="5"/>
  <c r="G323" i="5" s="1"/>
  <c r="G322" i="5" s="1"/>
  <c r="L215" i="5"/>
  <c r="K215" i="5"/>
  <c r="K214" i="5" s="1"/>
  <c r="K213" i="5" s="1"/>
  <c r="J215" i="5"/>
  <c r="J214" i="5" s="1"/>
  <c r="J213" i="5" s="1"/>
  <c r="I215" i="5"/>
  <c r="I214" i="5" s="1"/>
  <c r="I213" i="5" s="1"/>
  <c r="H215" i="5"/>
  <c r="H214" i="5" s="1"/>
  <c r="H213" i="5" s="1"/>
  <c r="G215" i="5"/>
  <c r="G214" i="5" s="1"/>
  <c r="G213" i="5" s="1"/>
  <c r="L198" i="5"/>
  <c r="K198" i="5"/>
  <c r="K197" i="5" s="1"/>
  <c r="K196" i="5" s="1"/>
  <c r="J198" i="5"/>
  <c r="J197" i="5" s="1"/>
  <c r="J196" i="5" s="1"/>
  <c r="I198" i="5"/>
  <c r="I197" i="5" s="1"/>
  <c r="I196" i="5" s="1"/>
  <c r="H198" i="5"/>
  <c r="H197" i="5" s="1"/>
  <c r="H196" i="5" s="1"/>
  <c r="G198" i="5"/>
  <c r="G197" i="5" s="1"/>
  <c r="G196" i="5" s="1"/>
  <c r="L189" i="5"/>
  <c r="K189" i="5"/>
  <c r="K188" i="5" s="1"/>
  <c r="K187" i="5" s="1"/>
  <c r="J189" i="5"/>
  <c r="J188" i="5" s="1"/>
  <c r="J187" i="5" s="1"/>
  <c r="I189" i="5"/>
  <c r="I188" i="5" s="1"/>
  <c r="I187" i="5" s="1"/>
  <c r="H189" i="5"/>
  <c r="H188" i="5" s="1"/>
  <c r="H187" i="5" s="1"/>
  <c r="G189" i="5"/>
  <c r="G188" i="5" s="1"/>
  <c r="G187" i="5" s="1"/>
  <c r="L147" i="5"/>
  <c r="I147" i="5"/>
  <c r="I146" i="5" s="1"/>
  <c r="I145" i="5" s="1"/>
  <c r="H147" i="5"/>
  <c r="H146" i="5" s="1"/>
  <c r="H145" i="5" s="1"/>
  <c r="L144" i="5"/>
  <c r="I144" i="5"/>
  <c r="I143" i="5" s="1"/>
  <c r="I142" i="5" s="1"/>
  <c r="H144" i="5"/>
  <c r="H143" i="5" s="1"/>
  <c r="H142" i="5" s="1"/>
  <c r="G147" i="5"/>
  <c r="G146" i="5" s="1"/>
  <c r="G145" i="5" s="1"/>
  <c r="G144" i="5"/>
  <c r="G143" i="5" s="1"/>
  <c r="G142" i="5" s="1"/>
  <c r="L141" i="5"/>
  <c r="N141" i="5" s="1"/>
  <c r="K141" i="5"/>
  <c r="J141" i="5"/>
  <c r="I141" i="5"/>
  <c r="H141" i="5"/>
  <c r="G141" i="5"/>
  <c r="L132" i="5"/>
  <c r="N132" i="5" s="1"/>
  <c r="K132" i="5"/>
  <c r="J132" i="5"/>
  <c r="I132" i="5"/>
  <c r="H132" i="5"/>
  <c r="G132" i="5"/>
  <c r="L350" i="5" l="1"/>
  <c r="N351" i="5"/>
  <c r="L416" i="5"/>
  <c r="N417" i="5"/>
  <c r="L197" i="5"/>
  <c r="N198" i="5"/>
  <c r="L388" i="5"/>
  <c r="N389" i="5"/>
  <c r="L143" i="5"/>
  <c r="N144" i="5"/>
  <c r="L323" i="5"/>
  <c r="N324" i="5"/>
  <c r="L391" i="5"/>
  <c r="N392" i="5"/>
  <c r="L453" i="5"/>
  <c r="N454" i="5"/>
  <c r="L146" i="5"/>
  <c r="N147" i="5"/>
  <c r="L188" i="5"/>
  <c r="N189" i="5"/>
  <c r="L214" i="5"/>
  <c r="N215" i="5"/>
  <c r="L326" i="5"/>
  <c r="N327" i="5"/>
  <c r="L413" i="5"/>
  <c r="N414" i="5"/>
  <c r="L449" i="5"/>
  <c r="N449" i="5" s="1"/>
  <c r="N450" i="5"/>
  <c r="H1135" i="4"/>
  <c r="H1137" i="4" s="1"/>
  <c r="H1169" i="4" s="1"/>
  <c r="H1166" i="4"/>
  <c r="H1168" i="4" s="1"/>
  <c r="M1131" i="4"/>
  <c r="O1131" i="4" s="1"/>
  <c r="K295" i="3"/>
  <c r="M295" i="3" s="1"/>
  <c r="J295" i="3"/>
  <c r="I295" i="3"/>
  <c r="H295" i="3"/>
  <c r="G295" i="3"/>
  <c r="F295" i="3"/>
  <c r="K955" i="3"/>
  <c r="M955" i="3" s="1"/>
  <c r="J955" i="3"/>
  <c r="I955" i="3"/>
  <c r="H955" i="3"/>
  <c r="K795" i="3"/>
  <c r="M795" i="3" s="1"/>
  <c r="H795" i="3"/>
  <c r="K223" i="3"/>
  <c r="J223" i="3"/>
  <c r="J222" i="3" s="1"/>
  <c r="J221" i="3" s="1"/>
  <c r="I223" i="3"/>
  <c r="I222" i="3" s="1"/>
  <c r="I221" i="3" s="1"/>
  <c r="H223" i="3"/>
  <c r="H222" i="3" s="1"/>
  <c r="H221" i="3" s="1"/>
  <c r="G223" i="3"/>
  <c r="G222" i="3" s="1"/>
  <c r="G221" i="3" s="1"/>
  <c r="F223" i="3"/>
  <c r="F222" i="3" s="1"/>
  <c r="F221" i="3" s="1"/>
  <c r="K213" i="3"/>
  <c r="J213" i="3"/>
  <c r="J212" i="3" s="1"/>
  <c r="J211" i="3" s="1"/>
  <c r="J210" i="3" s="1"/>
  <c r="J209" i="3" s="1"/>
  <c r="J208" i="3" s="1"/>
  <c r="I213" i="3"/>
  <c r="I212" i="3" s="1"/>
  <c r="I211" i="3" s="1"/>
  <c r="I210" i="3" s="1"/>
  <c r="I209" i="3" s="1"/>
  <c r="I208" i="3" s="1"/>
  <c r="H213" i="3"/>
  <c r="H212" i="3" s="1"/>
  <c r="H211" i="3" s="1"/>
  <c r="H210" i="3" s="1"/>
  <c r="H209" i="3" s="1"/>
  <c r="H208" i="3" s="1"/>
  <c r="G213" i="3"/>
  <c r="G212" i="3" s="1"/>
  <c r="G211" i="3" s="1"/>
  <c r="G210" i="3" s="1"/>
  <c r="G209" i="3" s="1"/>
  <c r="G208" i="3" s="1"/>
  <c r="F213" i="3"/>
  <c r="F212" i="3" s="1"/>
  <c r="F211" i="3" s="1"/>
  <c r="F210" i="3" s="1"/>
  <c r="F209" i="3" s="1"/>
  <c r="F208" i="3" s="1"/>
  <c r="F207" i="3" s="1"/>
  <c r="K222" i="3" l="1"/>
  <c r="M223" i="3"/>
  <c r="K212" i="3"/>
  <c r="M213" i="3"/>
  <c r="L187" i="5"/>
  <c r="N187" i="5" s="1"/>
  <c r="N188" i="5"/>
  <c r="L322" i="5"/>
  <c r="N322" i="5" s="1"/>
  <c r="N323" i="5"/>
  <c r="L387" i="5"/>
  <c r="N387" i="5" s="1"/>
  <c r="N388" i="5"/>
  <c r="L325" i="5"/>
  <c r="N325" i="5" s="1"/>
  <c r="N326" i="5"/>
  <c r="L452" i="5"/>
  <c r="N452" i="5" s="1"/>
  <c r="N453" i="5"/>
  <c r="L415" i="5"/>
  <c r="N415" i="5" s="1"/>
  <c r="N416" i="5"/>
  <c r="L412" i="5"/>
  <c r="N412" i="5" s="1"/>
  <c r="N413" i="5"/>
  <c r="L213" i="5"/>
  <c r="N214" i="5"/>
  <c r="L145" i="5"/>
  <c r="N145" i="5" s="1"/>
  <c r="N146" i="5"/>
  <c r="L390" i="5"/>
  <c r="N390" i="5" s="1"/>
  <c r="N391" i="5"/>
  <c r="L142" i="5"/>
  <c r="N142" i="5" s="1"/>
  <c r="N143" i="5"/>
  <c r="L196" i="5"/>
  <c r="N196" i="5" s="1"/>
  <c r="N197" i="5"/>
  <c r="L349" i="5"/>
  <c r="N349" i="5" s="1"/>
  <c r="N350" i="5"/>
  <c r="E21" i="2"/>
  <c r="E20" i="2" s="1"/>
  <c r="G207" i="3"/>
  <c r="H207" i="3"/>
  <c r="F21" i="2"/>
  <c r="F20" i="2" s="1"/>
  <c r="J207" i="3"/>
  <c r="H21" i="2"/>
  <c r="H20" i="2" s="1"/>
  <c r="G21" i="2"/>
  <c r="G20" i="2" s="1"/>
  <c r="I207" i="3"/>
  <c r="D21" i="2"/>
  <c r="L626" i="5"/>
  <c r="K626" i="5"/>
  <c r="K625" i="5" s="1"/>
  <c r="K624" i="5" s="1"/>
  <c r="K623" i="5" s="1"/>
  <c r="K622" i="5" s="1"/>
  <c r="K621" i="5" s="1"/>
  <c r="K627" i="5" s="1"/>
  <c r="J626" i="5"/>
  <c r="J625" i="5" s="1"/>
  <c r="J624" i="5" s="1"/>
  <c r="J623" i="5" s="1"/>
  <c r="J622" i="5" s="1"/>
  <c r="J621" i="5" s="1"/>
  <c r="J627" i="5" s="1"/>
  <c r="I626" i="5"/>
  <c r="I625" i="5" s="1"/>
  <c r="I624" i="5" s="1"/>
  <c r="I623" i="5" s="1"/>
  <c r="I622" i="5" s="1"/>
  <c r="I621" i="5" s="1"/>
  <c r="I627" i="5" s="1"/>
  <c r="H626" i="5"/>
  <c r="H625" i="5" s="1"/>
  <c r="H624" i="5" s="1"/>
  <c r="H623" i="5" s="1"/>
  <c r="H622" i="5" s="1"/>
  <c r="H621" i="5" s="1"/>
  <c r="H627" i="5" s="1"/>
  <c r="L601" i="5"/>
  <c r="K601" i="5"/>
  <c r="K600" i="5" s="1"/>
  <c r="K599" i="5" s="1"/>
  <c r="J601" i="5"/>
  <c r="J600" i="5" s="1"/>
  <c r="J599" i="5" s="1"/>
  <c r="I601" i="5"/>
  <c r="I600" i="5" s="1"/>
  <c r="I599" i="5" s="1"/>
  <c r="H601" i="5"/>
  <c r="H600" i="5" s="1"/>
  <c r="H599" i="5" s="1"/>
  <c r="L591" i="5"/>
  <c r="K591" i="5"/>
  <c r="K590" i="5" s="1"/>
  <c r="K589" i="5" s="1"/>
  <c r="J591" i="5"/>
  <c r="J590" i="5" s="1"/>
  <c r="J589" i="5" s="1"/>
  <c r="I591" i="5"/>
  <c r="I590" i="5" s="1"/>
  <c r="I589" i="5" s="1"/>
  <c r="L588" i="5"/>
  <c r="K588" i="5"/>
  <c r="K587" i="5" s="1"/>
  <c r="K586" i="5" s="1"/>
  <c r="J588" i="5"/>
  <c r="J587" i="5" s="1"/>
  <c r="J586" i="5" s="1"/>
  <c r="I588" i="5"/>
  <c r="I587" i="5" s="1"/>
  <c r="I586" i="5" s="1"/>
  <c r="H587" i="5"/>
  <c r="H586" i="5" s="1"/>
  <c r="L585" i="5"/>
  <c r="K585" i="5"/>
  <c r="K584" i="5" s="1"/>
  <c r="K581" i="5" s="1"/>
  <c r="J585" i="5"/>
  <c r="J584" i="5" s="1"/>
  <c r="J581" i="5" s="1"/>
  <c r="I585" i="5"/>
  <c r="I584" i="5" s="1"/>
  <c r="I581" i="5" s="1"/>
  <c r="H584" i="5"/>
  <c r="H581" i="5" s="1"/>
  <c r="L563" i="5"/>
  <c r="K563" i="5"/>
  <c r="K562" i="5" s="1"/>
  <c r="J563" i="5"/>
  <c r="J562" i="5" s="1"/>
  <c r="I563" i="5"/>
  <c r="I562" i="5" s="1"/>
  <c r="H562" i="5"/>
  <c r="L561" i="5"/>
  <c r="K561" i="5"/>
  <c r="K560" i="5" s="1"/>
  <c r="J561" i="5"/>
  <c r="J560" i="5" s="1"/>
  <c r="I560" i="5"/>
  <c r="H560" i="5"/>
  <c r="L551" i="5"/>
  <c r="K551" i="5"/>
  <c r="K550" i="5" s="1"/>
  <c r="K549" i="5" s="1"/>
  <c r="J551" i="5"/>
  <c r="J550" i="5" s="1"/>
  <c r="J549" i="5" s="1"/>
  <c r="I551" i="5"/>
  <c r="I550" i="5" s="1"/>
  <c r="I549" i="5" s="1"/>
  <c r="L547" i="5"/>
  <c r="K547" i="5"/>
  <c r="K546" i="5" s="1"/>
  <c r="J547" i="5"/>
  <c r="J546" i="5" s="1"/>
  <c r="I547" i="5"/>
  <c r="I546" i="5" s="1"/>
  <c r="H547" i="5"/>
  <c r="H546" i="5" s="1"/>
  <c r="L542" i="5"/>
  <c r="L537" i="5"/>
  <c r="I537" i="5"/>
  <c r="I536" i="5" s="1"/>
  <c r="I535" i="5" s="1"/>
  <c r="L532" i="5"/>
  <c r="I532" i="5"/>
  <c r="I531" i="5" s="1"/>
  <c r="I530" i="5" s="1"/>
  <c r="L529" i="5"/>
  <c r="K529" i="5"/>
  <c r="J529" i="5"/>
  <c r="J528" i="5" s="1"/>
  <c r="J527" i="5" s="1"/>
  <c r="I529" i="5"/>
  <c r="I528" i="5" s="1"/>
  <c r="I527" i="5" s="1"/>
  <c r="H529" i="5"/>
  <c r="H528" i="5" s="1"/>
  <c r="H527" i="5" s="1"/>
  <c r="K528" i="5"/>
  <c r="K527" i="5" s="1"/>
  <c r="L524" i="5"/>
  <c r="K524" i="5"/>
  <c r="J524" i="5"/>
  <c r="J523" i="5" s="1"/>
  <c r="J526" i="5" s="1"/>
  <c r="I524" i="5"/>
  <c r="I523" i="5" s="1"/>
  <c r="I526" i="5" s="1"/>
  <c r="H524" i="5"/>
  <c r="H523" i="5" s="1"/>
  <c r="H526" i="5" s="1"/>
  <c r="K523" i="5"/>
  <c r="K526" i="5" s="1"/>
  <c r="L509" i="5"/>
  <c r="K509" i="5"/>
  <c r="K508" i="5" s="1"/>
  <c r="K507" i="5" s="1"/>
  <c r="K506" i="5" s="1"/>
  <c r="K505" i="5" s="1"/>
  <c r="J509" i="5"/>
  <c r="J508" i="5" s="1"/>
  <c r="J507" i="5" s="1"/>
  <c r="J506" i="5" s="1"/>
  <c r="J505" i="5" s="1"/>
  <c r="I509" i="5"/>
  <c r="I508" i="5" s="1"/>
  <c r="I507" i="5" s="1"/>
  <c r="I506" i="5" s="1"/>
  <c r="I505" i="5" s="1"/>
  <c r="L502" i="5"/>
  <c r="K502" i="5"/>
  <c r="K501" i="5" s="1"/>
  <c r="K500" i="5" s="1"/>
  <c r="J502" i="5"/>
  <c r="J501" i="5" s="1"/>
  <c r="J500" i="5" s="1"/>
  <c r="I502" i="5"/>
  <c r="I501" i="5" s="1"/>
  <c r="I500" i="5" s="1"/>
  <c r="H502" i="5"/>
  <c r="H501" i="5" s="1"/>
  <c r="H500" i="5" s="1"/>
  <c r="K499" i="5"/>
  <c r="K498" i="5" s="1"/>
  <c r="K497" i="5" s="1"/>
  <c r="J499" i="5"/>
  <c r="J498" i="5" s="1"/>
  <c r="J497" i="5" s="1"/>
  <c r="I499" i="5"/>
  <c r="I498" i="5" s="1"/>
  <c r="I497" i="5" s="1"/>
  <c r="H499" i="5"/>
  <c r="H498" i="5" s="1"/>
  <c r="H497" i="5" s="1"/>
  <c r="L496" i="5"/>
  <c r="K496" i="5"/>
  <c r="K495" i="5" s="1"/>
  <c r="K494" i="5" s="1"/>
  <c r="J496" i="5"/>
  <c r="J495" i="5" s="1"/>
  <c r="J494" i="5" s="1"/>
  <c r="I496" i="5"/>
  <c r="I495" i="5" s="1"/>
  <c r="I494" i="5" s="1"/>
  <c r="H496" i="5"/>
  <c r="H495" i="5" s="1"/>
  <c r="H494" i="5" s="1"/>
  <c r="L493" i="5"/>
  <c r="K493" i="5"/>
  <c r="K492" i="5" s="1"/>
  <c r="J493" i="5"/>
  <c r="J492" i="5" s="1"/>
  <c r="I493" i="5"/>
  <c r="I492" i="5" s="1"/>
  <c r="H493" i="5"/>
  <c r="H492" i="5" s="1"/>
  <c r="K491" i="5"/>
  <c r="K490" i="5" s="1"/>
  <c r="J491" i="5"/>
  <c r="J490" i="5" s="1"/>
  <c r="I491" i="5"/>
  <c r="I490" i="5" s="1"/>
  <c r="H481" i="5"/>
  <c r="H480" i="5" s="1"/>
  <c r="H479" i="5" s="1"/>
  <c r="L476" i="5"/>
  <c r="K476" i="5"/>
  <c r="K475" i="5" s="1"/>
  <c r="K474" i="5" s="1"/>
  <c r="J476" i="5"/>
  <c r="J475" i="5" s="1"/>
  <c r="J474" i="5" s="1"/>
  <c r="I476" i="5"/>
  <c r="I475" i="5" s="1"/>
  <c r="I474" i="5" s="1"/>
  <c r="H476" i="5"/>
  <c r="H475" i="5" s="1"/>
  <c r="H474" i="5" s="1"/>
  <c r="L473" i="5"/>
  <c r="K473" i="5"/>
  <c r="K472" i="5" s="1"/>
  <c r="K471" i="5" s="1"/>
  <c r="J473" i="5"/>
  <c r="J472" i="5" s="1"/>
  <c r="J471" i="5" s="1"/>
  <c r="I473" i="5"/>
  <c r="I472" i="5" s="1"/>
  <c r="I471" i="5" s="1"/>
  <c r="H473" i="5"/>
  <c r="H472" i="5" s="1"/>
  <c r="H471" i="5" s="1"/>
  <c r="L464" i="5"/>
  <c r="K465" i="5"/>
  <c r="K464" i="5" s="1"/>
  <c r="K463" i="5" s="1"/>
  <c r="K462" i="5" s="1"/>
  <c r="K461" i="5" s="1"/>
  <c r="K460" i="5" s="1"/>
  <c r="K466" i="5" s="1"/>
  <c r="J465" i="5"/>
  <c r="J464" i="5" s="1"/>
  <c r="J463" i="5" s="1"/>
  <c r="J462" i="5" s="1"/>
  <c r="J461" i="5" s="1"/>
  <c r="J460" i="5" s="1"/>
  <c r="J466" i="5" s="1"/>
  <c r="I465" i="5"/>
  <c r="I464" i="5" s="1"/>
  <c r="I463" i="5" s="1"/>
  <c r="I462" i="5" s="1"/>
  <c r="I461" i="5" s="1"/>
  <c r="I460" i="5" s="1"/>
  <c r="I466" i="5" s="1"/>
  <c r="H465" i="5"/>
  <c r="H464" i="5" s="1"/>
  <c r="H463" i="5" s="1"/>
  <c r="H462" i="5" s="1"/>
  <c r="H461" i="5" s="1"/>
  <c r="H460" i="5" s="1"/>
  <c r="H466" i="5" s="1"/>
  <c r="L459" i="5"/>
  <c r="N459" i="5" s="1"/>
  <c r="K459" i="5"/>
  <c r="J459" i="5"/>
  <c r="I459" i="5"/>
  <c r="H459" i="5"/>
  <c r="L456" i="5"/>
  <c r="N456" i="5" s="1"/>
  <c r="K456" i="5"/>
  <c r="J456" i="5"/>
  <c r="I456" i="5"/>
  <c r="H456" i="5"/>
  <c r="L448" i="5"/>
  <c r="K448" i="5"/>
  <c r="K447" i="5" s="1"/>
  <c r="K446" i="5" s="1"/>
  <c r="J448" i="5"/>
  <c r="J447" i="5" s="1"/>
  <c r="J446" i="5" s="1"/>
  <c r="I448" i="5"/>
  <c r="I447" i="5" s="1"/>
  <c r="I446" i="5" s="1"/>
  <c r="H448" i="5"/>
  <c r="H447" i="5" s="1"/>
  <c r="H446" i="5" s="1"/>
  <c r="L445" i="5"/>
  <c r="K445" i="5"/>
  <c r="K444" i="5" s="1"/>
  <c r="J445" i="5"/>
  <c r="J444" i="5" s="1"/>
  <c r="I445" i="5"/>
  <c r="I444" i="5" s="1"/>
  <c r="H445" i="5"/>
  <c r="H444" i="5" s="1"/>
  <c r="L442" i="5"/>
  <c r="N442" i="5" s="1"/>
  <c r="K442" i="5"/>
  <c r="J442" i="5"/>
  <c r="I442" i="5"/>
  <c r="H442" i="5"/>
  <c r="L438" i="5"/>
  <c r="K438" i="5"/>
  <c r="K437" i="5" s="1"/>
  <c r="K440" i="5" s="1"/>
  <c r="J438" i="5"/>
  <c r="J437" i="5" s="1"/>
  <c r="J440" i="5" s="1"/>
  <c r="I438" i="5"/>
  <c r="I437" i="5" s="1"/>
  <c r="I440" i="5" s="1"/>
  <c r="H438" i="5"/>
  <c r="H437" i="5" s="1"/>
  <c r="H440" i="5" s="1"/>
  <c r="L434" i="5"/>
  <c r="K434" i="5"/>
  <c r="K433" i="5" s="1"/>
  <c r="K436" i="5" s="1"/>
  <c r="J434" i="5"/>
  <c r="J433" i="5" s="1"/>
  <c r="J436" i="5" s="1"/>
  <c r="I434" i="5"/>
  <c r="I433" i="5" s="1"/>
  <c r="I436" i="5" s="1"/>
  <c r="H434" i="5"/>
  <c r="H433" i="5" s="1"/>
  <c r="H436" i="5" s="1"/>
  <c r="L430" i="5"/>
  <c r="K430" i="5"/>
  <c r="K429" i="5" s="1"/>
  <c r="K432" i="5" s="1"/>
  <c r="J430" i="5"/>
  <c r="J429" i="5" s="1"/>
  <c r="J432" i="5" s="1"/>
  <c r="I430" i="5"/>
  <c r="I429" i="5" s="1"/>
  <c r="I432" i="5" s="1"/>
  <c r="H430" i="5"/>
  <c r="H429" i="5" s="1"/>
  <c r="H432" i="5" s="1"/>
  <c r="L426" i="5"/>
  <c r="J426" i="5"/>
  <c r="J425" i="5" s="1"/>
  <c r="J428" i="5" s="1"/>
  <c r="I426" i="5"/>
  <c r="I425" i="5" s="1"/>
  <c r="I428" i="5" s="1"/>
  <c r="H426" i="5"/>
  <c r="H425" i="5" s="1"/>
  <c r="H428" i="5" s="1"/>
  <c r="K426" i="5"/>
  <c r="K425" i="5" s="1"/>
  <c r="K428" i="5" s="1"/>
  <c r="L424" i="5"/>
  <c r="K424" i="5"/>
  <c r="K423" i="5" s="1"/>
  <c r="K422" i="5" s="1"/>
  <c r="J424" i="5"/>
  <c r="J423" i="5" s="1"/>
  <c r="J422" i="5" s="1"/>
  <c r="I424" i="5"/>
  <c r="I423" i="5" s="1"/>
  <c r="I422" i="5" s="1"/>
  <c r="L410" i="5"/>
  <c r="K410" i="5"/>
  <c r="K409" i="5" s="1"/>
  <c r="J410" i="5"/>
  <c r="J409" i="5" s="1"/>
  <c r="I410" i="5"/>
  <c r="I409" i="5" s="1"/>
  <c r="H410" i="5"/>
  <c r="H409" i="5" s="1"/>
  <c r="L408" i="5"/>
  <c r="K408" i="5"/>
  <c r="K407" i="5" s="1"/>
  <c r="K406" i="5" s="1"/>
  <c r="J408" i="5"/>
  <c r="J407" i="5" s="1"/>
  <c r="J406" i="5" s="1"/>
  <c r="I408" i="5"/>
  <c r="I407" i="5" s="1"/>
  <c r="I406" i="5" s="1"/>
  <c r="L405" i="5"/>
  <c r="K405" i="5"/>
  <c r="K404" i="5" s="1"/>
  <c r="K403" i="5" s="1"/>
  <c r="J405" i="5"/>
  <c r="J404" i="5" s="1"/>
  <c r="J403" i="5" s="1"/>
  <c r="I405" i="5"/>
  <c r="I404" i="5" s="1"/>
  <c r="I403" i="5" s="1"/>
  <c r="H405" i="5"/>
  <c r="H404" i="5" s="1"/>
  <c r="H403" i="5" s="1"/>
  <c r="L401" i="5"/>
  <c r="K401" i="5"/>
  <c r="K400" i="5" s="1"/>
  <c r="J401" i="5"/>
  <c r="J400" i="5" s="1"/>
  <c r="I401" i="5"/>
  <c r="I400" i="5" s="1"/>
  <c r="H401" i="5"/>
  <c r="H400" i="5" s="1"/>
  <c r="L399" i="5"/>
  <c r="K399" i="5"/>
  <c r="K398" i="5" s="1"/>
  <c r="K397" i="5" s="1"/>
  <c r="J399" i="5"/>
  <c r="J398" i="5" s="1"/>
  <c r="J397" i="5" s="1"/>
  <c r="I399" i="5"/>
  <c r="I398" i="5" s="1"/>
  <c r="I397" i="5" s="1"/>
  <c r="L385" i="5"/>
  <c r="K385" i="5"/>
  <c r="K384" i="5" s="1"/>
  <c r="J385" i="5"/>
  <c r="J384" i="5" s="1"/>
  <c r="I385" i="5"/>
  <c r="I384" i="5" s="1"/>
  <c r="H385" i="5"/>
  <c r="H384" i="5" s="1"/>
  <c r="L383" i="5"/>
  <c r="K383" i="5"/>
  <c r="K382" i="5" s="1"/>
  <c r="K381" i="5" s="1"/>
  <c r="J383" i="5"/>
  <c r="J382" i="5" s="1"/>
  <c r="J381" i="5" s="1"/>
  <c r="I383" i="5"/>
  <c r="I382" i="5" s="1"/>
  <c r="I381" i="5" s="1"/>
  <c r="H383" i="5"/>
  <c r="H382" i="5" s="1"/>
  <c r="H381" i="5" s="1"/>
  <c r="L378" i="5"/>
  <c r="K378" i="5"/>
  <c r="J378" i="5"/>
  <c r="J377" i="5" s="1"/>
  <c r="I378" i="5"/>
  <c r="I377" i="5" s="1"/>
  <c r="H378" i="5"/>
  <c r="H377" i="5" s="1"/>
  <c r="K377" i="5"/>
  <c r="L374" i="5"/>
  <c r="K374" i="5"/>
  <c r="K373" i="5" s="1"/>
  <c r="J374" i="5"/>
  <c r="J373" i="5" s="1"/>
  <c r="I374" i="5"/>
  <c r="I373" i="5" s="1"/>
  <c r="H374" i="5"/>
  <c r="H373" i="5" s="1"/>
  <c r="L370" i="5"/>
  <c r="K370" i="5"/>
  <c r="K369" i="5" s="1"/>
  <c r="J370" i="5"/>
  <c r="J369" i="5" s="1"/>
  <c r="I370" i="5"/>
  <c r="I369" i="5" s="1"/>
  <c r="H370" i="5"/>
  <c r="H369" i="5" s="1"/>
  <c r="L368" i="5"/>
  <c r="K368" i="5"/>
  <c r="K367" i="5" s="1"/>
  <c r="K366" i="5" s="1"/>
  <c r="J368" i="5"/>
  <c r="J367" i="5" s="1"/>
  <c r="J366" i="5" s="1"/>
  <c r="I368" i="5"/>
  <c r="I367" i="5" s="1"/>
  <c r="I366" i="5" s="1"/>
  <c r="L358" i="5"/>
  <c r="K358" i="5"/>
  <c r="K357" i="5" s="1"/>
  <c r="J358" i="5"/>
  <c r="J357" i="5" s="1"/>
  <c r="I358" i="5"/>
  <c r="I357" i="5" s="1"/>
  <c r="H358" i="5"/>
  <c r="H357" i="5" s="1"/>
  <c r="L347" i="5"/>
  <c r="K347" i="5"/>
  <c r="K346" i="5" s="1"/>
  <c r="I347" i="5"/>
  <c r="I346" i="5" s="1"/>
  <c r="H347" i="5"/>
  <c r="H346" i="5" s="1"/>
  <c r="L344" i="5"/>
  <c r="K344" i="5"/>
  <c r="K343" i="5" s="1"/>
  <c r="J344" i="5"/>
  <c r="J343" i="5" s="1"/>
  <c r="I344" i="5"/>
  <c r="I343" i="5" s="1"/>
  <c r="H344" i="5"/>
  <c r="H343" i="5" s="1"/>
  <c r="L342" i="5"/>
  <c r="K342" i="5"/>
  <c r="K341" i="5" s="1"/>
  <c r="K340" i="5" s="1"/>
  <c r="J342" i="5"/>
  <c r="J341" i="5" s="1"/>
  <c r="J340" i="5" s="1"/>
  <c r="I342" i="5"/>
  <c r="I341" i="5" s="1"/>
  <c r="I340" i="5" s="1"/>
  <c r="L339" i="5"/>
  <c r="K339" i="5"/>
  <c r="K338" i="5" s="1"/>
  <c r="K337" i="5" s="1"/>
  <c r="K336" i="5" s="1"/>
  <c r="J339" i="5"/>
  <c r="J338" i="5" s="1"/>
  <c r="J337" i="5" s="1"/>
  <c r="J336" i="5" s="1"/>
  <c r="I339" i="5"/>
  <c r="I338" i="5" s="1"/>
  <c r="I337" i="5" s="1"/>
  <c r="I336" i="5" s="1"/>
  <c r="H339" i="5"/>
  <c r="H338" i="5" s="1"/>
  <c r="H337" i="5" s="1"/>
  <c r="H336" i="5" s="1"/>
  <c r="K334" i="5"/>
  <c r="J334" i="5"/>
  <c r="J333" i="5" s="1"/>
  <c r="J332" i="5" s="1"/>
  <c r="I334" i="5"/>
  <c r="L321" i="5"/>
  <c r="K321" i="5"/>
  <c r="K320" i="5" s="1"/>
  <c r="K319" i="5" s="1"/>
  <c r="J321" i="5"/>
  <c r="J320" i="5" s="1"/>
  <c r="J319" i="5" s="1"/>
  <c r="I321" i="5"/>
  <c r="I320" i="5" s="1"/>
  <c r="I319" i="5" s="1"/>
  <c r="H321" i="5"/>
  <c r="H320" i="5" s="1"/>
  <c r="H319" i="5" s="1"/>
  <c r="L316" i="5"/>
  <c r="K316" i="5"/>
  <c r="K315" i="5" s="1"/>
  <c r="J316" i="5"/>
  <c r="J315" i="5" s="1"/>
  <c r="I316" i="5"/>
  <c r="I315" i="5" s="1"/>
  <c r="H316" i="5"/>
  <c r="H315" i="5" s="1"/>
  <c r="L312" i="5"/>
  <c r="K312" i="5"/>
  <c r="K311" i="5" s="1"/>
  <c r="J312" i="5"/>
  <c r="J311" i="5" s="1"/>
  <c r="I312" i="5"/>
  <c r="I311" i="5" s="1"/>
  <c r="H312" i="5"/>
  <c r="H311" i="5" s="1"/>
  <c r="L310" i="5"/>
  <c r="K310" i="5"/>
  <c r="K309" i="5" s="1"/>
  <c r="K308" i="5" s="1"/>
  <c r="K307" i="5" s="1"/>
  <c r="J310" i="5"/>
  <c r="J309" i="5" s="1"/>
  <c r="J308" i="5" s="1"/>
  <c r="J307" i="5" s="1"/>
  <c r="I310" i="5"/>
  <c r="I309" i="5" s="1"/>
  <c r="I308" i="5" s="1"/>
  <c r="I307" i="5" s="1"/>
  <c r="H310" i="5"/>
  <c r="H309" i="5" s="1"/>
  <c r="H308" i="5" s="1"/>
  <c r="H307" i="5" s="1"/>
  <c r="L306" i="5"/>
  <c r="K306" i="5"/>
  <c r="K305" i="5" s="1"/>
  <c r="K304" i="5" s="1"/>
  <c r="J306" i="5"/>
  <c r="J305" i="5" s="1"/>
  <c r="J304" i="5" s="1"/>
  <c r="I306" i="5"/>
  <c r="I305" i="5" s="1"/>
  <c r="I304" i="5" s="1"/>
  <c r="L298" i="5"/>
  <c r="K298" i="5"/>
  <c r="K297" i="5" s="1"/>
  <c r="K296" i="5" s="1"/>
  <c r="K295" i="5" s="1"/>
  <c r="K294" i="5" s="1"/>
  <c r="K293" i="5" s="1"/>
  <c r="K299" i="5" s="1"/>
  <c r="J298" i="5"/>
  <c r="J297" i="5" s="1"/>
  <c r="J296" i="5" s="1"/>
  <c r="J295" i="5" s="1"/>
  <c r="J294" i="5" s="1"/>
  <c r="J293" i="5" s="1"/>
  <c r="J299" i="5" s="1"/>
  <c r="I298" i="5"/>
  <c r="I297" i="5" s="1"/>
  <c r="I296" i="5" s="1"/>
  <c r="I295" i="5" s="1"/>
  <c r="I294" i="5" s="1"/>
  <c r="I293" i="5" s="1"/>
  <c r="I299" i="5" s="1"/>
  <c r="H298" i="5"/>
  <c r="H297" i="5" s="1"/>
  <c r="H296" i="5" s="1"/>
  <c r="H295" i="5" s="1"/>
  <c r="H294" i="5" s="1"/>
  <c r="H293" i="5" s="1"/>
  <c r="H299" i="5" s="1"/>
  <c r="L291" i="5"/>
  <c r="K291" i="5"/>
  <c r="K290" i="5" s="1"/>
  <c r="K289" i="5" s="1"/>
  <c r="K288" i="5" s="1"/>
  <c r="K287" i="5" s="1"/>
  <c r="K286" i="5" s="1"/>
  <c r="K292" i="5" s="1"/>
  <c r="J291" i="5"/>
  <c r="J290" i="5" s="1"/>
  <c r="J289" i="5" s="1"/>
  <c r="J288" i="5" s="1"/>
  <c r="J287" i="5" s="1"/>
  <c r="J286" i="5" s="1"/>
  <c r="J292" i="5" s="1"/>
  <c r="I291" i="5"/>
  <c r="I290" i="5" s="1"/>
  <c r="I289" i="5" s="1"/>
  <c r="I288" i="5" s="1"/>
  <c r="I287" i="5" s="1"/>
  <c r="I286" i="5" s="1"/>
  <c r="I292" i="5" s="1"/>
  <c r="H291" i="5"/>
  <c r="H290" i="5" s="1"/>
  <c r="H289" i="5" s="1"/>
  <c r="H288" i="5" s="1"/>
  <c r="H287" i="5" s="1"/>
  <c r="H286" i="5" s="1"/>
  <c r="H292" i="5" s="1"/>
  <c r="L283" i="5"/>
  <c r="K284" i="5"/>
  <c r="K283" i="5" s="1"/>
  <c r="K282" i="5" s="1"/>
  <c r="K281" i="5" s="1"/>
  <c r="K280" i="5" s="1"/>
  <c r="K279" i="5" s="1"/>
  <c r="J284" i="5"/>
  <c r="J283" i="5" s="1"/>
  <c r="J282" i="5" s="1"/>
  <c r="J281" i="5" s="1"/>
  <c r="J280" i="5" s="1"/>
  <c r="J279" i="5" s="1"/>
  <c r="I284" i="5"/>
  <c r="I283" i="5" s="1"/>
  <c r="I282" i="5" s="1"/>
  <c r="I281" i="5" s="1"/>
  <c r="I280" i="5" s="1"/>
  <c r="I279" i="5" s="1"/>
  <c r="I285" i="5" s="1"/>
  <c r="H284" i="5"/>
  <c r="H283" i="5" s="1"/>
  <c r="H282" i="5" s="1"/>
  <c r="H281" i="5" s="1"/>
  <c r="H280" i="5" s="1"/>
  <c r="H279" i="5" s="1"/>
  <c r="L276" i="5"/>
  <c r="K276" i="5"/>
  <c r="K275" i="5" s="1"/>
  <c r="K274" i="5" s="1"/>
  <c r="K273" i="5" s="1"/>
  <c r="K272" i="5" s="1"/>
  <c r="K271" i="5" s="1"/>
  <c r="K277" i="5" s="1"/>
  <c r="J276" i="5"/>
  <c r="J275" i="5" s="1"/>
  <c r="J274" i="5" s="1"/>
  <c r="J273" i="5" s="1"/>
  <c r="J272" i="5" s="1"/>
  <c r="J271" i="5" s="1"/>
  <c r="J277" i="5" s="1"/>
  <c r="I276" i="5"/>
  <c r="I275" i="5" s="1"/>
  <c r="I274" i="5" s="1"/>
  <c r="I273" i="5" s="1"/>
  <c r="I272" i="5" s="1"/>
  <c r="I271" i="5" s="1"/>
  <c r="I277" i="5" s="1"/>
  <c r="H276" i="5"/>
  <c r="H275" i="5" s="1"/>
  <c r="H274" i="5" s="1"/>
  <c r="H273" i="5" s="1"/>
  <c r="H272" i="5" s="1"/>
  <c r="H271" i="5" s="1"/>
  <c r="H277" i="5" s="1"/>
  <c r="L269" i="5"/>
  <c r="K269" i="5"/>
  <c r="K268" i="5" s="1"/>
  <c r="K267" i="5" s="1"/>
  <c r="J269" i="5"/>
  <c r="J268" i="5" s="1"/>
  <c r="J267" i="5" s="1"/>
  <c r="I269" i="5"/>
  <c r="I268" i="5" s="1"/>
  <c r="I267" i="5" s="1"/>
  <c r="H269" i="5"/>
  <c r="H268" i="5" s="1"/>
  <c r="H267" i="5" s="1"/>
  <c r="L266" i="5"/>
  <c r="K266" i="5"/>
  <c r="K265" i="5" s="1"/>
  <c r="K264" i="5" s="1"/>
  <c r="J266" i="5"/>
  <c r="J265" i="5" s="1"/>
  <c r="J264" i="5" s="1"/>
  <c r="I266" i="5"/>
  <c r="I265" i="5" s="1"/>
  <c r="I264" i="5" s="1"/>
  <c r="H266" i="5"/>
  <c r="H265" i="5" s="1"/>
  <c r="H264" i="5" s="1"/>
  <c r="L260" i="5"/>
  <c r="K260" i="5"/>
  <c r="K259" i="5" s="1"/>
  <c r="J260" i="5"/>
  <c r="J259" i="5" s="1"/>
  <c r="I260" i="5"/>
  <c r="I259" i="5" s="1"/>
  <c r="H260" i="5"/>
  <c r="H259" i="5" s="1"/>
  <c r="K244" i="5"/>
  <c r="K243" i="5" s="1"/>
  <c r="K242" i="5" s="1"/>
  <c r="J244" i="5"/>
  <c r="J243" i="5" s="1"/>
  <c r="J242" i="5" s="1"/>
  <c r="I244" i="5"/>
  <c r="I243" i="5" s="1"/>
  <c r="I242" i="5" s="1"/>
  <c r="L237" i="5"/>
  <c r="K237" i="5"/>
  <c r="K236" i="5" s="1"/>
  <c r="K235" i="5" s="1"/>
  <c r="K234" i="5" s="1"/>
  <c r="K233" i="5" s="1"/>
  <c r="K232" i="5" s="1"/>
  <c r="K238" i="5" s="1"/>
  <c r="J237" i="5"/>
  <c r="J236" i="5" s="1"/>
  <c r="J235" i="5" s="1"/>
  <c r="J234" i="5" s="1"/>
  <c r="J233" i="5" s="1"/>
  <c r="J232" i="5" s="1"/>
  <c r="J238" i="5" s="1"/>
  <c r="I237" i="5"/>
  <c r="I236" i="5" s="1"/>
  <c r="I235" i="5" s="1"/>
  <c r="I234" i="5" s="1"/>
  <c r="I233" i="5" s="1"/>
  <c r="I232" i="5" s="1"/>
  <c r="I238" i="5" s="1"/>
  <c r="H237" i="5"/>
  <c r="H236" i="5" s="1"/>
  <c r="H235" i="5" s="1"/>
  <c r="H234" i="5" s="1"/>
  <c r="H233" i="5" s="1"/>
  <c r="H232" i="5" s="1"/>
  <c r="H238" i="5" s="1"/>
  <c r="L228" i="5"/>
  <c r="K228" i="5"/>
  <c r="K227" i="5" s="1"/>
  <c r="J228" i="5"/>
  <c r="J227" i="5" s="1"/>
  <c r="I228" i="5"/>
  <c r="I227" i="5" s="1"/>
  <c r="H228" i="5"/>
  <c r="H227" i="5" s="1"/>
  <c r="L223" i="5"/>
  <c r="K223" i="5"/>
  <c r="K222" i="5" s="1"/>
  <c r="K226" i="5" s="1"/>
  <c r="J223" i="5"/>
  <c r="J222" i="5" s="1"/>
  <c r="J226" i="5" s="1"/>
  <c r="I223" i="5"/>
  <c r="I222" i="5" s="1"/>
  <c r="I226" i="5" s="1"/>
  <c r="H223" i="5"/>
  <c r="H222" i="5" s="1"/>
  <c r="H226" i="5" s="1"/>
  <c r="L220" i="5"/>
  <c r="K220" i="5"/>
  <c r="K219" i="5" s="1"/>
  <c r="K218" i="5" s="1"/>
  <c r="J220" i="5"/>
  <c r="J219" i="5" s="1"/>
  <c r="J218" i="5" s="1"/>
  <c r="I220" i="5"/>
  <c r="I219" i="5" s="1"/>
  <c r="I218" i="5" s="1"/>
  <c r="H220" i="5"/>
  <c r="H219" i="5" s="1"/>
  <c r="H218" i="5" s="1"/>
  <c r="L217" i="5"/>
  <c r="N217" i="5" s="1"/>
  <c r="K217" i="5"/>
  <c r="J217" i="5"/>
  <c r="I217" i="5"/>
  <c r="H217" i="5"/>
  <c r="L212" i="5"/>
  <c r="K212" i="5"/>
  <c r="K211" i="5" s="1"/>
  <c r="J212" i="5"/>
  <c r="J211" i="5" s="1"/>
  <c r="I212" i="5"/>
  <c r="I211" i="5" s="1"/>
  <c r="H212" i="5"/>
  <c r="H211" i="5" s="1"/>
  <c r="L205" i="5"/>
  <c r="K205" i="5"/>
  <c r="K204" i="5" s="1"/>
  <c r="J205" i="5"/>
  <c r="J204" i="5" s="1"/>
  <c r="I205" i="5"/>
  <c r="I204" i="5" s="1"/>
  <c r="H205" i="5"/>
  <c r="H204" i="5" s="1"/>
  <c r="L201" i="5"/>
  <c r="K201" i="5"/>
  <c r="K200" i="5" s="1"/>
  <c r="J201" i="5"/>
  <c r="J200" i="5" s="1"/>
  <c r="I201" i="5"/>
  <c r="I200" i="5" s="1"/>
  <c r="H201" i="5"/>
  <c r="H200" i="5" s="1"/>
  <c r="L195" i="5"/>
  <c r="K195" i="5"/>
  <c r="K194" i="5" s="1"/>
  <c r="K193" i="5" s="1"/>
  <c r="J195" i="5"/>
  <c r="J194" i="5" s="1"/>
  <c r="J193" i="5" s="1"/>
  <c r="I195" i="5"/>
  <c r="I194" i="5" s="1"/>
  <c r="I193" i="5" s="1"/>
  <c r="H195" i="5"/>
  <c r="H194" i="5" s="1"/>
  <c r="H193" i="5" s="1"/>
  <c r="L192" i="5"/>
  <c r="K192" i="5"/>
  <c r="K191" i="5" s="1"/>
  <c r="K190" i="5" s="1"/>
  <c r="J192" i="5"/>
  <c r="J191" i="5" s="1"/>
  <c r="J190" i="5" s="1"/>
  <c r="I192" i="5"/>
  <c r="I191" i="5" s="1"/>
  <c r="I190" i="5" s="1"/>
  <c r="H192" i="5"/>
  <c r="H191" i="5" s="1"/>
  <c r="H190" i="5" s="1"/>
  <c r="L186" i="5"/>
  <c r="K186" i="5"/>
  <c r="K185" i="5" s="1"/>
  <c r="K184" i="5" s="1"/>
  <c r="J186" i="5"/>
  <c r="J185" i="5" s="1"/>
  <c r="J184" i="5" s="1"/>
  <c r="I186" i="5"/>
  <c r="I185" i="5" s="1"/>
  <c r="I184" i="5" s="1"/>
  <c r="L180" i="5"/>
  <c r="K180" i="5"/>
  <c r="J180" i="5"/>
  <c r="J179" i="5" s="1"/>
  <c r="J178" i="5" s="1"/>
  <c r="I180" i="5"/>
  <c r="I179" i="5" s="1"/>
  <c r="I178" i="5" s="1"/>
  <c r="H180" i="5"/>
  <c r="H179" i="5" s="1"/>
  <c r="H178" i="5" s="1"/>
  <c r="K179" i="5"/>
  <c r="K178" i="5" s="1"/>
  <c r="L177" i="5"/>
  <c r="L170" i="5"/>
  <c r="K170" i="5"/>
  <c r="K172" i="5" s="1"/>
  <c r="J170" i="5"/>
  <c r="J172" i="5" s="1"/>
  <c r="I170" i="5"/>
  <c r="I172" i="5" s="1"/>
  <c r="H170" i="5"/>
  <c r="H172" i="5" s="1"/>
  <c r="L168" i="5"/>
  <c r="N168" i="5" s="1"/>
  <c r="K168" i="5"/>
  <c r="J168" i="5"/>
  <c r="I168" i="5"/>
  <c r="H168" i="5"/>
  <c r="L166" i="5"/>
  <c r="K166" i="5"/>
  <c r="K165" i="5" s="1"/>
  <c r="J166" i="5"/>
  <c r="J165" i="5" s="1"/>
  <c r="I166" i="5"/>
  <c r="I165" i="5" s="1"/>
  <c r="H166" i="5"/>
  <c r="H165" i="5" s="1"/>
  <c r="L162" i="5"/>
  <c r="K162" i="5"/>
  <c r="K161" i="5" s="1"/>
  <c r="K164" i="5" s="1"/>
  <c r="J162" i="5"/>
  <c r="J161" i="5" s="1"/>
  <c r="J164" i="5" s="1"/>
  <c r="I162" i="5"/>
  <c r="I161" i="5" s="1"/>
  <c r="I164" i="5" s="1"/>
  <c r="H162" i="5"/>
  <c r="H161" i="5" s="1"/>
  <c r="H164" i="5" s="1"/>
  <c r="L158" i="5"/>
  <c r="K158" i="5"/>
  <c r="K157" i="5" s="1"/>
  <c r="K160" i="5" s="1"/>
  <c r="J158" i="5"/>
  <c r="J157" i="5" s="1"/>
  <c r="J160" i="5" s="1"/>
  <c r="I158" i="5"/>
  <c r="I157" i="5" s="1"/>
  <c r="I160" i="5" s="1"/>
  <c r="H158" i="5"/>
  <c r="H157" i="5" s="1"/>
  <c r="H160" i="5" s="1"/>
  <c r="L154" i="5"/>
  <c r="K154" i="5"/>
  <c r="K153" i="5" s="1"/>
  <c r="J154" i="5"/>
  <c r="J153" i="5" s="1"/>
  <c r="I154" i="5"/>
  <c r="I153" i="5" s="1"/>
  <c r="H154" i="5"/>
  <c r="H153" i="5" s="1"/>
  <c r="L140" i="5"/>
  <c r="K140" i="5"/>
  <c r="K139" i="5" s="1"/>
  <c r="J140" i="5"/>
  <c r="J139" i="5" s="1"/>
  <c r="I140" i="5"/>
  <c r="I139" i="5" s="1"/>
  <c r="H140" i="5"/>
  <c r="H139" i="5" s="1"/>
  <c r="L138" i="5"/>
  <c r="K138" i="5"/>
  <c r="K137" i="5" s="1"/>
  <c r="K136" i="5" s="1"/>
  <c r="J138" i="5"/>
  <c r="J137" i="5" s="1"/>
  <c r="J136" i="5" s="1"/>
  <c r="I138" i="5"/>
  <c r="I137" i="5" s="1"/>
  <c r="I136" i="5" s="1"/>
  <c r="H138" i="5"/>
  <c r="H137" i="5" s="1"/>
  <c r="H136" i="5" s="1"/>
  <c r="L135" i="5"/>
  <c r="K135" i="5"/>
  <c r="K134" i="5" s="1"/>
  <c r="K133" i="5" s="1"/>
  <c r="J135" i="5"/>
  <c r="J134" i="5" s="1"/>
  <c r="J133" i="5" s="1"/>
  <c r="I135" i="5"/>
  <c r="I134" i="5" s="1"/>
  <c r="I133" i="5" s="1"/>
  <c r="L131" i="5"/>
  <c r="K131" i="5"/>
  <c r="K130" i="5" s="1"/>
  <c r="J131" i="5"/>
  <c r="J130" i="5" s="1"/>
  <c r="I131" i="5"/>
  <c r="I130" i="5" s="1"/>
  <c r="H131" i="5"/>
  <c r="H130" i="5" s="1"/>
  <c r="L127" i="5"/>
  <c r="K127" i="5"/>
  <c r="K126" i="5" s="1"/>
  <c r="J127" i="5"/>
  <c r="J126" i="5" s="1"/>
  <c r="I127" i="5"/>
  <c r="I126" i="5" s="1"/>
  <c r="H127" i="5"/>
  <c r="H126" i="5" s="1"/>
  <c r="L121" i="5"/>
  <c r="K121" i="5"/>
  <c r="K120" i="5" s="1"/>
  <c r="K119" i="5" s="1"/>
  <c r="K118" i="5" s="1"/>
  <c r="J121" i="5"/>
  <c r="J120" i="5" s="1"/>
  <c r="J119" i="5" s="1"/>
  <c r="J118" i="5" s="1"/>
  <c r="I121" i="5"/>
  <c r="I120" i="5" s="1"/>
  <c r="I119" i="5" s="1"/>
  <c r="I118" i="5" s="1"/>
  <c r="L117" i="5"/>
  <c r="K117" i="5"/>
  <c r="K116" i="5" s="1"/>
  <c r="K115" i="5" s="1"/>
  <c r="K114" i="5" s="1"/>
  <c r="J117" i="5"/>
  <c r="J116" i="5" s="1"/>
  <c r="J115" i="5" s="1"/>
  <c r="J114" i="5" s="1"/>
  <c r="I117" i="5"/>
  <c r="I116" i="5" s="1"/>
  <c r="I115" i="5" s="1"/>
  <c r="I114" i="5" s="1"/>
  <c r="L113" i="5"/>
  <c r="K113" i="5"/>
  <c r="K112" i="5" s="1"/>
  <c r="K111" i="5" s="1"/>
  <c r="K110" i="5" s="1"/>
  <c r="K109" i="5" s="1"/>
  <c r="K108" i="5" s="1"/>
  <c r="J113" i="5"/>
  <c r="J112" i="5" s="1"/>
  <c r="J111" i="5" s="1"/>
  <c r="J110" i="5" s="1"/>
  <c r="I113" i="5"/>
  <c r="I112" i="5" s="1"/>
  <c r="I111" i="5" s="1"/>
  <c r="I110" i="5" s="1"/>
  <c r="L105" i="5"/>
  <c r="K105" i="5"/>
  <c r="K104" i="5" s="1"/>
  <c r="K103" i="5" s="1"/>
  <c r="K102" i="5" s="1"/>
  <c r="K101" i="5" s="1"/>
  <c r="K100" i="5" s="1"/>
  <c r="K106" i="5" s="1"/>
  <c r="J105" i="5"/>
  <c r="J104" i="5" s="1"/>
  <c r="J103" i="5" s="1"/>
  <c r="J102" i="5" s="1"/>
  <c r="J101" i="5" s="1"/>
  <c r="J100" i="5" s="1"/>
  <c r="J106" i="5" s="1"/>
  <c r="I105" i="5"/>
  <c r="I104" i="5" s="1"/>
  <c r="I103" i="5" s="1"/>
  <c r="I102" i="5" s="1"/>
  <c r="I101" i="5" s="1"/>
  <c r="I100" i="5" s="1"/>
  <c r="I106" i="5" s="1"/>
  <c r="L95" i="5"/>
  <c r="K95" i="5"/>
  <c r="K94" i="5" s="1"/>
  <c r="K99" i="5" s="1"/>
  <c r="J95" i="5"/>
  <c r="J94" i="5" s="1"/>
  <c r="J99" i="5" s="1"/>
  <c r="I95" i="5"/>
  <c r="I94" i="5" s="1"/>
  <c r="I99" i="5" s="1"/>
  <c r="H95" i="5"/>
  <c r="H94" i="5" s="1"/>
  <c r="H99" i="5" s="1"/>
  <c r="L91" i="5"/>
  <c r="K91" i="5"/>
  <c r="K90" i="5" s="1"/>
  <c r="K93" i="5" s="1"/>
  <c r="J91" i="5"/>
  <c r="J90" i="5" s="1"/>
  <c r="J93" i="5" s="1"/>
  <c r="I91" i="5"/>
  <c r="I90" i="5" s="1"/>
  <c r="I93" i="5" s="1"/>
  <c r="H91" i="5"/>
  <c r="H90" i="5" s="1"/>
  <c r="H93" i="5" s="1"/>
  <c r="L89" i="5"/>
  <c r="N89" i="5" s="1"/>
  <c r="K89" i="5"/>
  <c r="J89" i="5"/>
  <c r="I89" i="5"/>
  <c r="H89" i="5"/>
  <c r="L87" i="5"/>
  <c r="K87" i="5"/>
  <c r="K86" i="5" s="1"/>
  <c r="J87" i="5"/>
  <c r="J86" i="5" s="1"/>
  <c r="I87" i="5"/>
  <c r="I86" i="5" s="1"/>
  <c r="H87" i="5"/>
  <c r="H86" i="5" s="1"/>
  <c r="L84" i="5"/>
  <c r="K84" i="5"/>
  <c r="K83" i="5" s="1"/>
  <c r="K82" i="5" s="1"/>
  <c r="J84" i="5"/>
  <c r="J83" i="5" s="1"/>
  <c r="J82" i="5" s="1"/>
  <c r="I84" i="5"/>
  <c r="I83" i="5" s="1"/>
  <c r="I82" i="5" s="1"/>
  <c r="H84" i="5"/>
  <c r="H83" i="5" s="1"/>
  <c r="H82" i="5" s="1"/>
  <c r="L78" i="5"/>
  <c r="N78" i="5" s="1"/>
  <c r="K78" i="5"/>
  <c r="J78" i="5"/>
  <c r="I78" i="5"/>
  <c r="H78" i="5"/>
  <c r="L65" i="5"/>
  <c r="L58" i="5"/>
  <c r="K58" i="5"/>
  <c r="K57" i="5" s="1"/>
  <c r="J58" i="5"/>
  <c r="J57" i="5" s="1"/>
  <c r="I58" i="5"/>
  <c r="I57" i="5" s="1"/>
  <c r="H58" i="5"/>
  <c r="H57" i="5" s="1"/>
  <c r="L49" i="5"/>
  <c r="K49" i="5"/>
  <c r="K48" i="5" s="1"/>
  <c r="K47" i="5" s="1"/>
  <c r="K46" i="5" s="1"/>
  <c r="K45" i="5" s="1"/>
  <c r="K44" i="5" s="1"/>
  <c r="K50" i="5" s="1"/>
  <c r="J49" i="5"/>
  <c r="J48" i="5" s="1"/>
  <c r="J47" i="5" s="1"/>
  <c r="J46" i="5" s="1"/>
  <c r="J45" i="5" s="1"/>
  <c r="J44" i="5" s="1"/>
  <c r="J50" i="5" s="1"/>
  <c r="I49" i="5"/>
  <c r="I48" i="5" s="1"/>
  <c r="I47" i="5" s="1"/>
  <c r="I46" i="5" s="1"/>
  <c r="I45" i="5" s="1"/>
  <c r="I44" i="5" s="1"/>
  <c r="I50" i="5" s="1"/>
  <c r="H49" i="5"/>
  <c r="H48" i="5" s="1"/>
  <c r="H47" i="5" s="1"/>
  <c r="H46" i="5" s="1"/>
  <c r="H45" i="5" s="1"/>
  <c r="H44" i="5" s="1"/>
  <c r="H50" i="5" s="1"/>
  <c r="L32" i="5"/>
  <c r="K32" i="5"/>
  <c r="K31" i="5" s="1"/>
  <c r="J32" i="5"/>
  <c r="J31" i="5" s="1"/>
  <c r="I32" i="5"/>
  <c r="I31" i="5" s="1"/>
  <c r="H32" i="5"/>
  <c r="H31" i="5" s="1"/>
  <c r="L26" i="5"/>
  <c r="N26" i="5" s="1"/>
  <c r="K26" i="5"/>
  <c r="J26" i="5"/>
  <c r="I26" i="5"/>
  <c r="H26" i="5"/>
  <c r="K931" i="3"/>
  <c r="J931" i="3"/>
  <c r="J930" i="3" s="1"/>
  <c r="J929" i="3" s="1"/>
  <c r="I931" i="3"/>
  <c r="I930" i="3" s="1"/>
  <c r="I929" i="3" s="1"/>
  <c r="H931" i="3"/>
  <c r="H930" i="3" s="1"/>
  <c r="H929" i="3" s="1"/>
  <c r="G931" i="3"/>
  <c r="G930" i="3" s="1"/>
  <c r="G929" i="3" s="1"/>
  <c r="K928" i="3"/>
  <c r="J928" i="3"/>
  <c r="J927" i="3" s="1"/>
  <c r="J926" i="3" s="1"/>
  <c r="H928" i="3"/>
  <c r="H927" i="3" s="1"/>
  <c r="H926" i="3" s="1"/>
  <c r="G928" i="3"/>
  <c r="G927" i="3" s="1"/>
  <c r="G926" i="3" s="1"/>
  <c r="K925" i="3"/>
  <c r="J925" i="3"/>
  <c r="J924" i="3" s="1"/>
  <c r="J923" i="3" s="1"/>
  <c r="I925" i="3"/>
  <c r="I924" i="3" s="1"/>
  <c r="I923" i="3" s="1"/>
  <c r="H925" i="3"/>
  <c r="H924" i="3" s="1"/>
  <c r="H923" i="3" s="1"/>
  <c r="G925" i="3"/>
  <c r="G924" i="3" s="1"/>
  <c r="G923" i="3" s="1"/>
  <c r="F931" i="3"/>
  <c r="F930" i="3" s="1"/>
  <c r="F929" i="3" s="1"/>
  <c r="F928" i="3"/>
  <c r="F927" i="3" s="1"/>
  <c r="F926" i="3" s="1"/>
  <c r="F925" i="3"/>
  <c r="F924" i="3" s="1"/>
  <c r="F923" i="3" s="1"/>
  <c r="K748" i="3"/>
  <c r="M748" i="3" s="1"/>
  <c r="J748" i="3"/>
  <c r="J747" i="3" s="1"/>
  <c r="J746" i="3" s="1"/>
  <c r="I748" i="3"/>
  <c r="I747" i="3" s="1"/>
  <c r="I746" i="3" s="1"/>
  <c r="H748" i="3"/>
  <c r="H747" i="3" s="1"/>
  <c r="H746" i="3" s="1"/>
  <c r="G748" i="3"/>
  <c r="G747" i="3" s="1"/>
  <c r="G746" i="3" s="1"/>
  <c r="K742" i="3"/>
  <c r="J742" i="3"/>
  <c r="J741" i="3" s="1"/>
  <c r="J740" i="3" s="1"/>
  <c r="I742" i="3"/>
  <c r="I741" i="3" s="1"/>
  <c r="I740" i="3" s="1"/>
  <c r="H742" i="3"/>
  <c r="H741" i="3" s="1"/>
  <c r="H740" i="3" s="1"/>
  <c r="G742" i="3"/>
  <c r="G741" i="3" s="1"/>
  <c r="G740" i="3" s="1"/>
  <c r="F748" i="3"/>
  <c r="F747" i="3" s="1"/>
  <c r="F746" i="3" s="1"/>
  <c r="F742" i="3"/>
  <c r="F741" i="3" s="1"/>
  <c r="F740" i="3" s="1"/>
  <c r="K715" i="3"/>
  <c r="J715" i="3"/>
  <c r="J714" i="3" s="1"/>
  <c r="J713" i="3" s="1"/>
  <c r="I715" i="3"/>
  <c r="I714" i="3" s="1"/>
  <c r="I713" i="3" s="1"/>
  <c r="H715" i="3"/>
  <c r="H714" i="3" s="1"/>
  <c r="H713" i="3" s="1"/>
  <c r="G715" i="3"/>
  <c r="G714" i="3" s="1"/>
  <c r="G713" i="3" s="1"/>
  <c r="K712" i="3"/>
  <c r="J712" i="3"/>
  <c r="J711" i="3" s="1"/>
  <c r="J710" i="3" s="1"/>
  <c r="I712" i="3"/>
  <c r="I711" i="3" s="1"/>
  <c r="I710" i="3" s="1"/>
  <c r="H712" i="3"/>
  <c r="H711" i="3" s="1"/>
  <c r="H710" i="3" s="1"/>
  <c r="G712" i="3"/>
  <c r="G711" i="3" s="1"/>
  <c r="G710" i="3" s="1"/>
  <c r="K709" i="3"/>
  <c r="J709" i="3"/>
  <c r="J708" i="3" s="1"/>
  <c r="J707" i="3" s="1"/>
  <c r="I709" i="3"/>
  <c r="I708" i="3" s="1"/>
  <c r="I707" i="3" s="1"/>
  <c r="H709" i="3"/>
  <c r="H708" i="3" s="1"/>
  <c r="H707" i="3" s="1"/>
  <c r="G709" i="3"/>
  <c r="G708" i="3" s="1"/>
  <c r="G707" i="3" s="1"/>
  <c r="F715" i="3"/>
  <c r="F714" i="3" s="1"/>
  <c r="F713" i="3" s="1"/>
  <c r="F712" i="3"/>
  <c r="F711" i="3" s="1"/>
  <c r="F710" i="3" s="1"/>
  <c r="F709" i="3"/>
  <c r="F708" i="3" s="1"/>
  <c r="F707" i="3" s="1"/>
  <c r="K627" i="3"/>
  <c r="J627" i="3"/>
  <c r="J626" i="3" s="1"/>
  <c r="J625" i="3" s="1"/>
  <c r="I627" i="3"/>
  <c r="I626" i="3" s="1"/>
  <c r="I625" i="3" s="1"/>
  <c r="H627" i="3"/>
  <c r="H626" i="3" s="1"/>
  <c r="H625" i="3" s="1"/>
  <c r="G627" i="3"/>
  <c r="G626" i="3" s="1"/>
  <c r="G625" i="3" s="1"/>
  <c r="K624" i="3"/>
  <c r="J624" i="3"/>
  <c r="J623" i="3" s="1"/>
  <c r="J622" i="3" s="1"/>
  <c r="I624" i="3"/>
  <c r="I623" i="3" s="1"/>
  <c r="I622" i="3" s="1"/>
  <c r="H624" i="3"/>
  <c r="H623" i="3" s="1"/>
  <c r="H622" i="3" s="1"/>
  <c r="G624" i="3"/>
  <c r="G623" i="3" s="1"/>
  <c r="G622" i="3" s="1"/>
  <c r="K621" i="3"/>
  <c r="J621" i="3"/>
  <c r="J620" i="3" s="1"/>
  <c r="J619" i="3" s="1"/>
  <c r="I621" i="3"/>
  <c r="I620" i="3" s="1"/>
  <c r="I619" i="3" s="1"/>
  <c r="H621" i="3"/>
  <c r="H620" i="3" s="1"/>
  <c r="H619" i="3" s="1"/>
  <c r="G621" i="3"/>
  <c r="G620" i="3" s="1"/>
  <c r="G619" i="3" s="1"/>
  <c r="F627" i="3"/>
  <c r="F626" i="3" s="1"/>
  <c r="F625" i="3" s="1"/>
  <c r="F624" i="3"/>
  <c r="F623" i="3" s="1"/>
  <c r="F622" i="3" s="1"/>
  <c r="F621" i="3"/>
  <c r="F620" i="3" s="1"/>
  <c r="F619" i="3" s="1"/>
  <c r="K601" i="3"/>
  <c r="M601" i="3" s="1"/>
  <c r="J601" i="3"/>
  <c r="J600" i="3" s="1"/>
  <c r="J599" i="3" s="1"/>
  <c r="I601" i="3"/>
  <c r="I600" i="3" s="1"/>
  <c r="I599" i="3" s="1"/>
  <c r="H601" i="3"/>
  <c r="H600" i="3" s="1"/>
  <c r="H599" i="3" s="1"/>
  <c r="G601" i="3"/>
  <c r="G600" i="3" s="1"/>
  <c r="G599" i="3" s="1"/>
  <c r="K598" i="3"/>
  <c r="J598" i="3"/>
  <c r="J597" i="3" s="1"/>
  <c r="J596" i="3" s="1"/>
  <c r="I598" i="3"/>
  <c r="I597" i="3" s="1"/>
  <c r="I596" i="3" s="1"/>
  <c r="H598" i="3"/>
  <c r="H597" i="3" s="1"/>
  <c r="H596" i="3" s="1"/>
  <c r="G598" i="3"/>
  <c r="G597" i="3" s="1"/>
  <c r="G596" i="3" s="1"/>
  <c r="F601" i="3"/>
  <c r="F600" i="3" s="1"/>
  <c r="F599" i="3" s="1"/>
  <c r="F598" i="3"/>
  <c r="F597" i="3" s="1"/>
  <c r="F596" i="3" s="1"/>
  <c r="K581" i="3"/>
  <c r="J581" i="3"/>
  <c r="J580" i="3" s="1"/>
  <c r="J579" i="3" s="1"/>
  <c r="I581" i="3"/>
  <c r="I580" i="3" s="1"/>
  <c r="I579" i="3" s="1"/>
  <c r="H581" i="3"/>
  <c r="H580" i="3" s="1"/>
  <c r="H579" i="3" s="1"/>
  <c r="G581" i="3"/>
  <c r="G580" i="3" s="1"/>
  <c r="G579" i="3" s="1"/>
  <c r="F581" i="3"/>
  <c r="F580" i="3" s="1"/>
  <c r="F579" i="3" s="1"/>
  <c r="K536" i="3"/>
  <c r="J536" i="3"/>
  <c r="J535" i="3" s="1"/>
  <c r="J534" i="3" s="1"/>
  <c r="I536" i="3"/>
  <c r="I535" i="3" s="1"/>
  <c r="I534" i="3" s="1"/>
  <c r="H536" i="3"/>
  <c r="H535" i="3" s="1"/>
  <c r="H534" i="3" s="1"/>
  <c r="G536" i="3"/>
  <c r="G535" i="3" s="1"/>
  <c r="G534" i="3" s="1"/>
  <c r="F536" i="3"/>
  <c r="K527" i="3"/>
  <c r="J527" i="3"/>
  <c r="J526" i="3" s="1"/>
  <c r="J525" i="3" s="1"/>
  <c r="I527" i="3"/>
  <c r="I526" i="3" s="1"/>
  <c r="I525" i="3" s="1"/>
  <c r="H527" i="3"/>
  <c r="H526" i="3" s="1"/>
  <c r="H525" i="3" s="1"/>
  <c r="G527" i="3"/>
  <c r="G526" i="3" s="1"/>
  <c r="G525" i="3" s="1"/>
  <c r="F527" i="3"/>
  <c r="F526" i="3" s="1"/>
  <c r="F525" i="3" s="1"/>
  <c r="K468" i="3"/>
  <c r="H468" i="3"/>
  <c r="H467" i="3" s="1"/>
  <c r="H466" i="3" s="1"/>
  <c r="G468" i="3"/>
  <c r="G467" i="3" s="1"/>
  <c r="G466" i="3" s="1"/>
  <c r="K465" i="3"/>
  <c r="H465" i="3"/>
  <c r="H464" i="3" s="1"/>
  <c r="H463" i="3" s="1"/>
  <c r="G465" i="3"/>
  <c r="G464" i="3" s="1"/>
  <c r="G463" i="3" s="1"/>
  <c r="F465" i="3"/>
  <c r="F464" i="3" s="1"/>
  <c r="F463" i="3" s="1"/>
  <c r="F468" i="3"/>
  <c r="F467" i="3" s="1"/>
  <c r="F466" i="3" s="1"/>
  <c r="K462" i="3"/>
  <c r="J462" i="3"/>
  <c r="J461" i="3" s="1"/>
  <c r="J460" i="3" s="1"/>
  <c r="I462" i="3"/>
  <c r="I461" i="3" s="1"/>
  <c r="I460" i="3" s="1"/>
  <c r="H462" i="3"/>
  <c r="H461" i="3" s="1"/>
  <c r="H460" i="3" s="1"/>
  <c r="G462" i="3"/>
  <c r="G461" i="3" s="1"/>
  <c r="G460" i="3" s="1"/>
  <c r="F462" i="3"/>
  <c r="K453" i="3"/>
  <c r="J453" i="3"/>
  <c r="J452" i="3" s="1"/>
  <c r="J451" i="3" s="1"/>
  <c r="I453" i="3"/>
  <c r="I452" i="3" s="1"/>
  <c r="I451" i="3" s="1"/>
  <c r="H453" i="3"/>
  <c r="H452" i="3" s="1"/>
  <c r="H451" i="3" s="1"/>
  <c r="G453" i="3"/>
  <c r="G452" i="3" s="1"/>
  <c r="G451" i="3" s="1"/>
  <c r="F453" i="3"/>
  <c r="K417" i="3"/>
  <c r="J417" i="3"/>
  <c r="J416" i="3" s="1"/>
  <c r="J415" i="3" s="1"/>
  <c r="I417" i="3"/>
  <c r="I416" i="3" s="1"/>
  <c r="I415" i="3" s="1"/>
  <c r="H417" i="3"/>
  <c r="H416" i="3" s="1"/>
  <c r="H415" i="3" s="1"/>
  <c r="G417" i="3"/>
  <c r="G416" i="3" s="1"/>
  <c r="G415" i="3" s="1"/>
  <c r="F417" i="3"/>
  <c r="K351" i="3"/>
  <c r="H351" i="3"/>
  <c r="H350" i="3" s="1"/>
  <c r="H347" i="3" s="1"/>
  <c r="G351" i="3"/>
  <c r="G350" i="3" s="1"/>
  <c r="G347" i="3" s="1"/>
  <c r="F351" i="3"/>
  <c r="K20" i="3"/>
  <c r="J20" i="3"/>
  <c r="J19" i="3" s="1"/>
  <c r="I20" i="3"/>
  <c r="I19" i="3" s="1"/>
  <c r="H20" i="3"/>
  <c r="H19" i="3" s="1"/>
  <c r="K974" i="3"/>
  <c r="J974" i="3"/>
  <c r="J973" i="3" s="1"/>
  <c r="I974" i="3"/>
  <c r="I973" i="3" s="1"/>
  <c r="H974" i="3"/>
  <c r="H973" i="3" s="1"/>
  <c r="G974" i="3"/>
  <c r="G973" i="3" s="1"/>
  <c r="K970" i="3"/>
  <c r="J970" i="3"/>
  <c r="J969" i="3" s="1"/>
  <c r="I970" i="3"/>
  <c r="I969" i="3" s="1"/>
  <c r="H970" i="3"/>
  <c r="H969" i="3" s="1"/>
  <c r="G970" i="3"/>
  <c r="G969" i="3" s="1"/>
  <c r="K959" i="3"/>
  <c r="J959" i="3"/>
  <c r="J958" i="3" s="1"/>
  <c r="I959" i="3"/>
  <c r="I958" i="3" s="1"/>
  <c r="H959" i="3"/>
  <c r="H958" i="3" s="1"/>
  <c r="K954" i="3"/>
  <c r="M954" i="3" s="1"/>
  <c r="J954" i="3"/>
  <c r="I954" i="3"/>
  <c r="H954" i="3"/>
  <c r="G954" i="3"/>
  <c r="K953" i="3"/>
  <c r="J953" i="3"/>
  <c r="J952" i="3" s="1"/>
  <c r="I953" i="3"/>
  <c r="I952" i="3" s="1"/>
  <c r="H953" i="3"/>
  <c r="H952" i="3" s="1"/>
  <c r="G953" i="3"/>
  <c r="G952" i="3" s="1"/>
  <c r="K946" i="3"/>
  <c r="J946" i="3"/>
  <c r="J945" i="3" s="1"/>
  <c r="I946" i="3"/>
  <c r="I945" i="3" s="1"/>
  <c r="H946" i="3"/>
  <c r="H945" i="3" s="1"/>
  <c r="G946" i="3"/>
  <c r="G945" i="3" s="1"/>
  <c r="K940" i="3"/>
  <c r="J940" i="3"/>
  <c r="J939" i="3" s="1"/>
  <c r="J938" i="3" s="1"/>
  <c r="J937" i="3" s="1"/>
  <c r="J936" i="3" s="1"/>
  <c r="I940" i="3"/>
  <c r="I939" i="3" s="1"/>
  <c r="I938" i="3" s="1"/>
  <c r="I937" i="3" s="1"/>
  <c r="I936" i="3" s="1"/>
  <c r="H940" i="3"/>
  <c r="H939" i="3" s="1"/>
  <c r="H938" i="3" s="1"/>
  <c r="H937" i="3" s="1"/>
  <c r="H936" i="3" s="1"/>
  <c r="G940" i="3"/>
  <c r="G939" i="3" s="1"/>
  <c r="G938" i="3" s="1"/>
  <c r="G937" i="3" s="1"/>
  <c r="G936" i="3" s="1"/>
  <c r="K922" i="3"/>
  <c r="J922" i="3"/>
  <c r="J921" i="3" s="1"/>
  <c r="J920" i="3" s="1"/>
  <c r="I922" i="3"/>
  <c r="I921" i="3" s="1"/>
  <c r="I920" i="3" s="1"/>
  <c r="H922" i="3"/>
  <c r="H921" i="3" s="1"/>
  <c r="H920" i="3" s="1"/>
  <c r="J919" i="3"/>
  <c r="J918" i="3" s="1"/>
  <c r="I919" i="3"/>
  <c r="I918" i="3" s="1"/>
  <c r="H919" i="3"/>
  <c r="H918" i="3" s="1"/>
  <c r="H917" i="3" s="1"/>
  <c r="K908" i="3"/>
  <c r="J908" i="3"/>
  <c r="J907" i="3" s="1"/>
  <c r="J906" i="3" s="1"/>
  <c r="J905" i="3" s="1"/>
  <c r="I908" i="3"/>
  <c r="I907" i="3" s="1"/>
  <c r="I906" i="3" s="1"/>
  <c r="I905" i="3" s="1"/>
  <c r="H908" i="3"/>
  <c r="H907" i="3" s="1"/>
  <c r="H906" i="3" s="1"/>
  <c r="H905" i="3" s="1"/>
  <c r="G908" i="3"/>
  <c r="G907" i="3" s="1"/>
  <c r="G906" i="3" s="1"/>
  <c r="G905" i="3" s="1"/>
  <c r="J896" i="3"/>
  <c r="J895" i="3" s="1"/>
  <c r="J894" i="3" s="1"/>
  <c r="I896" i="3"/>
  <c r="I895" i="3" s="1"/>
  <c r="I894" i="3" s="1"/>
  <c r="H896" i="3"/>
  <c r="H895" i="3" s="1"/>
  <c r="H894" i="3" s="1"/>
  <c r="K892" i="3"/>
  <c r="J892" i="3"/>
  <c r="I892" i="3"/>
  <c r="I891" i="3" s="1"/>
  <c r="I890" i="3" s="1"/>
  <c r="I889" i="3" s="1"/>
  <c r="H892" i="3"/>
  <c r="H891" i="3" s="1"/>
  <c r="H890" i="3" s="1"/>
  <c r="H889" i="3" s="1"/>
  <c r="G892" i="3"/>
  <c r="G891" i="3" s="1"/>
  <c r="G890" i="3" s="1"/>
  <c r="G889" i="3" s="1"/>
  <c r="J891" i="3"/>
  <c r="J890" i="3" s="1"/>
  <c r="J889" i="3" s="1"/>
  <c r="K887" i="3"/>
  <c r="J887" i="3"/>
  <c r="J886" i="3" s="1"/>
  <c r="J885" i="3" s="1"/>
  <c r="I887" i="3"/>
  <c r="I886" i="3" s="1"/>
  <c r="I885" i="3" s="1"/>
  <c r="H887" i="3"/>
  <c r="H886" i="3" s="1"/>
  <c r="H885" i="3" s="1"/>
  <c r="G887" i="3"/>
  <c r="G886" i="3" s="1"/>
  <c r="G885" i="3" s="1"/>
  <c r="K881" i="3"/>
  <c r="J881" i="3"/>
  <c r="J880" i="3" s="1"/>
  <c r="I881" i="3"/>
  <c r="I880" i="3" s="1"/>
  <c r="H881" i="3"/>
  <c r="H880" i="3" s="1"/>
  <c r="G881" i="3"/>
  <c r="G880" i="3" s="1"/>
  <c r="K879" i="3"/>
  <c r="J879" i="3"/>
  <c r="J878" i="3" s="1"/>
  <c r="J877" i="3" s="1"/>
  <c r="I879" i="3"/>
  <c r="I878" i="3" s="1"/>
  <c r="I877" i="3" s="1"/>
  <c r="H879" i="3"/>
  <c r="H878" i="3" s="1"/>
  <c r="H877" i="3" s="1"/>
  <c r="G879" i="3"/>
  <c r="G878" i="3" s="1"/>
  <c r="G877" i="3" s="1"/>
  <c r="K873" i="3"/>
  <c r="J873" i="3"/>
  <c r="J872" i="3" s="1"/>
  <c r="J871" i="3" s="1"/>
  <c r="I873" i="3"/>
  <c r="I872" i="3" s="1"/>
  <c r="I871" i="3" s="1"/>
  <c r="H873" i="3"/>
  <c r="H872" i="3" s="1"/>
  <c r="H871" i="3" s="1"/>
  <c r="G873" i="3"/>
  <c r="G872" i="3" s="1"/>
  <c r="G871" i="3" s="1"/>
  <c r="K867" i="3"/>
  <c r="J867" i="3"/>
  <c r="J866" i="3" s="1"/>
  <c r="J865" i="3" s="1"/>
  <c r="I867" i="3"/>
  <c r="I866" i="3" s="1"/>
  <c r="I865" i="3" s="1"/>
  <c r="H867" i="3"/>
  <c r="H866" i="3" s="1"/>
  <c r="H865" i="3" s="1"/>
  <c r="G867" i="3"/>
  <c r="G866" i="3" s="1"/>
  <c r="G865" i="3" s="1"/>
  <c r="K864" i="3"/>
  <c r="J864" i="3"/>
  <c r="J863" i="3" s="1"/>
  <c r="J862" i="3" s="1"/>
  <c r="J861" i="3" s="1"/>
  <c r="I864" i="3"/>
  <c r="I863" i="3" s="1"/>
  <c r="I862" i="3" s="1"/>
  <c r="I861" i="3" s="1"/>
  <c r="H864" i="3"/>
  <c r="H863" i="3" s="1"/>
  <c r="H862" i="3" s="1"/>
  <c r="H861" i="3" s="1"/>
  <c r="K860" i="3"/>
  <c r="J860" i="3"/>
  <c r="J859" i="3" s="1"/>
  <c r="J858" i="3" s="1"/>
  <c r="I860" i="3"/>
  <c r="I859" i="3" s="1"/>
  <c r="I858" i="3" s="1"/>
  <c r="H860" i="3"/>
  <c r="H859" i="3" s="1"/>
  <c r="H858" i="3" s="1"/>
  <c r="G860" i="3"/>
  <c r="G859" i="3" s="1"/>
  <c r="G858" i="3" s="1"/>
  <c r="K856" i="3"/>
  <c r="J856" i="3"/>
  <c r="J855" i="3" s="1"/>
  <c r="I856" i="3"/>
  <c r="I855" i="3" s="1"/>
  <c r="H856" i="3"/>
  <c r="H855" i="3" s="1"/>
  <c r="G856" i="3"/>
  <c r="G855" i="3" s="1"/>
  <c r="K853" i="3"/>
  <c r="J853" i="3"/>
  <c r="J852" i="3" s="1"/>
  <c r="I853" i="3"/>
  <c r="I852" i="3" s="1"/>
  <c r="H853" i="3"/>
  <c r="H852" i="3" s="1"/>
  <c r="G853" i="3"/>
  <c r="G852" i="3" s="1"/>
  <c r="K848" i="3"/>
  <c r="M848" i="3" s="1"/>
  <c r="J848" i="3"/>
  <c r="I848" i="3"/>
  <c r="H848" i="3"/>
  <c r="G848" i="3"/>
  <c r="K841" i="3"/>
  <c r="K837" i="3"/>
  <c r="J837" i="3"/>
  <c r="J836" i="3" s="1"/>
  <c r="I837" i="3"/>
  <c r="I836" i="3" s="1"/>
  <c r="H837" i="3"/>
  <c r="H836" i="3" s="1"/>
  <c r="G837" i="3"/>
  <c r="G836" i="3" s="1"/>
  <c r="K831" i="3"/>
  <c r="J831" i="3"/>
  <c r="J830" i="3" s="1"/>
  <c r="J829" i="3" s="1"/>
  <c r="I831" i="3"/>
  <c r="I830" i="3" s="1"/>
  <c r="I828" i="3" s="1"/>
  <c r="H831" i="3"/>
  <c r="H830" i="3" s="1"/>
  <c r="H829" i="3" s="1"/>
  <c r="G831" i="3"/>
  <c r="G830" i="3" s="1"/>
  <c r="G828" i="3" s="1"/>
  <c r="K820" i="3"/>
  <c r="J820" i="3"/>
  <c r="J819" i="3" s="1"/>
  <c r="I820" i="3"/>
  <c r="I819" i="3" s="1"/>
  <c r="H820" i="3"/>
  <c r="H819" i="3" s="1"/>
  <c r="G820" i="3"/>
  <c r="G819" i="3" s="1"/>
  <c r="K810" i="3"/>
  <c r="H810" i="3"/>
  <c r="H809" i="3" s="1"/>
  <c r="H808" i="3" s="1"/>
  <c r="H807" i="3" s="1"/>
  <c r="H805" i="3" s="1"/>
  <c r="F44" i="2" s="1"/>
  <c r="G810" i="3"/>
  <c r="G809" i="3" s="1"/>
  <c r="G808" i="3" s="1"/>
  <c r="G807" i="3" s="1"/>
  <c r="K803" i="3"/>
  <c r="J803" i="3"/>
  <c r="J802" i="3" s="1"/>
  <c r="I803" i="3"/>
  <c r="I802" i="3" s="1"/>
  <c r="H803" i="3"/>
  <c r="H802" i="3" s="1"/>
  <c r="G803" i="3"/>
  <c r="G802" i="3" s="1"/>
  <c r="K801" i="3"/>
  <c r="J799" i="3"/>
  <c r="J798" i="3" s="1"/>
  <c r="I799" i="3"/>
  <c r="I798" i="3" s="1"/>
  <c r="H799" i="3"/>
  <c r="H798" i="3" s="1"/>
  <c r="K794" i="3"/>
  <c r="M794" i="3" s="1"/>
  <c r="H794" i="3"/>
  <c r="G794" i="3"/>
  <c r="K793" i="3"/>
  <c r="H793" i="3"/>
  <c r="H792" i="3" s="1"/>
  <c r="G793" i="3"/>
  <c r="G792" i="3" s="1"/>
  <c r="K788" i="3"/>
  <c r="J788" i="3"/>
  <c r="J787" i="3" s="1"/>
  <c r="J786" i="3" s="1"/>
  <c r="J785" i="3" s="1"/>
  <c r="I788" i="3"/>
  <c r="I787" i="3" s="1"/>
  <c r="I786" i="3" s="1"/>
  <c r="I785" i="3" s="1"/>
  <c r="H788" i="3"/>
  <c r="H787" i="3" s="1"/>
  <c r="H786" i="3" s="1"/>
  <c r="H785" i="3" s="1"/>
  <c r="G788" i="3"/>
  <c r="G787" i="3" s="1"/>
  <c r="G786" i="3" s="1"/>
  <c r="G785" i="3" s="1"/>
  <c r="K784" i="3"/>
  <c r="J784" i="3"/>
  <c r="J783" i="3" s="1"/>
  <c r="J782" i="3" s="1"/>
  <c r="I784" i="3"/>
  <c r="I783" i="3" s="1"/>
  <c r="I782" i="3" s="1"/>
  <c r="H784" i="3"/>
  <c r="H783" i="3" s="1"/>
  <c r="H782" i="3" s="1"/>
  <c r="K781" i="3"/>
  <c r="J781" i="3"/>
  <c r="J780" i="3" s="1"/>
  <c r="J779" i="3" s="1"/>
  <c r="I781" i="3"/>
  <c r="I780" i="3" s="1"/>
  <c r="I779" i="3" s="1"/>
  <c r="H781" i="3"/>
  <c r="H780" i="3" s="1"/>
  <c r="H779" i="3" s="1"/>
  <c r="G781" i="3"/>
  <c r="G780" i="3" s="1"/>
  <c r="G779" i="3" s="1"/>
  <c r="K778" i="3"/>
  <c r="J778" i="3"/>
  <c r="J777" i="3" s="1"/>
  <c r="J776" i="3" s="1"/>
  <c r="I778" i="3"/>
  <c r="I777" i="3" s="1"/>
  <c r="I776" i="3" s="1"/>
  <c r="H778" i="3"/>
  <c r="H777" i="3" s="1"/>
  <c r="H776" i="3" s="1"/>
  <c r="G778" i="3"/>
  <c r="G777" i="3" s="1"/>
  <c r="G776" i="3" s="1"/>
  <c r="K773" i="3"/>
  <c r="J773" i="3"/>
  <c r="J772" i="3" s="1"/>
  <c r="J771" i="3" s="1"/>
  <c r="I773" i="3"/>
  <c r="I772" i="3" s="1"/>
  <c r="I771" i="3" s="1"/>
  <c r="H773" i="3"/>
  <c r="H772" i="3" s="1"/>
  <c r="H771" i="3" s="1"/>
  <c r="G773" i="3"/>
  <c r="G772" i="3" s="1"/>
  <c r="G771" i="3" s="1"/>
  <c r="K761" i="3"/>
  <c r="M761" i="3" s="1"/>
  <c r="J761" i="3"/>
  <c r="I761" i="3"/>
  <c r="H761" i="3"/>
  <c r="G761" i="3"/>
  <c r="K758" i="3"/>
  <c r="M758" i="3" s="1"/>
  <c r="J758" i="3"/>
  <c r="I758" i="3"/>
  <c r="H758" i="3"/>
  <c r="G758" i="3"/>
  <c r="K756" i="3"/>
  <c r="M756" i="3" s="1"/>
  <c r="J756" i="3"/>
  <c r="I756" i="3"/>
  <c r="H756" i="3"/>
  <c r="G756" i="3"/>
  <c r="K752" i="3"/>
  <c r="J752" i="3"/>
  <c r="J751" i="3" s="1"/>
  <c r="J750" i="3" s="1"/>
  <c r="J749" i="3" s="1"/>
  <c r="I752" i="3"/>
  <c r="I751" i="3" s="1"/>
  <c r="I750" i="3" s="1"/>
  <c r="I749" i="3" s="1"/>
  <c r="H752" i="3"/>
  <c r="H751" i="3" s="1"/>
  <c r="H750" i="3" s="1"/>
  <c r="H749" i="3" s="1"/>
  <c r="G752" i="3"/>
  <c r="G751" i="3" s="1"/>
  <c r="G750" i="3" s="1"/>
  <c r="G749" i="3" s="1"/>
  <c r="K738" i="3"/>
  <c r="J738" i="3"/>
  <c r="J737" i="3" s="1"/>
  <c r="J736" i="3" s="1"/>
  <c r="I738" i="3"/>
  <c r="I737" i="3" s="1"/>
  <c r="I736" i="3" s="1"/>
  <c r="H738" i="3"/>
  <c r="H737" i="3" s="1"/>
  <c r="H736" i="3" s="1"/>
  <c r="G738" i="3"/>
  <c r="G737" i="3" s="1"/>
  <c r="G736" i="3" s="1"/>
  <c r="K735" i="3"/>
  <c r="J735" i="3"/>
  <c r="J734" i="3" s="1"/>
  <c r="I735" i="3"/>
  <c r="I734" i="3" s="1"/>
  <c r="H735" i="3"/>
  <c r="H734" i="3" s="1"/>
  <c r="G735" i="3"/>
  <c r="G734" i="3" s="1"/>
  <c r="K732" i="3"/>
  <c r="J732" i="3"/>
  <c r="J731" i="3" s="1"/>
  <c r="I732" i="3"/>
  <c r="I731" i="3" s="1"/>
  <c r="H732" i="3"/>
  <c r="H731" i="3" s="1"/>
  <c r="G732" i="3"/>
  <c r="G731" i="3" s="1"/>
  <c r="K729" i="3"/>
  <c r="J729" i="3"/>
  <c r="J728" i="3" s="1"/>
  <c r="I729" i="3"/>
  <c r="I728" i="3" s="1"/>
  <c r="H729" i="3"/>
  <c r="H728" i="3" s="1"/>
  <c r="G729" i="3"/>
  <c r="G728" i="3" s="1"/>
  <c r="K726" i="3"/>
  <c r="J726" i="3"/>
  <c r="J725" i="3" s="1"/>
  <c r="I726" i="3"/>
  <c r="I725" i="3" s="1"/>
  <c r="H726" i="3"/>
  <c r="H725" i="3" s="1"/>
  <c r="G726" i="3"/>
  <c r="G725" i="3" s="1"/>
  <c r="K724" i="3"/>
  <c r="J724" i="3"/>
  <c r="J723" i="3" s="1"/>
  <c r="I724" i="3"/>
  <c r="I723" i="3" s="1"/>
  <c r="H724" i="3"/>
  <c r="H723" i="3" s="1"/>
  <c r="G724" i="3"/>
  <c r="G723" i="3" s="1"/>
  <c r="K721" i="3"/>
  <c r="M721" i="3" s="1"/>
  <c r="J721" i="3"/>
  <c r="I721" i="3"/>
  <c r="H721" i="3"/>
  <c r="G721" i="3"/>
  <c r="K719" i="3"/>
  <c r="J719" i="3"/>
  <c r="J718" i="3" s="1"/>
  <c r="J717" i="3" s="1"/>
  <c r="I719" i="3"/>
  <c r="I718" i="3" s="1"/>
  <c r="I717" i="3" s="1"/>
  <c r="H719" i="3"/>
  <c r="H718" i="3" s="1"/>
  <c r="H717" i="3" s="1"/>
  <c r="K706" i="3"/>
  <c r="J706" i="3"/>
  <c r="J705" i="3" s="1"/>
  <c r="J704" i="3" s="1"/>
  <c r="I706" i="3"/>
  <c r="I705" i="3" s="1"/>
  <c r="I704" i="3" s="1"/>
  <c r="H706" i="3"/>
  <c r="H705" i="3" s="1"/>
  <c r="H704" i="3" s="1"/>
  <c r="K703" i="3"/>
  <c r="J703" i="3"/>
  <c r="J702" i="3" s="1"/>
  <c r="J701" i="3" s="1"/>
  <c r="I703" i="3"/>
  <c r="I702" i="3" s="1"/>
  <c r="I701" i="3" s="1"/>
  <c r="H703" i="3"/>
  <c r="H702" i="3" s="1"/>
  <c r="H701" i="3" s="1"/>
  <c r="G703" i="3"/>
  <c r="G702" i="3" s="1"/>
  <c r="G701" i="3" s="1"/>
  <c r="K699" i="3"/>
  <c r="J699" i="3"/>
  <c r="J698" i="3" s="1"/>
  <c r="I699" i="3"/>
  <c r="I698" i="3" s="1"/>
  <c r="H699" i="3"/>
  <c r="H698" i="3" s="1"/>
  <c r="G699" i="3"/>
  <c r="G698" i="3" s="1"/>
  <c r="K696" i="3"/>
  <c r="J696" i="3"/>
  <c r="J695" i="3" s="1"/>
  <c r="I696" i="3"/>
  <c r="I695" i="3" s="1"/>
  <c r="H696" i="3"/>
  <c r="H695" i="3" s="1"/>
  <c r="G696" i="3"/>
  <c r="G695" i="3" s="1"/>
  <c r="K693" i="3"/>
  <c r="J693" i="3"/>
  <c r="I693" i="3"/>
  <c r="I692" i="3" s="1"/>
  <c r="H693" i="3"/>
  <c r="H692" i="3" s="1"/>
  <c r="G693" i="3"/>
  <c r="G692" i="3" s="1"/>
  <c r="J692" i="3"/>
  <c r="K691" i="3"/>
  <c r="J691" i="3"/>
  <c r="J690" i="3" s="1"/>
  <c r="J689" i="3" s="1"/>
  <c r="I691" i="3"/>
  <c r="I690" i="3" s="1"/>
  <c r="I689" i="3" s="1"/>
  <c r="H691" i="3"/>
  <c r="H690" i="3" s="1"/>
  <c r="H689" i="3" s="1"/>
  <c r="G691" i="3"/>
  <c r="G690" i="3" s="1"/>
  <c r="G689" i="3" s="1"/>
  <c r="K688" i="3"/>
  <c r="M688" i="3" s="1"/>
  <c r="J688" i="3"/>
  <c r="J687" i="3" s="1"/>
  <c r="J686" i="3" s="1"/>
  <c r="I688" i="3"/>
  <c r="I687" i="3" s="1"/>
  <c r="I686" i="3" s="1"/>
  <c r="H688" i="3"/>
  <c r="H687" i="3" s="1"/>
  <c r="H686" i="3" s="1"/>
  <c r="J677" i="3"/>
  <c r="J676" i="3" s="1"/>
  <c r="I677" i="3"/>
  <c r="I676" i="3" s="1"/>
  <c r="H677" i="3"/>
  <c r="H676" i="3" s="1"/>
  <c r="K674" i="3"/>
  <c r="J674" i="3"/>
  <c r="J673" i="3" s="1"/>
  <c r="J672" i="3" s="1"/>
  <c r="I674" i="3"/>
  <c r="I673" i="3" s="1"/>
  <c r="I672" i="3" s="1"/>
  <c r="H674" i="3"/>
  <c r="H673" i="3" s="1"/>
  <c r="H672" i="3" s="1"/>
  <c r="K670" i="3"/>
  <c r="J670" i="3"/>
  <c r="J669" i="3" s="1"/>
  <c r="J668" i="3" s="1"/>
  <c r="J667" i="3" s="1"/>
  <c r="I670" i="3"/>
  <c r="I669" i="3" s="1"/>
  <c r="I668" i="3" s="1"/>
  <c r="I667" i="3" s="1"/>
  <c r="H670" i="3"/>
  <c r="H669" i="3" s="1"/>
  <c r="H668" i="3" s="1"/>
  <c r="H667" i="3" s="1"/>
  <c r="G670" i="3"/>
  <c r="G669" i="3" s="1"/>
  <c r="G668" i="3" s="1"/>
  <c r="G667" i="3" s="1"/>
  <c r="J666" i="3"/>
  <c r="J665" i="3" s="1"/>
  <c r="I666" i="3"/>
  <c r="I665" i="3" s="1"/>
  <c r="H666" i="3"/>
  <c r="H665" i="3" s="1"/>
  <c r="K664" i="3"/>
  <c r="J664" i="3"/>
  <c r="J663" i="3" s="1"/>
  <c r="I664" i="3"/>
  <c r="I663" i="3" s="1"/>
  <c r="I662" i="3" s="1"/>
  <c r="I661" i="3" s="1"/>
  <c r="H664" i="3"/>
  <c r="H663" i="3" s="1"/>
  <c r="K659" i="3"/>
  <c r="J659" i="3"/>
  <c r="J658" i="3" s="1"/>
  <c r="I659" i="3"/>
  <c r="I658" i="3" s="1"/>
  <c r="H659" i="3"/>
  <c r="H658" i="3" s="1"/>
  <c r="G659" i="3"/>
  <c r="G658" i="3" s="1"/>
  <c r="K657" i="3"/>
  <c r="J657" i="3"/>
  <c r="J656" i="3" s="1"/>
  <c r="I657" i="3"/>
  <c r="I656" i="3" s="1"/>
  <c r="H657" i="3"/>
  <c r="H656" i="3" s="1"/>
  <c r="G657" i="3"/>
  <c r="G656" i="3" s="1"/>
  <c r="K644" i="3"/>
  <c r="J644" i="3"/>
  <c r="J643" i="3" s="1"/>
  <c r="I644" i="3"/>
  <c r="I643" i="3" s="1"/>
  <c r="H644" i="3"/>
  <c r="H643" i="3" s="1"/>
  <c r="G644" i="3"/>
  <c r="G643" i="3" s="1"/>
  <c r="G642" i="3" s="1"/>
  <c r="K618" i="3"/>
  <c r="J618" i="3"/>
  <c r="J617" i="3" s="1"/>
  <c r="J616" i="3" s="1"/>
  <c r="I618" i="3"/>
  <c r="I617" i="3" s="1"/>
  <c r="I616" i="3" s="1"/>
  <c r="H618" i="3"/>
  <c r="H617" i="3" s="1"/>
  <c r="H616" i="3" s="1"/>
  <c r="G618" i="3"/>
  <c r="G617" i="3" s="1"/>
  <c r="G616" i="3" s="1"/>
  <c r="K606" i="3"/>
  <c r="J606" i="3"/>
  <c r="J605" i="3" s="1"/>
  <c r="J604" i="3" s="1"/>
  <c r="I606" i="3"/>
  <c r="I605" i="3" s="1"/>
  <c r="I604" i="3" s="1"/>
  <c r="H606" i="3"/>
  <c r="H605" i="3" s="1"/>
  <c r="H604" i="3" s="1"/>
  <c r="K595" i="3"/>
  <c r="J595" i="3"/>
  <c r="J594" i="3" s="1"/>
  <c r="J593" i="3" s="1"/>
  <c r="I595" i="3"/>
  <c r="I594" i="3" s="1"/>
  <c r="I593" i="3" s="1"/>
  <c r="H595" i="3"/>
  <c r="H594" i="3" s="1"/>
  <c r="H593" i="3" s="1"/>
  <c r="G595" i="3"/>
  <c r="G594" i="3" s="1"/>
  <c r="G593" i="3" s="1"/>
  <c r="K586" i="3"/>
  <c r="J586" i="3"/>
  <c r="J585" i="3" s="1"/>
  <c r="J584" i="3" s="1"/>
  <c r="I586" i="3"/>
  <c r="I585" i="3" s="1"/>
  <c r="I584" i="3" s="1"/>
  <c r="H586" i="3"/>
  <c r="H585" i="3" s="1"/>
  <c r="H584" i="3" s="1"/>
  <c r="K574" i="3"/>
  <c r="M574" i="3" s="1"/>
  <c r="J574" i="3"/>
  <c r="J573" i="3" s="1"/>
  <c r="J572" i="3" s="1"/>
  <c r="J571" i="3" s="1"/>
  <c r="I574" i="3"/>
  <c r="I573" i="3" s="1"/>
  <c r="I572" i="3" s="1"/>
  <c r="I571" i="3" s="1"/>
  <c r="H574" i="3"/>
  <c r="H573" i="3" s="1"/>
  <c r="H572" i="3" s="1"/>
  <c r="H571" i="3" s="1"/>
  <c r="K546" i="3"/>
  <c r="J546" i="3"/>
  <c r="J545" i="3" s="1"/>
  <c r="I546" i="3"/>
  <c r="I545" i="3" s="1"/>
  <c r="H546" i="3"/>
  <c r="H545" i="3" s="1"/>
  <c r="G546" i="3"/>
  <c r="G545" i="3" s="1"/>
  <c r="K543" i="3"/>
  <c r="J543" i="3"/>
  <c r="J542" i="3" s="1"/>
  <c r="I543" i="3"/>
  <c r="I542" i="3" s="1"/>
  <c r="H543" i="3"/>
  <c r="H542" i="3" s="1"/>
  <c r="G543" i="3"/>
  <c r="G542" i="3" s="1"/>
  <c r="K540" i="3"/>
  <c r="J540" i="3"/>
  <c r="J539" i="3" s="1"/>
  <c r="I540" i="3"/>
  <c r="I539" i="3" s="1"/>
  <c r="H540" i="3"/>
  <c r="H539" i="3" s="1"/>
  <c r="G540" i="3"/>
  <c r="G539" i="3" s="1"/>
  <c r="K533" i="3"/>
  <c r="J533" i="3"/>
  <c r="J532" i="3" s="1"/>
  <c r="J531" i="3" s="1"/>
  <c r="I533" i="3"/>
  <c r="I532" i="3" s="1"/>
  <c r="I531" i="3" s="1"/>
  <c r="H533" i="3"/>
  <c r="H532" i="3" s="1"/>
  <c r="H531" i="3" s="1"/>
  <c r="G533" i="3"/>
  <c r="G532" i="3" s="1"/>
  <c r="G531" i="3" s="1"/>
  <c r="K530" i="3"/>
  <c r="J530" i="3"/>
  <c r="J529" i="3" s="1"/>
  <c r="J528" i="3" s="1"/>
  <c r="I530" i="3"/>
  <c r="I529" i="3" s="1"/>
  <c r="I528" i="3" s="1"/>
  <c r="H530" i="3"/>
  <c r="H529" i="3" s="1"/>
  <c r="H528" i="3" s="1"/>
  <c r="G530" i="3"/>
  <c r="G529" i="3" s="1"/>
  <c r="G528" i="3" s="1"/>
  <c r="K524" i="3"/>
  <c r="J524" i="3"/>
  <c r="J523" i="3" s="1"/>
  <c r="J522" i="3" s="1"/>
  <c r="I524" i="3"/>
  <c r="I523" i="3" s="1"/>
  <c r="I522" i="3" s="1"/>
  <c r="H524" i="3"/>
  <c r="H523" i="3" s="1"/>
  <c r="H522" i="3" s="1"/>
  <c r="K518" i="3"/>
  <c r="J518" i="3"/>
  <c r="J517" i="3" s="1"/>
  <c r="J516" i="3" s="1"/>
  <c r="I518" i="3"/>
  <c r="I517" i="3" s="1"/>
  <c r="I516" i="3" s="1"/>
  <c r="H518" i="3"/>
  <c r="H517" i="3" s="1"/>
  <c r="H516" i="3" s="1"/>
  <c r="G518" i="3"/>
  <c r="G517" i="3" s="1"/>
  <c r="G516" i="3" s="1"/>
  <c r="K515" i="3"/>
  <c r="K511" i="3"/>
  <c r="J511" i="3"/>
  <c r="J510" i="3" s="1"/>
  <c r="I511" i="3"/>
  <c r="I510" i="3" s="1"/>
  <c r="H511" i="3"/>
  <c r="H510" i="3" s="1"/>
  <c r="G511" i="3"/>
  <c r="G510" i="3" s="1"/>
  <c r="K508" i="3"/>
  <c r="J508" i="3"/>
  <c r="J507" i="3" s="1"/>
  <c r="J506" i="3" s="1"/>
  <c r="I508" i="3"/>
  <c r="I507" i="3" s="1"/>
  <c r="I506" i="3" s="1"/>
  <c r="H508" i="3"/>
  <c r="H507" i="3" s="1"/>
  <c r="H506" i="3" s="1"/>
  <c r="G508" i="3"/>
  <c r="G507" i="3" s="1"/>
  <c r="G506" i="3" s="1"/>
  <c r="K504" i="3"/>
  <c r="J504" i="3"/>
  <c r="J503" i="3" s="1"/>
  <c r="I504" i="3"/>
  <c r="I503" i="3" s="1"/>
  <c r="H504" i="3"/>
  <c r="H503" i="3" s="1"/>
  <c r="G504" i="3"/>
  <c r="G503" i="3" s="1"/>
  <c r="K501" i="3"/>
  <c r="J501" i="3"/>
  <c r="I501" i="3"/>
  <c r="I500" i="3" s="1"/>
  <c r="I499" i="3" s="1"/>
  <c r="H501" i="3"/>
  <c r="H500" i="3" s="1"/>
  <c r="H499" i="3" s="1"/>
  <c r="G501" i="3"/>
  <c r="G500" i="3" s="1"/>
  <c r="G499" i="3" s="1"/>
  <c r="J500" i="3"/>
  <c r="J499" i="3" s="1"/>
  <c r="K497" i="3"/>
  <c r="J497" i="3"/>
  <c r="J496" i="3" s="1"/>
  <c r="J495" i="3" s="1"/>
  <c r="J494" i="3" s="1"/>
  <c r="I497" i="3"/>
  <c r="I496" i="3" s="1"/>
  <c r="I495" i="3" s="1"/>
  <c r="I494" i="3" s="1"/>
  <c r="H497" i="3"/>
  <c r="H496" i="3" s="1"/>
  <c r="H495" i="3" s="1"/>
  <c r="H494" i="3" s="1"/>
  <c r="K490" i="3"/>
  <c r="J490" i="3"/>
  <c r="J489" i="3" s="1"/>
  <c r="I490" i="3"/>
  <c r="I489" i="3" s="1"/>
  <c r="H490" i="3"/>
  <c r="H489" i="3" s="1"/>
  <c r="G490" i="3"/>
  <c r="G489" i="3" s="1"/>
  <c r="K459" i="3"/>
  <c r="J459" i="3"/>
  <c r="J458" i="3" s="1"/>
  <c r="J457" i="3" s="1"/>
  <c r="I459" i="3"/>
  <c r="I458" i="3" s="1"/>
  <c r="I457" i="3" s="1"/>
  <c r="H459" i="3"/>
  <c r="H458" i="3" s="1"/>
  <c r="H457" i="3" s="1"/>
  <c r="G459" i="3"/>
  <c r="G458" i="3" s="1"/>
  <c r="G457" i="3" s="1"/>
  <c r="K456" i="3"/>
  <c r="J456" i="3"/>
  <c r="J455" i="3" s="1"/>
  <c r="J454" i="3" s="1"/>
  <c r="I456" i="3"/>
  <c r="I455" i="3" s="1"/>
  <c r="I454" i="3" s="1"/>
  <c r="H456" i="3"/>
  <c r="H455" i="3" s="1"/>
  <c r="H454" i="3" s="1"/>
  <c r="K449" i="3"/>
  <c r="J449" i="3"/>
  <c r="J448" i="3" s="1"/>
  <c r="I449" i="3"/>
  <c r="I448" i="3" s="1"/>
  <c r="H449" i="3"/>
  <c r="H448" i="3" s="1"/>
  <c r="G449" i="3"/>
  <c r="G448" i="3" s="1"/>
  <c r="K446" i="3"/>
  <c r="M446" i="3" s="1"/>
  <c r="J446" i="3"/>
  <c r="J445" i="3" s="1"/>
  <c r="J444" i="3" s="1"/>
  <c r="J443" i="3" s="1"/>
  <c r="I446" i="3"/>
  <c r="I445" i="3" s="1"/>
  <c r="I444" i="3" s="1"/>
  <c r="I443" i="3" s="1"/>
  <c r="H446" i="3"/>
  <c r="H445" i="3" s="1"/>
  <c r="H444" i="3" s="1"/>
  <c r="H443" i="3" s="1"/>
  <c r="K439" i="3"/>
  <c r="J439" i="3"/>
  <c r="J438" i="3" s="1"/>
  <c r="I439" i="3"/>
  <c r="I438" i="3" s="1"/>
  <c r="H439" i="3"/>
  <c r="H438" i="3" s="1"/>
  <c r="K437" i="3"/>
  <c r="J437" i="3"/>
  <c r="J436" i="3" s="1"/>
  <c r="I437" i="3"/>
  <c r="I436" i="3" s="1"/>
  <c r="H437" i="3"/>
  <c r="H436" i="3" s="1"/>
  <c r="K434" i="3"/>
  <c r="J434" i="3"/>
  <c r="J433" i="3" s="1"/>
  <c r="J432" i="3" s="1"/>
  <c r="I434" i="3"/>
  <c r="I433" i="3" s="1"/>
  <c r="I432" i="3" s="1"/>
  <c r="G434" i="3"/>
  <c r="G433" i="3" s="1"/>
  <c r="G432" i="3" s="1"/>
  <c r="K428" i="3"/>
  <c r="G428" i="3"/>
  <c r="G427" i="3" s="1"/>
  <c r="J426" i="3"/>
  <c r="J425" i="3" s="1"/>
  <c r="I426" i="3"/>
  <c r="I425" i="3" s="1"/>
  <c r="H426" i="3"/>
  <c r="H425" i="3" s="1"/>
  <c r="K414" i="3"/>
  <c r="J414" i="3"/>
  <c r="J413" i="3" s="1"/>
  <c r="J412" i="3" s="1"/>
  <c r="I414" i="3"/>
  <c r="I413" i="3" s="1"/>
  <c r="I412" i="3" s="1"/>
  <c r="H414" i="3"/>
  <c r="H413" i="3" s="1"/>
  <c r="H412" i="3" s="1"/>
  <c r="G414" i="3"/>
  <c r="G413" i="3" s="1"/>
  <c r="G412" i="3" s="1"/>
  <c r="K410" i="3"/>
  <c r="J410" i="3"/>
  <c r="J409" i="3" s="1"/>
  <c r="J408" i="3" s="1"/>
  <c r="I410" i="3"/>
  <c r="I409" i="3" s="1"/>
  <c r="I408" i="3" s="1"/>
  <c r="H410" i="3"/>
  <c r="H409" i="3" s="1"/>
  <c r="H408" i="3" s="1"/>
  <c r="G410" i="3"/>
  <c r="G409" i="3" s="1"/>
  <c r="G408" i="3" s="1"/>
  <c r="K407" i="3"/>
  <c r="J407" i="3"/>
  <c r="J406" i="3" s="1"/>
  <c r="J405" i="3" s="1"/>
  <c r="I407" i="3"/>
  <c r="I406" i="3" s="1"/>
  <c r="I405" i="3" s="1"/>
  <c r="H407" i="3"/>
  <c r="H406" i="3" s="1"/>
  <c r="H405" i="3" s="1"/>
  <c r="G407" i="3"/>
  <c r="G406" i="3" s="1"/>
  <c r="G405" i="3" s="1"/>
  <c r="K404" i="3"/>
  <c r="J404" i="3"/>
  <c r="J403" i="3" s="1"/>
  <c r="J402" i="3" s="1"/>
  <c r="I404" i="3"/>
  <c r="I403" i="3" s="1"/>
  <c r="I402" i="3" s="1"/>
  <c r="H404" i="3"/>
  <c r="H403" i="3" s="1"/>
  <c r="H402" i="3" s="1"/>
  <c r="G404" i="3"/>
  <c r="G403" i="3" s="1"/>
  <c r="G402" i="3" s="1"/>
  <c r="K401" i="3"/>
  <c r="J401" i="3"/>
  <c r="J400" i="3" s="1"/>
  <c r="J399" i="3" s="1"/>
  <c r="I401" i="3"/>
  <c r="I400" i="3" s="1"/>
  <c r="I399" i="3" s="1"/>
  <c r="H401" i="3"/>
  <c r="H400" i="3" s="1"/>
  <c r="H399" i="3" s="1"/>
  <c r="K396" i="3"/>
  <c r="J396" i="3"/>
  <c r="J395" i="3" s="1"/>
  <c r="J394" i="3" s="1"/>
  <c r="J393" i="3" s="1"/>
  <c r="I396" i="3"/>
  <c r="I395" i="3" s="1"/>
  <c r="I394" i="3" s="1"/>
  <c r="I393" i="3" s="1"/>
  <c r="H396" i="3"/>
  <c r="H395" i="3" s="1"/>
  <c r="H394" i="3" s="1"/>
  <c r="H393" i="3" s="1"/>
  <c r="G396" i="3"/>
  <c r="G395" i="3" s="1"/>
  <c r="G394" i="3" s="1"/>
  <c r="G393" i="3" s="1"/>
  <c r="K391" i="3"/>
  <c r="J391" i="3"/>
  <c r="J390" i="3" s="1"/>
  <c r="I391" i="3"/>
  <c r="I390" i="3" s="1"/>
  <c r="H391" i="3"/>
  <c r="H390" i="3" s="1"/>
  <c r="G391" i="3"/>
  <c r="G390" i="3" s="1"/>
  <c r="J389" i="3"/>
  <c r="J388" i="3" s="1"/>
  <c r="J387" i="3" s="1"/>
  <c r="I389" i="3"/>
  <c r="I388" i="3" s="1"/>
  <c r="I387" i="3" s="1"/>
  <c r="H389" i="3"/>
  <c r="H388" i="3" s="1"/>
  <c r="H387" i="3" s="1"/>
  <c r="G389" i="3"/>
  <c r="G388" i="3" s="1"/>
  <c r="G387" i="3" s="1"/>
  <c r="K386" i="3"/>
  <c r="J386" i="3"/>
  <c r="J385" i="3" s="1"/>
  <c r="J384" i="3" s="1"/>
  <c r="I386" i="3"/>
  <c r="I385" i="3" s="1"/>
  <c r="I384" i="3" s="1"/>
  <c r="H386" i="3"/>
  <c r="H385" i="3" s="1"/>
  <c r="H384" i="3" s="1"/>
  <c r="G386" i="3"/>
  <c r="G385" i="3" s="1"/>
  <c r="G384" i="3" s="1"/>
  <c r="K383" i="3"/>
  <c r="J383" i="3"/>
  <c r="J382" i="3" s="1"/>
  <c r="I383" i="3"/>
  <c r="I382" i="3" s="1"/>
  <c r="H383" i="3"/>
  <c r="H382" i="3" s="1"/>
  <c r="G383" i="3"/>
  <c r="G382" i="3" s="1"/>
  <c r="J381" i="3"/>
  <c r="J380" i="3" s="1"/>
  <c r="I381" i="3"/>
  <c r="I380" i="3" s="1"/>
  <c r="H381" i="3"/>
  <c r="H380" i="3" s="1"/>
  <c r="G374" i="3"/>
  <c r="G373" i="3" s="1"/>
  <c r="G372" i="3" s="1"/>
  <c r="K369" i="3"/>
  <c r="J369" i="3"/>
  <c r="J368" i="3" s="1"/>
  <c r="J367" i="3" s="1"/>
  <c r="I369" i="3"/>
  <c r="I368" i="3" s="1"/>
  <c r="I367" i="3" s="1"/>
  <c r="H369" i="3"/>
  <c r="H368" i="3" s="1"/>
  <c r="H367" i="3" s="1"/>
  <c r="G369" i="3"/>
  <c r="G368" i="3" s="1"/>
  <c r="G367" i="3" s="1"/>
  <c r="K366" i="3"/>
  <c r="J366" i="3"/>
  <c r="J365" i="3" s="1"/>
  <c r="J364" i="3" s="1"/>
  <c r="I366" i="3"/>
  <c r="I365" i="3" s="1"/>
  <c r="I364" i="3" s="1"/>
  <c r="H366" i="3"/>
  <c r="H365" i="3" s="1"/>
  <c r="H364" i="3" s="1"/>
  <c r="G366" i="3"/>
  <c r="G365" i="3" s="1"/>
  <c r="G364" i="3" s="1"/>
  <c r="K353" i="3"/>
  <c r="J353" i="3"/>
  <c r="J352" i="3" s="1"/>
  <c r="I353" i="3"/>
  <c r="I352" i="3" s="1"/>
  <c r="H353" i="3"/>
  <c r="H352" i="3" s="1"/>
  <c r="G353" i="3"/>
  <c r="G352" i="3" s="1"/>
  <c r="K346" i="3"/>
  <c r="J346" i="3"/>
  <c r="J344" i="3" s="1"/>
  <c r="I346" i="3"/>
  <c r="I344" i="3" s="1"/>
  <c r="H346" i="3"/>
  <c r="H344" i="3" s="1"/>
  <c r="G346" i="3"/>
  <c r="G344" i="3" s="1"/>
  <c r="K343" i="3"/>
  <c r="J343" i="3"/>
  <c r="J342" i="3" s="1"/>
  <c r="I343" i="3"/>
  <c r="I342" i="3" s="1"/>
  <c r="H343" i="3"/>
  <c r="H342" i="3" s="1"/>
  <c r="K339" i="3"/>
  <c r="J339" i="3"/>
  <c r="J338" i="3" s="1"/>
  <c r="J337" i="3" s="1"/>
  <c r="I339" i="3"/>
  <c r="I338" i="3" s="1"/>
  <c r="I337" i="3" s="1"/>
  <c r="H339" i="3"/>
  <c r="H338" i="3" s="1"/>
  <c r="H337" i="3" s="1"/>
  <c r="G339" i="3"/>
  <c r="G338" i="3" s="1"/>
  <c r="G337" i="3" s="1"/>
  <c r="K334" i="3"/>
  <c r="J334" i="3"/>
  <c r="J333" i="3" s="1"/>
  <c r="J332" i="3" s="1"/>
  <c r="I334" i="3"/>
  <c r="I333" i="3" s="1"/>
  <c r="I332" i="3" s="1"/>
  <c r="H334" i="3"/>
  <c r="H333" i="3" s="1"/>
  <c r="H332" i="3" s="1"/>
  <c r="G334" i="3"/>
  <c r="G333" i="3" s="1"/>
  <c r="G332" i="3" s="1"/>
  <c r="K331" i="3"/>
  <c r="J331" i="3"/>
  <c r="J330" i="3" s="1"/>
  <c r="J329" i="3" s="1"/>
  <c r="I331" i="3"/>
  <c r="I330" i="3" s="1"/>
  <c r="I329" i="3" s="1"/>
  <c r="H331" i="3"/>
  <c r="H330" i="3" s="1"/>
  <c r="H329" i="3" s="1"/>
  <c r="K326" i="3"/>
  <c r="J326" i="3"/>
  <c r="J325" i="3" s="1"/>
  <c r="J324" i="3" s="1"/>
  <c r="I326" i="3"/>
  <c r="I325" i="3" s="1"/>
  <c r="I324" i="3" s="1"/>
  <c r="H326" i="3"/>
  <c r="H325" i="3" s="1"/>
  <c r="H324" i="3" s="1"/>
  <c r="K322" i="3"/>
  <c r="J322" i="3"/>
  <c r="J321" i="3" s="1"/>
  <c r="I322" i="3"/>
  <c r="I321" i="3" s="1"/>
  <c r="H322" i="3"/>
  <c r="H321" i="3" s="1"/>
  <c r="G322" i="3"/>
  <c r="G321" i="3" s="1"/>
  <c r="K317" i="3"/>
  <c r="K312" i="3"/>
  <c r="H312" i="3"/>
  <c r="H311" i="3" s="1"/>
  <c r="H310" i="3" s="1"/>
  <c r="K307" i="3"/>
  <c r="H307" i="3"/>
  <c r="H306" i="3" s="1"/>
  <c r="H305" i="3" s="1"/>
  <c r="K304" i="3"/>
  <c r="J304" i="3"/>
  <c r="J303" i="3" s="1"/>
  <c r="J302" i="3" s="1"/>
  <c r="I304" i="3"/>
  <c r="I303" i="3" s="1"/>
  <c r="I302" i="3" s="1"/>
  <c r="H304" i="3"/>
  <c r="H303" i="3" s="1"/>
  <c r="H302" i="3" s="1"/>
  <c r="G304" i="3"/>
  <c r="G303" i="3" s="1"/>
  <c r="G302" i="3" s="1"/>
  <c r="K300" i="3"/>
  <c r="J300" i="3"/>
  <c r="J299" i="3" s="1"/>
  <c r="I300" i="3"/>
  <c r="I299" i="3" s="1"/>
  <c r="H300" i="3"/>
  <c r="H299" i="3" s="1"/>
  <c r="G300" i="3"/>
  <c r="G299" i="3" s="1"/>
  <c r="K294" i="3"/>
  <c r="J294" i="3"/>
  <c r="J293" i="3" s="1"/>
  <c r="J292" i="3" s="1"/>
  <c r="I294" i="3"/>
  <c r="I293" i="3" s="1"/>
  <c r="I292" i="3" s="1"/>
  <c r="H294" i="3"/>
  <c r="H293" i="3" s="1"/>
  <c r="H292" i="3" s="1"/>
  <c r="G294" i="3"/>
  <c r="G293" i="3" s="1"/>
  <c r="G292" i="3" s="1"/>
  <c r="K288" i="3"/>
  <c r="H288" i="3"/>
  <c r="H287" i="3" s="1"/>
  <c r="H286" i="3" s="1"/>
  <c r="K285" i="3"/>
  <c r="J285" i="3"/>
  <c r="J284" i="3" s="1"/>
  <c r="I285" i="3"/>
  <c r="I284" i="3" s="1"/>
  <c r="H285" i="3"/>
  <c r="H284" i="3" s="1"/>
  <c r="K282" i="3"/>
  <c r="M282" i="3" s="1"/>
  <c r="J283" i="3"/>
  <c r="J282" i="3" s="1"/>
  <c r="I283" i="3"/>
  <c r="I282" i="3" s="1"/>
  <c r="H283" i="3"/>
  <c r="H282" i="3" s="1"/>
  <c r="G283" i="3"/>
  <c r="G282" i="3" s="1"/>
  <c r="K271" i="3"/>
  <c r="J271" i="3"/>
  <c r="J270" i="3" s="1"/>
  <c r="J269" i="3" s="1"/>
  <c r="I271" i="3"/>
  <c r="I270" i="3" s="1"/>
  <c r="I269" i="3" s="1"/>
  <c r="H271" i="3"/>
  <c r="H270" i="3" s="1"/>
  <c r="H269" i="3" s="1"/>
  <c r="G271" i="3"/>
  <c r="G270" i="3" s="1"/>
  <c r="G269" i="3" s="1"/>
  <c r="K254" i="3"/>
  <c r="J254" i="3"/>
  <c r="J253" i="3" s="1"/>
  <c r="J252" i="3" s="1"/>
  <c r="J251" i="3" s="1"/>
  <c r="J250" i="3" s="1"/>
  <c r="J249" i="3" s="1"/>
  <c r="H26" i="2" s="1"/>
  <c r="I254" i="3"/>
  <c r="I253" i="3" s="1"/>
  <c r="I252" i="3" s="1"/>
  <c r="I251" i="3" s="1"/>
  <c r="I250" i="3" s="1"/>
  <c r="I249" i="3" s="1"/>
  <c r="G26" i="2" s="1"/>
  <c r="H254" i="3"/>
  <c r="H253" i="3" s="1"/>
  <c r="H252" i="3" s="1"/>
  <c r="H251" i="3" s="1"/>
  <c r="H250" i="3" s="1"/>
  <c r="H249" i="3" s="1"/>
  <c r="F26" i="2" s="1"/>
  <c r="G254" i="3"/>
  <c r="G253" i="3" s="1"/>
  <c r="G252" i="3" s="1"/>
  <c r="G251" i="3" s="1"/>
  <c r="G250" i="3" s="1"/>
  <c r="G249" i="3" s="1"/>
  <c r="E26" i="2" s="1"/>
  <c r="K231" i="3"/>
  <c r="H231" i="3"/>
  <c r="H230" i="3" s="1"/>
  <c r="H229" i="3" s="1"/>
  <c r="G231" i="3"/>
  <c r="G230" i="3" s="1"/>
  <c r="G229" i="3" s="1"/>
  <c r="H228" i="3"/>
  <c r="H227" i="3" s="1"/>
  <c r="J226" i="3"/>
  <c r="J225" i="3" s="1"/>
  <c r="I226" i="3"/>
  <c r="I225" i="3" s="1"/>
  <c r="H226" i="3"/>
  <c r="H225" i="3" s="1"/>
  <c r="K206" i="3"/>
  <c r="J206" i="3"/>
  <c r="J205" i="3" s="1"/>
  <c r="I206" i="3"/>
  <c r="I205" i="3" s="1"/>
  <c r="H206" i="3"/>
  <c r="H205" i="3" s="1"/>
  <c r="G206" i="3"/>
  <c r="G205" i="3" s="1"/>
  <c r="K204" i="3"/>
  <c r="K202" i="3"/>
  <c r="J202" i="3"/>
  <c r="J201" i="3" s="1"/>
  <c r="I202" i="3"/>
  <c r="I201" i="3" s="1"/>
  <c r="H202" i="3"/>
  <c r="H201" i="3" s="1"/>
  <c r="K198" i="3"/>
  <c r="M198" i="3" s="1"/>
  <c r="J198" i="3"/>
  <c r="I198" i="3"/>
  <c r="H198" i="3"/>
  <c r="G198" i="3"/>
  <c r="J197" i="3"/>
  <c r="I197" i="3"/>
  <c r="H197" i="3"/>
  <c r="G197" i="3"/>
  <c r="J194" i="3"/>
  <c r="J193" i="3" s="1"/>
  <c r="I194" i="3"/>
  <c r="I193" i="3" s="1"/>
  <c r="H194" i="3"/>
  <c r="H193" i="3" s="1"/>
  <c r="K192" i="3"/>
  <c r="J192" i="3"/>
  <c r="J191" i="3" s="1"/>
  <c r="I192" i="3"/>
  <c r="I191" i="3" s="1"/>
  <c r="H192" i="3"/>
  <c r="H191" i="3" s="1"/>
  <c r="J189" i="3"/>
  <c r="J188" i="3" s="1"/>
  <c r="I189" i="3"/>
  <c r="I188" i="3" s="1"/>
  <c r="H189" i="3"/>
  <c r="H188" i="3" s="1"/>
  <c r="J187" i="3"/>
  <c r="J186" i="3" s="1"/>
  <c r="I187" i="3"/>
  <c r="I186" i="3" s="1"/>
  <c r="H187" i="3"/>
  <c r="H186" i="3" s="1"/>
  <c r="K184" i="3"/>
  <c r="J184" i="3"/>
  <c r="J183" i="3" s="1"/>
  <c r="J182" i="3" s="1"/>
  <c r="I184" i="3"/>
  <c r="I183" i="3" s="1"/>
  <c r="I182" i="3" s="1"/>
  <c r="H184" i="3"/>
  <c r="H183" i="3" s="1"/>
  <c r="H182" i="3" s="1"/>
  <c r="G184" i="3"/>
  <c r="G183" i="3" s="1"/>
  <c r="G182" i="3" s="1"/>
  <c r="K181" i="3"/>
  <c r="M181" i="3" s="1"/>
  <c r="J181" i="3"/>
  <c r="J180" i="3" s="1"/>
  <c r="J179" i="3" s="1"/>
  <c r="I181" i="3"/>
  <c r="I180" i="3" s="1"/>
  <c r="I179" i="3" s="1"/>
  <c r="H181" i="3"/>
  <c r="H180" i="3" s="1"/>
  <c r="H179" i="3" s="1"/>
  <c r="K177" i="3"/>
  <c r="J177" i="3"/>
  <c r="J176" i="3" s="1"/>
  <c r="I177" i="3"/>
  <c r="I176" i="3" s="1"/>
  <c r="H177" i="3"/>
  <c r="H176" i="3" s="1"/>
  <c r="G177" i="3"/>
  <c r="G176" i="3" s="1"/>
  <c r="K170" i="3"/>
  <c r="J170" i="3"/>
  <c r="J169" i="3" s="1"/>
  <c r="J168" i="3" s="1"/>
  <c r="I170" i="3"/>
  <c r="I169" i="3" s="1"/>
  <c r="I168" i="3" s="1"/>
  <c r="H170" i="3"/>
  <c r="H169" i="3" s="1"/>
  <c r="H168" i="3" s="1"/>
  <c r="G170" i="3"/>
  <c r="G169" i="3" s="1"/>
  <c r="G168" i="3" s="1"/>
  <c r="K164" i="3"/>
  <c r="J164" i="3"/>
  <c r="J163" i="3" s="1"/>
  <c r="J162" i="3" s="1"/>
  <c r="I164" i="3"/>
  <c r="I163" i="3" s="1"/>
  <c r="I162" i="3" s="1"/>
  <c r="H164" i="3"/>
  <c r="H163" i="3" s="1"/>
  <c r="H162" i="3" s="1"/>
  <c r="G164" i="3"/>
  <c r="G163" i="3" s="1"/>
  <c r="G162" i="3" s="1"/>
  <c r="K161" i="3"/>
  <c r="J161" i="3"/>
  <c r="J160" i="3" s="1"/>
  <c r="J159" i="3" s="1"/>
  <c r="I161" i="3"/>
  <c r="I160" i="3" s="1"/>
  <c r="I159" i="3" s="1"/>
  <c r="H161" i="3"/>
  <c r="H160" i="3" s="1"/>
  <c r="H159" i="3" s="1"/>
  <c r="G161" i="3"/>
  <c r="G160" i="3" s="1"/>
  <c r="G159" i="3" s="1"/>
  <c r="K156" i="3"/>
  <c r="J156" i="3"/>
  <c r="J155" i="3" s="1"/>
  <c r="J154" i="3" s="1"/>
  <c r="I156" i="3"/>
  <c r="I155" i="3" s="1"/>
  <c r="I154" i="3" s="1"/>
  <c r="H156" i="3"/>
  <c r="H155" i="3" s="1"/>
  <c r="H154" i="3" s="1"/>
  <c r="G156" i="3"/>
  <c r="G155" i="3" s="1"/>
  <c r="G154" i="3" s="1"/>
  <c r="K152" i="3"/>
  <c r="M152" i="3" s="1"/>
  <c r="J152" i="3"/>
  <c r="I152" i="3"/>
  <c r="H152" i="3"/>
  <c r="G152" i="3"/>
  <c r="K150" i="3"/>
  <c r="M150" i="3" s="1"/>
  <c r="J150" i="3"/>
  <c r="I150" i="3"/>
  <c r="H150" i="3"/>
  <c r="G150" i="3"/>
  <c r="K135" i="3"/>
  <c r="J136" i="3"/>
  <c r="J135" i="3" s="1"/>
  <c r="J134" i="3" s="1"/>
  <c r="I136" i="3"/>
  <c r="I135" i="3" s="1"/>
  <c r="I134" i="3" s="1"/>
  <c r="H136" i="3"/>
  <c r="H135" i="3" s="1"/>
  <c r="H134" i="3" s="1"/>
  <c r="G136" i="3"/>
  <c r="G135" i="3" s="1"/>
  <c r="G134" i="3" s="1"/>
  <c r="K129" i="3"/>
  <c r="J130" i="3"/>
  <c r="J129" i="3" s="1"/>
  <c r="J128" i="3" s="1"/>
  <c r="J127" i="3" s="1"/>
  <c r="I130" i="3"/>
  <c r="I129" i="3" s="1"/>
  <c r="I128" i="3" s="1"/>
  <c r="I127" i="3" s="1"/>
  <c r="H130" i="3"/>
  <c r="H129" i="3" s="1"/>
  <c r="H128" i="3" s="1"/>
  <c r="H127" i="3" s="1"/>
  <c r="G130" i="3"/>
  <c r="G129" i="3" s="1"/>
  <c r="G128" i="3" s="1"/>
  <c r="G127" i="3" s="1"/>
  <c r="K110" i="3"/>
  <c r="J110" i="3"/>
  <c r="J109" i="3" s="1"/>
  <c r="J108" i="3" s="1"/>
  <c r="J107" i="3" s="1"/>
  <c r="I110" i="3"/>
  <c r="I109" i="3" s="1"/>
  <c r="I108" i="3" s="1"/>
  <c r="I107" i="3" s="1"/>
  <c r="H110" i="3"/>
  <c r="H109" i="3" s="1"/>
  <c r="H108" i="3" s="1"/>
  <c r="H107" i="3" s="1"/>
  <c r="K106" i="3"/>
  <c r="J106" i="3"/>
  <c r="J105" i="3" s="1"/>
  <c r="J104" i="3" s="1"/>
  <c r="J103" i="3" s="1"/>
  <c r="I106" i="3"/>
  <c r="I105" i="3" s="1"/>
  <c r="I104" i="3" s="1"/>
  <c r="I103" i="3" s="1"/>
  <c r="H106" i="3"/>
  <c r="H105" i="3" s="1"/>
  <c r="H104" i="3" s="1"/>
  <c r="H103" i="3" s="1"/>
  <c r="G106" i="3"/>
  <c r="G105" i="3" s="1"/>
  <c r="G104" i="3" s="1"/>
  <c r="G103" i="3" s="1"/>
  <c r="K102" i="3"/>
  <c r="J102" i="3"/>
  <c r="J101" i="3" s="1"/>
  <c r="J100" i="3" s="1"/>
  <c r="J99" i="3" s="1"/>
  <c r="I102" i="3"/>
  <c r="I101" i="3" s="1"/>
  <c r="I100" i="3" s="1"/>
  <c r="I99" i="3" s="1"/>
  <c r="H102" i="3"/>
  <c r="H101" i="3" s="1"/>
  <c r="H100" i="3" s="1"/>
  <c r="H99" i="3" s="1"/>
  <c r="G102" i="3"/>
  <c r="G101" i="3" s="1"/>
  <c r="G100" i="3" s="1"/>
  <c r="G99" i="3" s="1"/>
  <c r="K97" i="3"/>
  <c r="J98" i="3"/>
  <c r="J97" i="3" s="1"/>
  <c r="J96" i="3" s="1"/>
  <c r="J95" i="3" s="1"/>
  <c r="I98" i="3"/>
  <c r="I97" i="3" s="1"/>
  <c r="I96" i="3" s="1"/>
  <c r="I95" i="3" s="1"/>
  <c r="H98" i="3"/>
  <c r="H97" i="3" s="1"/>
  <c r="H96" i="3" s="1"/>
  <c r="H95" i="3" s="1"/>
  <c r="G98" i="3"/>
  <c r="G97" i="3" s="1"/>
  <c r="G96" i="3" s="1"/>
  <c r="G95" i="3" s="1"/>
  <c r="K93" i="3"/>
  <c r="J93" i="3"/>
  <c r="J92" i="3" s="1"/>
  <c r="J91" i="3" s="1"/>
  <c r="I93" i="3"/>
  <c r="I92" i="3" s="1"/>
  <c r="I91" i="3" s="1"/>
  <c r="H93" i="3"/>
  <c r="H92" i="3" s="1"/>
  <c r="H91" i="3" s="1"/>
  <c r="G93" i="3"/>
  <c r="G92" i="3" s="1"/>
  <c r="G91" i="3" s="1"/>
  <c r="K90" i="3"/>
  <c r="J90" i="3"/>
  <c r="J89" i="3" s="1"/>
  <c r="J88" i="3" s="1"/>
  <c r="I90" i="3"/>
  <c r="I89" i="3" s="1"/>
  <c r="I88" i="3" s="1"/>
  <c r="H90" i="3"/>
  <c r="H89" i="3" s="1"/>
  <c r="H88" i="3" s="1"/>
  <c r="G90" i="3"/>
  <c r="G89" i="3" s="1"/>
  <c r="G88" i="3" s="1"/>
  <c r="K85" i="3"/>
  <c r="J85" i="3"/>
  <c r="J84" i="3" s="1"/>
  <c r="I85" i="3"/>
  <c r="I84" i="3" s="1"/>
  <c r="H85" i="3"/>
  <c r="H84" i="3" s="1"/>
  <c r="G85" i="3"/>
  <c r="G84" i="3" s="1"/>
  <c r="J78" i="3"/>
  <c r="J77" i="3" s="1"/>
  <c r="I78" i="3"/>
  <c r="I77" i="3" s="1"/>
  <c r="H78" i="3"/>
  <c r="H77" i="3" s="1"/>
  <c r="K72" i="3"/>
  <c r="M72" i="3" s="1"/>
  <c r="J72" i="3"/>
  <c r="I72" i="3"/>
  <c r="H72" i="3"/>
  <c r="G72" i="3"/>
  <c r="K70" i="3"/>
  <c r="M70" i="3" s="1"/>
  <c r="J70" i="3"/>
  <c r="I70" i="3"/>
  <c r="H70" i="3"/>
  <c r="G70" i="3"/>
  <c r="K65" i="3"/>
  <c r="J65" i="3"/>
  <c r="J64" i="3" s="1"/>
  <c r="I65" i="3"/>
  <c r="I64" i="3" s="1"/>
  <c r="H65" i="3"/>
  <c r="H64" i="3" s="1"/>
  <c r="G65" i="3"/>
  <c r="G64" i="3" s="1"/>
  <c r="K63" i="3"/>
  <c r="G63" i="3"/>
  <c r="G62" i="3" s="1"/>
  <c r="H61" i="3"/>
  <c r="H60" i="3" s="1"/>
  <c r="K55" i="3"/>
  <c r="J55" i="3"/>
  <c r="J54" i="3" s="1"/>
  <c r="I55" i="3"/>
  <c r="I54" i="3" s="1"/>
  <c r="H55" i="3"/>
  <c r="H54" i="3" s="1"/>
  <c r="J53" i="3"/>
  <c r="J52" i="3" s="1"/>
  <c r="I53" i="3"/>
  <c r="I52" i="3" s="1"/>
  <c r="H53" i="3"/>
  <c r="H52" i="3" s="1"/>
  <c r="K44" i="3"/>
  <c r="H44" i="3"/>
  <c r="H43" i="3" s="1"/>
  <c r="H42" i="3" s="1"/>
  <c r="H41" i="3" s="1"/>
  <c r="G44" i="3"/>
  <c r="G43" i="3" s="1"/>
  <c r="G42" i="3" s="1"/>
  <c r="G41" i="3" s="1"/>
  <c r="H36" i="3"/>
  <c r="H35" i="3" s="1"/>
  <c r="K29" i="3"/>
  <c r="M29" i="3" s="1"/>
  <c r="J29" i="3"/>
  <c r="I29" i="3"/>
  <c r="H29" i="3"/>
  <c r="G29" i="3"/>
  <c r="K28" i="3"/>
  <c r="J28" i="3"/>
  <c r="J27" i="3" s="1"/>
  <c r="I28" i="3"/>
  <c r="I27" i="3" s="1"/>
  <c r="H28" i="3"/>
  <c r="H27" i="3" s="1"/>
  <c r="G28" i="3"/>
  <c r="G27" i="3" s="1"/>
  <c r="K26" i="3"/>
  <c r="J26" i="3"/>
  <c r="J25" i="3" s="1"/>
  <c r="I26" i="3"/>
  <c r="I25" i="3" s="1"/>
  <c r="H26" i="3"/>
  <c r="H25" i="3" s="1"/>
  <c r="G26" i="3"/>
  <c r="G25" i="3" s="1"/>
  <c r="G19" i="3"/>
  <c r="K18" i="3"/>
  <c r="J18" i="3"/>
  <c r="J17" i="3" s="1"/>
  <c r="I18" i="3"/>
  <c r="I17" i="3" s="1"/>
  <c r="H18" i="3"/>
  <c r="H17" i="3" s="1"/>
  <c r="K321" i="3" l="1"/>
  <c r="M321" i="3" s="1"/>
  <c r="M322" i="3"/>
  <c r="K448" i="3"/>
  <c r="M448" i="3" s="1"/>
  <c r="M449" i="3"/>
  <c r="K539" i="3"/>
  <c r="M539" i="3" s="1"/>
  <c r="M540" i="3"/>
  <c r="K728" i="3"/>
  <c r="M728" i="3" s="1"/>
  <c r="M729" i="3"/>
  <c r="K299" i="3"/>
  <c r="M299" i="3" s="1"/>
  <c r="M300" i="3"/>
  <c r="K503" i="3"/>
  <c r="M503" i="3" s="1"/>
  <c r="M504" i="3"/>
  <c r="K542" i="3"/>
  <c r="M542" i="3" s="1"/>
  <c r="M543" i="3"/>
  <c r="K692" i="3"/>
  <c r="M692" i="3" s="1"/>
  <c r="M693" i="3"/>
  <c r="K731" i="3"/>
  <c r="M731" i="3" s="1"/>
  <c r="M732" i="3"/>
  <c r="K859" i="3"/>
  <c r="M860" i="3"/>
  <c r="K880" i="3"/>
  <c r="M880" i="3" s="1"/>
  <c r="M881" i="3"/>
  <c r="K489" i="3"/>
  <c r="M489" i="3" s="1"/>
  <c r="M490" i="3"/>
  <c r="K507" i="3"/>
  <c r="M508" i="3"/>
  <c r="K545" i="3"/>
  <c r="M545" i="3" s="1"/>
  <c r="M546" i="3"/>
  <c r="K695" i="3"/>
  <c r="M695" i="3" s="1"/>
  <c r="M696" i="3"/>
  <c r="K866" i="3"/>
  <c r="M867" i="3"/>
  <c r="K886" i="3"/>
  <c r="M887" i="3"/>
  <c r="L153" i="5"/>
  <c r="N153" i="5" s="1"/>
  <c r="N154" i="5"/>
  <c r="K500" i="3"/>
  <c r="M501" i="3"/>
  <c r="K855" i="3"/>
  <c r="M855" i="3" s="1"/>
  <c r="M856" i="3"/>
  <c r="K510" i="3"/>
  <c r="M510" i="3" s="1"/>
  <c r="M511" i="3"/>
  <c r="K669" i="3"/>
  <c r="M670" i="3"/>
  <c r="K698" i="3"/>
  <c r="M698" i="3" s="1"/>
  <c r="M699" i="3"/>
  <c r="K725" i="3"/>
  <c r="M725" i="3" s="1"/>
  <c r="M726" i="3"/>
  <c r="K852" i="3"/>
  <c r="M852" i="3" s="1"/>
  <c r="M853" i="3"/>
  <c r="K176" i="3"/>
  <c r="M176" i="3" s="1"/>
  <c r="M177" i="3"/>
  <c r="K203" i="3"/>
  <c r="M203" i="3" s="1"/>
  <c r="M204" i="3"/>
  <c r="K230" i="3"/>
  <c r="M231" i="3"/>
  <c r="K311" i="3"/>
  <c r="M312" i="3"/>
  <c r="K338" i="3"/>
  <c r="M339" i="3"/>
  <c r="K342" i="3"/>
  <c r="M342" i="3" s="1"/>
  <c r="M343" i="3"/>
  <c r="K395" i="3"/>
  <c r="M396" i="3"/>
  <c r="K496" i="3"/>
  <c r="M497" i="3"/>
  <c r="K585" i="3"/>
  <c r="M586" i="3"/>
  <c r="K656" i="3"/>
  <c r="M656" i="3" s="1"/>
  <c r="M657" i="3"/>
  <c r="K723" i="3"/>
  <c r="M723" i="3" s="1"/>
  <c r="M724" i="3"/>
  <c r="K780" i="3"/>
  <c r="M781" i="3"/>
  <c r="K952" i="3"/>
  <c r="M952" i="3" s="1"/>
  <c r="M953" i="3"/>
  <c r="K623" i="3"/>
  <c r="M624" i="3"/>
  <c r="K930" i="3"/>
  <c r="M931" i="3"/>
  <c r="K134" i="3"/>
  <c r="M134" i="3" s="1"/>
  <c r="M135" i="3"/>
  <c r="K160" i="3"/>
  <c r="M161" i="3"/>
  <c r="K183" i="3"/>
  <c r="M184" i="3"/>
  <c r="K205" i="3"/>
  <c r="M205" i="3" s="1"/>
  <c r="M206" i="3"/>
  <c r="K287" i="3"/>
  <c r="M288" i="3"/>
  <c r="K427" i="3"/>
  <c r="M427" i="3" s="1"/>
  <c r="M428" i="3"/>
  <c r="K436" i="3"/>
  <c r="M436" i="3" s="1"/>
  <c r="M437" i="3"/>
  <c r="K605" i="3"/>
  <c r="M606" i="3"/>
  <c r="K663" i="3"/>
  <c r="M663" i="3" s="1"/>
  <c r="M664" i="3"/>
  <c r="K673" i="3"/>
  <c r="M674" i="3"/>
  <c r="K737" i="3"/>
  <c r="M738" i="3"/>
  <c r="K787" i="3"/>
  <c r="M788" i="3"/>
  <c r="K830" i="3"/>
  <c r="M831" i="3"/>
  <c r="K872" i="3"/>
  <c r="M873" i="3"/>
  <c r="K921" i="3"/>
  <c r="M922" i="3"/>
  <c r="K535" i="3"/>
  <c r="M536" i="3"/>
  <c r="K626" i="3"/>
  <c r="M627" i="3"/>
  <c r="K211" i="3"/>
  <c r="M212" i="3"/>
  <c r="K84" i="3"/>
  <c r="M84" i="3" s="1"/>
  <c r="M85" i="3"/>
  <c r="K101" i="3"/>
  <c r="M102" i="3"/>
  <c r="K163" i="3"/>
  <c r="M164" i="3"/>
  <c r="K270" i="3"/>
  <c r="M271" i="3"/>
  <c r="K293" i="3"/>
  <c r="M294" i="3"/>
  <c r="K306" i="3"/>
  <c r="M307" i="3"/>
  <c r="K325" i="3"/>
  <c r="M326" i="3"/>
  <c r="K330" i="3"/>
  <c r="M331" i="3"/>
  <c r="K352" i="3"/>
  <c r="M352" i="3" s="1"/>
  <c r="M353" i="3"/>
  <c r="K385" i="3"/>
  <c r="M386" i="3"/>
  <c r="K406" i="3"/>
  <c r="M407" i="3"/>
  <c r="K455" i="3"/>
  <c r="M456" i="3"/>
  <c r="K514" i="3"/>
  <c r="M515" i="3"/>
  <c r="K617" i="3"/>
  <c r="M618" i="3"/>
  <c r="K702" i="3"/>
  <c r="M703" i="3"/>
  <c r="K705" i="3"/>
  <c r="M706" i="3"/>
  <c r="K718" i="3"/>
  <c r="M719" i="3"/>
  <c r="K751" i="3"/>
  <c r="M752" i="3"/>
  <c r="K772" i="3"/>
  <c r="M773" i="3"/>
  <c r="K836" i="3"/>
  <c r="M836" i="3" s="1"/>
  <c r="M837" i="3"/>
  <c r="K878" i="3"/>
  <c r="M879" i="3"/>
  <c r="K891" i="3"/>
  <c r="M892" i="3"/>
  <c r="K907" i="3"/>
  <c r="M908" i="3"/>
  <c r="K939" i="3"/>
  <c r="M940" i="3"/>
  <c r="K969" i="3"/>
  <c r="M969" i="3" s="1"/>
  <c r="M970" i="3"/>
  <c r="K464" i="3"/>
  <c r="M465" i="3"/>
  <c r="K597" i="3"/>
  <c r="M598" i="3"/>
  <c r="K711" i="3"/>
  <c r="M712" i="3"/>
  <c r="K741" i="3"/>
  <c r="M742" i="3"/>
  <c r="K27" i="3"/>
  <c r="M27" i="3" s="1"/>
  <c r="M28" i="3"/>
  <c r="K54" i="3"/>
  <c r="M54" i="3" s="1"/>
  <c r="M55" i="3"/>
  <c r="K64" i="3"/>
  <c r="M64" i="3" s="1"/>
  <c r="M65" i="3"/>
  <c r="K92" i="3"/>
  <c r="M93" i="3"/>
  <c r="K128" i="3"/>
  <c r="M128" i="3" s="1"/>
  <c r="M129" i="3"/>
  <c r="K155" i="3"/>
  <c r="M156" i="3"/>
  <c r="K303" i="3"/>
  <c r="M304" i="3"/>
  <c r="K368" i="3"/>
  <c r="M369" i="3"/>
  <c r="K400" i="3"/>
  <c r="M401" i="3"/>
  <c r="K413" i="3"/>
  <c r="M414" i="3"/>
  <c r="K529" i="3"/>
  <c r="M530" i="3"/>
  <c r="K783" i="3"/>
  <c r="M784" i="3"/>
  <c r="K792" i="3"/>
  <c r="M792" i="3" s="1"/>
  <c r="M793" i="3"/>
  <c r="K802" i="3"/>
  <c r="M802" i="3" s="1"/>
  <c r="M803" i="3"/>
  <c r="K819" i="3"/>
  <c r="M819" i="3" s="1"/>
  <c r="M820" i="3"/>
  <c r="K17" i="3"/>
  <c r="M17" i="3" s="1"/>
  <c r="M18" i="3"/>
  <c r="K43" i="3"/>
  <c r="M44" i="3"/>
  <c r="K96" i="3"/>
  <c r="M97" i="3"/>
  <c r="K253" i="3"/>
  <c r="M254" i="3"/>
  <c r="K316" i="3"/>
  <c r="M317" i="3"/>
  <c r="K344" i="3"/>
  <c r="M344" i="3" s="1"/>
  <c r="M346" i="3"/>
  <c r="K382" i="3"/>
  <c r="M382" i="3" s="1"/>
  <c r="M383" i="3"/>
  <c r="K403" i="3"/>
  <c r="M404" i="3"/>
  <c r="K433" i="3"/>
  <c r="M434" i="3"/>
  <c r="K438" i="3"/>
  <c r="M438" i="3" s="1"/>
  <c r="M439" i="3"/>
  <c r="K532" i="3"/>
  <c r="M533" i="3"/>
  <c r="K594" i="3"/>
  <c r="M595" i="3"/>
  <c r="K658" i="3"/>
  <c r="M658" i="3" s="1"/>
  <c r="M659" i="3"/>
  <c r="K690" i="3"/>
  <c r="M691" i="3"/>
  <c r="K958" i="3"/>
  <c r="M958" i="3" s="1"/>
  <c r="M959" i="3"/>
  <c r="K416" i="3"/>
  <c r="M417" i="3"/>
  <c r="K461" i="3"/>
  <c r="M462" i="3"/>
  <c r="K467" i="3"/>
  <c r="M468" i="3"/>
  <c r="K708" i="3"/>
  <c r="M709" i="3"/>
  <c r="K25" i="3"/>
  <c r="M25" i="3" s="1"/>
  <c r="M26" i="3"/>
  <c r="K62" i="3"/>
  <c r="M62" i="3" s="1"/>
  <c r="M63" i="3"/>
  <c r="K89" i="3"/>
  <c r="M90" i="3"/>
  <c r="K105" i="3"/>
  <c r="M106" i="3"/>
  <c r="K109" i="3"/>
  <c r="M110" i="3"/>
  <c r="K169" i="3"/>
  <c r="M170" i="3"/>
  <c r="K191" i="3"/>
  <c r="M191" i="3" s="1"/>
  <c r="M192" i="3"/>
  <c r="K201" i="3"/>
  <c r="M201" i="3" s="1"/>
  <c r="M202" i="3"/>
  <c r="K284" i="3"/>
  <c r="M284" i="3" s="1"/>
  <c r="M285" i="3"/>
  <c r="K333" i="3"/>
  <c r="M334" i="3"/>
  <c r="K365" i="3"/>
  <c r="M366" i="3"/>
  <c r="K390" i="3"/>
  <c r="M390" i="3" s="1"/>
  <c r="M391" i="3"/>
  <c r="K409" i="3"/>
  <c r="M410" i="3"/>
  <c r="K458" i="3"/>
  <c r="M459" i="3"/>
  <c r="K517" i="3"/>
  <c r="M518" i="3"/>
  <c r="K523" i="3"/>
  <c r="M524" i="3"/>
  <c r="K643" i="3"/>
  <c r="K641" i="3" s="1"/>
  <c r="M644" i="3"/>
  <c r="K777" i="3"/>
  <c r="M778" i="3"/>
  <c r="K800" i="3"/>
  <c r="M800" i="3" s="1"/>
  <c r="M801" i="3"/>
  <c r="K809" i="3"/>
  <c r="M810" i="3"/>
  <c r="K840" i="3"/>
  <c r="M841" i="3"/>
  <c r="K863" i="3"/>
  <c r="M864" i="3"/>
  <c r="K945" i="3"/>
  <c r="M945" i="3" s="1"/>
  <c r="M946" i="3"/>
  <c r="K973" i="3"/>
  <c r="M973" i="3" s="1"/>
  <c r="M974" i="3"/>
  <c r="K19" i="3"/>
  <c r="M19" i="3" s="1"/>
  <c r="M20" i="3"/>
  <c r="K350" i="3"/>
  <c r="M351" i="3"/>
  <c r="K452" i="3"/>
  <c r="M453" i="3"/>
  <c r="K526" i="3"/>
  <c r="M527" i="3"/>
  <c r="K580" i="3"/>
  <c r="M581" i="3"/>
  <c r="K620" i="3"/>
  <c r="M621" i="3"/>
  <c r="K714" i="3"/>
  <c r="M715" i="3"/>
  <c r="K924" i="3"/>
  <c r="M925" i="3"/>
  <c r="K927" i="3"/>
  <c r="M928" i="3"/>
  <c r="K221" i="3"/>
  <c r="M221" i="3" s="1"/>
  <c r="M222" i="3"/>
  <c r="K734" i="3"/>
  <c r="M734" i="3" s="1"/>
  <c r="M735" i="3"/>
  <c r="L86" i="5"/>
  <c r="N86" i="5" s="1"/>
  <c r="N87" i="5"/>
  <c r="L126" i="5"/>
  <c r="N126" i="5" s="1"/>
  <c r="N127" i="5"/>
  <c r="L179" i="5"/>
  <c r="N180" i="5"/>
  <c r="L185" i="5"/>
  <c r="N186" i="5"/>
  <c r="L222" i="5"/>
  <c r="N223" i="5"/>
  <c r="L268" i="5"/>
  <c r="N269" i="5"/>
  <c r="L320" i="5"/>
  <c r="N321" i="5"/>
  <c r="L338" i="5"/>
  <c r="N339" i="5"/>
  <c r="L398" i="5"/>
  <c r="N399" i="5"/>
  <c r="L523" i="5"/>
  <c r="N524" i="5"/>
  <c r="L531" i="5"/>
  <c r="N532" i="5"/>
  <c r="L546" i="5"/>
  <c r="N546" i="5" s="1"/>
  <c r="N547" i="5"/>
  <c r="L550" i="5"/>
  <c r="N551" i="5"/>
  <c r="L590" i="5"/>
  <c r="N591" i="5"/>
  <c r="L191" i="5"/>
  <c r="N192" i="5"/>
  <c r="L227" i="5"/>
  <c r="N227" i="5" s="1"/>
  <c r="N228" i="5"/>
  <c r="L309" i="5"/>
  <c r="N310" i="5"/>
  <c r="L346" i="5"/>
  <c r="N346" i="5" s="1"/>
  <c r="N347" i="5"/>
  <c r="L400" i="5"/>
  <c r="N400" i="5" s="1"/>
  <c r="N401" i="5"/>
  <c r="L429" i="5"/>
  <c r="N430" i="5"/>
  <c r="L444" i="5"/>
  <c r="N444" i="5" s="1"/>
  <c r="N445" i="5"/>
  <c r="L495" i="5"/>
  <c r="N496" i="5"/>
  <c r="L31" i="5"/>
  <c r="N31" i="5" s="1"/>
  <c r="N32" i="5"/>
  <c r="L90" i="5"/>
  <c r="N91" i="5"/>
  <c r="L137" i="5"/>
  <c r="N138" i="5"/>
  <c r="L161" i="5"/>
  <c r="N162" i="5"/>
  <c r="L176" i="5"/>
  <c r="N177" i="5"/>
  <c r="L194" i="5"/>
  <c r="N195" i="5"/>
  <c r="L236" i="5"/>
  <c r="N237" i="5"/>
  <c r="L259" i="5"/>
  <c r="N259" i="5" s="1"/>
  <c r="N260" i="5"/>
  <c r="L282" i="5"/>
  <c r="N283" i="5"/>
  <c r="L311" i="5"/>
  <c r="N311" i="5" s="1"/>
  <c r="N312" i="5"/>
  <c r="L357" i="5"/>
  <c r="N357" i="5" s="1"/>
  <c r="N358" i="5"/>
  <c r="L367" i="5"/>
  <c r="N368" i="5"/>
  <c r="L377" i="5"/>
  <c r="N377" i="5" s="1"/>
  <c r="N378" i="5"/>
  <c r="L404" i="5"/>
  <c r="N405" i="5"/>
  <c r="L407" i="5"/>
  <c r="N408" i="5"/>
  <c r="L433" i="5"/>
  <c r="N434" i="5"/>
  <c r="L447" i="5"/>
  <c r="N448" i="5"/>
  <c r="L472" i="5"/>
  <c r="N473" i="5"/>
  <c r="L501" i="5"/>
  <c r="N502" i="5"/>
  <c r="L508" i="5"/>
  <c r="N509" i="5"/>
  <c r="L528" i="5"/>
  <c r="N529" i="5"/>
  <c r="L536" i="5"/>
  <c r="N537" i="5"/>
  <c r="L562" i="5"/>
  <c r="N562" i="5" s="1"/>
  <c r="N563" i="5"/>
  <c r="L625" i="5"/>
  <c r="N626" i="5"/>
  <c r="L57" i="5"/>
  <c r="N57" i="5" s="1"/>
  <c r="N58" i="5"/>
  <c r="L204" i="5"/>
  <c r="N204" i="5" s="1"/>
  <c r="N205" i="5"/>
  <c r="L297" i="5"/>
  <c r="N298" i="5"/>
  <c r="L305" i="5"/>
  <c r="N306" i="5"/>
  <c r="L341" i="5"/>
  <c r="N342" i="5"/>
  <c r="L373" i="5"/>
  <c r="N373" i="5" s="1"/>
  <c r="N374" i="5"/>
  <c r="L384" i="5"/>
  <c r="N384" i="5" s="1"/>
  <c r="N385" i="5"/>
  <c r="L425" i="5"/>
  <c r="N426" i="5"/>
  <c r="L492" i="5"/>
  <c r="N492" i="5" s="1"/>
  <c r="N493" i="5"/>
  <c r="L587" i="5"/>
  <c r="N588" i="5"/>
  <c r="L64" i="5"/>
  <c r="N65" i="5"/>
  <c r="L130" i="5"/>
  <c r="N130" i="5" s="1"/>
  <c r="N131" i="5"/>
  <c r="L134" i="5"/>
  <c r="N135" i="5"/>
  <c r="L157" i="5"/>
  <c r="N158" i="5"/>
  <c r="L172" i="5"/>
  <c r="N172" i="5" s="1"/>
  <c r="N170" i="5"/>
  <c r="L211" i="5"/>
  <c r="N211" i="5" s="1"/>
  <c r="N212" i="5"/>
  <c r="L275" i="5"/>
  <c r="N276" i="5"/>
  <c r="L343" i="5"/>
  <c r="N343" i="5" s="1"/>
  <c r="N344" i="5"/>
  <c r="L463" i="5"/>
  <c r="N464" i="5"/>
  <c r="L560" i="5"/>
  <c r="N560" i="5" s="1"/>
  <c r="N561" i="5"/>
  <c r="L600" i="5"/>
  <c r="N601" i="5"/>
  <c r="L210" i="5"/>
  <c r="N210" i="5" s="1"/>
  <c r="N213" i="5"/>
  <c r="L48" i="5"/>
  <c r="N49" i="5"/>
  <c r="L83" i="5"/>
  <c r="N84" i="5"/>
  <c r="L94" i="5"/>
  <c r="N95" i="5"/>
  <c r="L104" i="5"/>
  <c r="N105" i="5"/>
  <c r="L112" i="5"/>
  <c r="N113" i="5"/>
  <c r="L116" i="5"/>
  <c r="N117" i="5"/>
  <c r="L120" i="5"/>
  <c r="N121" i="5"/>
  <c r="L139" i="5"/>
  <c r="N139" i="5" s="1"/>
  <c r="N140" i="5"/>
  <c r="L165" i="5"/>
  <c r="N165" i="5" s="1"/>
  <c r="N166" i="5"/>
  <c r="L200" i="5"/>
  <c r="N200" i="5" s="1"/>
  <c r="N201" i="5"/>
  <c r="L219" i="5"/>
  <c r="N220" i="5"/>
  <c r="L265" i="5"/>
  <c r="N266" i="5"/>
  <c r="L290" i="5"/>
  <c r="N291" i="5"/>
  <c r="L315" i="5"/>
  <c r="N315" i="5" s="1"/>
  <c r="N316" i="5"/>
  <c r="L369" i="5"/>
  <c r="N369" i="5" s="1"/>
  <c r="N370" i="5"/>
  <c r="L382" i="5"/>
  <c r="N383" i="5"/>
  <c r="L409" i="5"/>
  <c r="N409" i="5" s="1"/>
  <c r="N410" i="5"/>
  <c r="L423" i="5"/>
  <c r="N424" i="5"/>
  <c r="L437" i="5"/>
  <c r="N438" i="5"/>
  <c r="L475" i="5"/>
  <c r="N476" i="5"/>
  <c r="L541" i="5"/>
  <c r="N542" i="5"/>
  <c r="L584" i="5"/>
  <c r="N585" i="5"/>
  <c r="J755" i="3"/>
  <c r="H755" i="3"/>
  <c r="J149" i="3"/>
  <c r="G791" i="3"/>
  <c r="G790" i="3" s="1"/>
  <c r="K445" i="3"/>
  <c r="J504" i="5"/>
  <c r="J510" i="5" s="1"/>
  <c r="I504" i="5"/>
  <c r="I510" i="5" s="1"/>
  <c r="K504" i="5"/>
  <c r="K510" i="5" s="1"/>
  <c r="I149" i="3"/>
  <c r="H149" i="3"/>
  <c r="G149" i="3"/>
  <c r="K149" i="3"/>
  <c r="M149" i="3" s="1"/>
  <c r="K595" i="5"/>
  <c r="K687" i="3"/>
  <c r="K573" i="3"/>
  <c r="K600" i="3"/>
  <c r="K747" i="3"/>
  <c r="I595" i="5"/>
  <c r="K180" i="3"/>
  <c r="I69" i="3"/>
  <c r="I68" i="3" s="1"/>
  <c r="I67" i="3" s="1"/>
  <c r="I66" i="3" s="1"/>
  <c r="G69" i="3"/>
  <c r="G68" i="3" s="1"/>
  <c r="G67" i="3" s="1"/>
  <c r="G66" i="3" s="1"/>
  <c r="K69" i="3"/>
  <c r="J69" i="3"/>
  <c r="J68" i="3" s="1"/>
  <c r="J67" i="3" s="1"/>
  <c r="J66" i="3" s="1"/>
  <c r="G755" i="3"/>
  <c r="K755" i="3"/>
  <c r="M755" i="3" s="1"/>
  <c r="H69" i="3"/>
  <c r="H68" i="3" s="1"/>
  <c r="H67" i="3" s="1"/>
  <c r="H66" i="3" s="1"/>
  <c r="I755" i="3"/>
  <c r="J595" i="5"/>
  <c r="K365" i="5"/>
  <c r="K364" i="5" s="1"/>
  <c r="K363" i="5" s="1"/>
  <c r="K393" i="5" s="1"/>
  <c r="G951" i="3"/>
  <c r="G950" i="3" s="1"/>
  <c r="J598" i="5"/>
  <c r="J597" i="5" s="1"/>
  <c r="J605" i="5" s="1"/>
  <c r="K598" i="5"/>
  <c r="K597" i="5" s="1"/>
  <c r="K605" i="5" s="1"/>
  <c r="I365" i="5"/>
  <c r="I364" i="5" s="1"/>
  <c r="I363" i="5" s="1"/>
  <c r="I393" i="5" s="1"/>
  <c r="H598" i="5"/>
  <c r="H597" i="5" s="1"/>
  <c r="J662" i="3"/>
  <c r="J661" i="3" s="1"/>
  <c r="J396" i="5"/>
  <c r="J395" i="5" s="1"/>
  <c r="J394" i="5" s="1"/>
  <c r="J418" i="5" s="1"/>
  <c r="I396" i="5"/>
  <c r="I395" i="5" s="1"/>
  <c r="I394" i="5" s="1"/>
  <c r="I418" i="5" s="1"/>
  <c r="K396" i="5"/>
  <c r="K395" i="5" s="1"/>
  <c r="K394" i="5" s="1"/>
  <c r="K418" i="5" s="1"/>
  <c r="I303" i="5"/>
  <c r="I302" i="5" s="1"/>
  <c r="I301" i="5" s="1"/>
  <c r="I328" i="5" s="1"/>
  <c r="K303" i="5"/>
  <c r="K302" i="5" s="1"/>
  <c r="K301" i="5" s="1"/>
  <c r="K328" i="5" s="1"/>
  <c r="J365" i="5"/>
  <c r="J364" i="5" s="1"/>
  <c r="J363" i="5" s="1"/>
  <c r="J393" i="5" s="1"/>
  <c r="J303" i="5"/>
  <c r="J302" i="5" s="1"/>
  <c r="J301" i="5" s="1"/>
  <c r="J328" i="5" s="1"/>
  <c r="J169" i="5"/>
  <c r="H210" i="5"/>
  <c r="H209" i="5" s="1"/>
  <c r="J210" i="5"/>
  <c r="J209" i="5" s="1"/>
  <c r="K210" i="5"/>
  <c r="K209" i="5" s="1"/>
  <c r="K208" i="5" s="1"/>
  <c r="I210" i="5"/>
  <c r="I209" i="5" s="1"/>
  <c r="I208" i="5" s="1"/>
  <c r="J577" i="5"/>
  <c r="I125" i="5"/>
  <c r="I124" i="5" s="1"/>
  <c r="I123" i="5" s="1"/>
  <c r="I151" i="5" s="1"/>
  <c r="K489" i="5"/>
  <c r="K488" i="5" s="1"/>
  <c r="K487" i="5" s="1"/>
  <c r="K486" i="5" s="1"/>
  <c r="K503" i="5" s="1"/>
  <c r="H169" i="5"/>
  <c r="L169" i="5"/>
  <c r="N169" i="5" s="1"/>
  <c r="K441" i="5"/>
  <c r="I441" i="5"/>
  <c r="K559" i="5"/>
  <c r="K577" i="5"/>
  <c r="I598" i="5"/>
  <c r="I597" i="5" s="1"/>
  <c r="I605" i="5" s="1"/>
  <c r="I951" i="3"/>
  <c r="I950" i="3" s="1"/>
  <c r="J951" i="3"/>
  <c r="J950" i="3" s="1"/>
  <c r="H951" i="3"/>
  <c r="H950" i="3" s="1"/>
  <c r="H791" i="3"/>
  <c r="H790" i="3" s="1"/>
  <c r="I577" i="5"/>
  <c r="H559" i="5"/>
  <c r="J559" i="5"/>
  <c r="J489" i="5"/>
  <c r="J488" i="5" s="1"/>
  <c r="J487" i="5" s="1"/>
  <c r="J486" i="5" s="1"/>
  <c r="J503" i="5" s="1"/>
  <c r="H916" i="3"/>
  <c r="H915" i="3" s="1"/>
  <c r="H914" i="3" s="1"/>
  <c r="F49" i="2" s="1"/>
  <c r="J916" i="3"/>
  <c r="J915" i="3" s="1"/>
  <c r="J914" i="3" s="1"/>
  <c r="H49" i="2" s="1"/>
  <c r="K122" i="5"/>
  <c r="I241" i="5"/>
  <c r="I240" i="5" s="1"/>
  <c r="I239" i="5" s="1"/>
  <c r="I245" i="5" s="1"/>
  <c r="K241" i="5"/>
  <c r="K240" i="5" s="1"/>
  <c r="K239" i="5" s="1"/>
  <c r="K245" i="5" s="1"/>
  <c r="K285" i="5"/>
  <c r="K278" i="5"/>
  <c r="J278" i="5"/>
  <c r="J285" i="5"/>
  <c r="I109" i="5"/>
  <c r="I108" i="5" s="1"/>
  <c r="J109" i="5"/>
  <c r="J108" i="5" s="1"/>
  <c r="J241" i="5"/>
  <c r="J240" i="5" s="1"/>
  <c r="J239" i="5" s="1"/>
  <c r="J245" i="5" s="1"/>
  <c r="H278" i="5"/>
  <c r="H285" i="5"/>
  <c r="I169" i="5"/>
  <c r="K169" i="5"/>
  <c r="I278" i="5"/>
  <c r="I333" i="5"/>
  <c r="I332" i="5" s="1"/>
  <c r="K333" i="5"/>
  <c r="K332" i="5" s="1"/>
  <c r="H441" i="5"/>
  <c r="J441" i="5"/>
  <c r="L441" i="5"/>
  <c r="N441" i="5" s="1"/>
  <c r="H470" i="5"/>
  <c r="H469" i="5" s="1"/>
  <c r="H468" i="5" s="1"/>
  <c r="I489" i="5"/>
  <c r="I488" i="5" s="1"/>
  <c r="I487" i="5" s="1"/>
  <c r="I486" i="5" s="1"/>
  <c r="I503" i="5" s="1"/>
  <c r="I559" i="5"/>
  <c r="I16" i="3"/>
  <c r="I15" i="3" s="1"/>
  <c r="I14" i="3" s="1"/>
  <c r="I13" i="3" s="1"/>
  <c r="G14" i="2" s="1"/>
  <c r="I685" i="3"/>
  <c r="H685" i="3"/>
  <c r="J685" i="3"/>
  <c r="J583" i="3"/>
  <c r="J582" i="3" s="1"/>
  <c r="G411" i="3"/>
  <c r="I411" i="3"/>
  <c r="I603" i="3"/>
  <c r="I602" i="3" s="1"/>
  <c r="H583" i="3"/>
  <c r="H582" i="3" s="1"/>
  <c r="I583" i="3"/>
  <c r="I582" i="3" s="1"/>
  <c r="J603" i="3"/>
  <c r="J602" i="3" s="1"/>
  <c r="H603" i="3"/>
  <c r="H602" i="3" s="1"/>
  <c r="I190" i="3"/>
  <c r="H435" i="3"/>
  <c r="J435" i="3"/>
  <c r="J431" i="3" s="1"/>
  <c r="G655" i="3"/>
  <c r="H190" i="3"/>
  <c r="J190" i="3"/>
  <c r="I642" i="3"/>
  <c r="I641" i="3"/>
  <c r="I640" i="3" s="1"/>
  <c r="G196" i="3"/>
  <c r="G195" i="3" s="1"/>
  <c r="I196" i="3"/>
  <c r="I195" i="3" s="1"/>
  <c r="K196" i="3"/>
  <c r="H196" i="3"/>
  <c r="H195" i="3" s="1"/>
  <c r="J196" i="3"/>
  <c r="J195" i="3" s="1"/>
  <c r="H224" i="3"/>
  <c r="J281" i="3"/>
  <c r="H281" i="3"/>
  <c r="H280" i="3" s="1"/>
  <c r="H279" i="3" s="1"/>
  <c r="H278" i="3" s="1"/>
  <c r="F30" i="2" s="1"/>
  <c r="H341" i="3"/>
  <c r="H340" i="3" s="1"/>
  <c r="J341" i="3"/>
  <c r="H411" i="3"/>
  <c r="J411" i="3"/>
  <c r="I435" i="3"/>
  <c r="I431" i="3" s="1"/>
  <c r="H655" i="3"/>
  <c r="J655" i="3"/>
  <c r="H447" i="3"/>
  <c r="H442" i="3" s="1"/>
  <c r="H720" i="3"/>
  <c r="H716" i="3" s="1"/>
  <c r="J720" i="3"/>
  <c r="J716" i="3" s="1"/>
  <c r="G720" i="3"/>
  <c r="I720" i="3"/>
  <c r="I716" i="3" s="1"/>
  <c r="I655" i="3"/>
  <c r="I341" i="3"/>
  <c r="I76" i="3"/>
  <c r="I75" i="3"/>
  <c r="H662" i="3"/>
  <c r="H661" i="3" s="1"/>
  <c r="I829" i="3"/>
  <c r="J775" i="3"/>
  <c r="H775" i="3"/>
  <c r="H828" i="3"/>
  <c r="J917" i="3"/>
  <c r="G829" i="3"/>
  <c r="G806" i="3"/>
  <c r="G805" i="3"/>
  <c r="E44" i="2" s="1"/>
  <c r="H185" i="3"/>
  <c r="I917" i="3"/>
  <c r="I51" i="3"/>
  <c r="I50" i="3" s="1"/>
  <c r="G94" i="3"/>
  <c r="I94" i="3"/>
  <c r="J185" i="3"/>
  <c r="J379" i="3"/>
  <c r="J378" i="3" s="1"/>
  <c r="H379" i="3"/>
  <c r="H378" i="3" s="1"/>
  <c r="I398" i="3"/>
  <c r="G641" i="3"/>
  <c r="G640" i="3" s="1"/>
  <c r="H806" i="3"/>
  <c r="J828" i="3"/>
  <c r="I775" i="3"/>
  <c r="H75" i="3"/>
  <c r="H76" i="3"/>
  <c r="J75" i="3"/>
  <c r="J76" i="3"/>
  <c r="H24" i="3"/>
  <c r="H23" i="3" s="1"/>
  <c r="H22" i="3" s="1"/>
  <c r="H21" i="3" s="1"/>
  <c r="F15" i="2" s="1"/>
  <c r="H16" i="3"/>
  <c r="H15" i="3" s="1"/>
  <c r="H14" i="3" s="1"/>
  <c r="H13" i="3" s="1"/>
  <c r="F14" i="2" s="1"/>
  <c r="J24" i="3"/>
  <c r="J23" i="3" s="1"/>
  <c r="J22" i="3" s="1"/>
  <c r="J21" i="3" s="1"/>
  <c r="H15" i="2" s="1"/>
  <c r="H51" i="3"/>
  <c r="H50" i="3" s="1"/>
  <c r="J51" i="3"/>
  <c r="J50" i="3" s="1"/>
  <c r="I185" i="3"/>
  <c r="H398" i="3"/>
  <c r="H94" i="3"/>
  <c r="J94" i="3"/>
  <c r="I281" i="3"/>
  <c r="I328" i="3"/>
  <c r="I379" i="3"/>
  <c r="I378" i="3" s="1"/>
  <c r="J398" i="3"/>
  <c r="H641" i="3"/>
  <c r="H640" i="3" s="1"/>
  <c r="H642" i="3"/>
  <c r="J641" i="3"/>
  <c r="J640" i="3" s="1"/>
  <c r="J642" i="3"/>
  <c r="G24" i="3"/>
  <c r="G23" i="3" s="1"/>
  <c r="G22" i="3" s="1"/>
  <c r="G21" i="3" s="1"/>
  <c r="E15" i="2" s="1"/>
  <c r="I24" i="3"/>
  <c r="I23" i="3" s="1"/>
  <c r="I22" i="3" s="1"/>
  <c r="I21" i="3" s="1"/>
  <c r="G15" i="2" s="1"/>
  <c r="J16" i="3"/>
  <c r="J15" i="3" s="1"/>
  <c r="J14" i="3" s="1"/>
  <c r="J13" i="3" s="1"/>
  <c r="H14" i="2" s="1"/>
  <c r="H328" i="3"/>
  <c r="J328" i="3"/>
  <c r="G363" i="3"/>
  <c r="M728" i="4"/>
  <c r="M1129" i="4"/>
  <c r="O1129" i="4" s="1"/>
  <c r="L1129" i="4"/>
  <c r="K1129" i="4"/>
  <c r="J1129" i="4"/>
  <c r="I1129" i="4"/>
  <c r="L559" i="5" l="1"/>
  <c r="N559" i="5" s="1"/>
  <c r="K24" i="3"/>
  <c r="K16" i="3"/>
  <c r="M16" i="3" s="1"/>
  <c r="K951" i="3"/>
  <c r="M951" i="3" s="1"/>
  <c r="K281" i="3"/>
  <c r="M281" i="3" s="1"/>
  <c r="K720" i="3"/>
  <c r="K791" i="3"/>
  <c r="M791" i="3" s="1"/>
  <c r="K127" i="3"/>
  <c r="M127" i="3" s="1"/>
  <c r="K341" i="3"/>
  <c r="M341" i="3" s="1"/>
  <c r="K655" i="3"/>
  <c r="M655" i="3" s="1"/>
  <c r="K200" i="3"/>
  <c r="M200" i="3" s="1"/>
  <c r="K68" i="3"/>
  <c r="M69" i="3"/>
  <c r="K668" i="3"/>
  <c r="M669" i="3"/>
  <c r="K865" i="3"/>
  <c r="M865" i="3" s="1"/>
  <c r="M866" i="3"/>
  <c r="K858" i="3"/>
  <c r="M858" i="3" s="1"/>
  <c r="M859" i="3"/>
  <c r="M727" i="4"/>
  <c r="O727" i="4" s="1"/>
  <c r="O728" i="4"/>
  <c r="K499" i="3"/>
  <c r="M499" i="3" s="1"/>
  <c r="M500" i="3"/>
  <c r="K885" i="3"/>
  <c r="M885" i="3" s="1"/>
  <c r="M886" i="3"/>
  <c r="K506" i="3"/>
  <c r="M506" i="3" s="1"/>
  <c r="M507" i="3"/>
  <c r="K746" i="3"/>
  <c r="M746" i="3" s="1"/>
  <c r="M747" i="3"/>
  <c r="K444" i="3"/>
  <c r="M445" i="3"/>
  <c r="K923" i="3"/>
  <c r="M923" i="3" s="1"/>
  <c r="M924" i="3"/>
  <c r="K808" i="3"/>
  <c r="M809" i="3"/>
  <c r="K168" i="3"/>
  <c r="M168" i="3" s="1"/>
  <c r="M169" i="3"/>
  <c r="K104" i="3"/>
  <c r="M105" i="3"/>
  <c r="K707" i="3"/>
  <c r="M707" i="3" s="1"/>
  <c r="M708" i="3"/>
  <c r="K412" i="3"/>
  <c r="M413" i="3"/>
  <c r="K877" i="3"/>
  <c r="M877" i="3" s="1"/>
  <c r="M878" i="3"/>
  <c r="K717" i="3"/>
  <c r="M717" i="3" s="1"/>
  <c r="M718" i="3"/>
  <c r="K513" i="3"/>
  <c r="M514" i="3"/>
  <c r="K405" i="3"/>
  <c r="M405" i="3" s="1"/>
  <c r="M406" i="3"/>
  <c r="K324" i="3"/>
  <c r="M324" i="3" s="1"/>
  <c r="M325" i="3"/>
  <c r="K920" i="3"/>
  <c r="M920" i="3" s="1"/>
  <c r="M921" i="3"/>
  <c r="K828" i="3"/>
  <c r="M828" i="3" s="1"/>
  <c r="M830" i="3"/>
  <c r="K736" i="3"/>
  <c r="M736" i="3" s="1"/>
  <c r="M737" i="3"/>
  <c r="K286" i="3"/>
  <c r="M286" i="3" s="1"/>
  <c r="M287" i="3"/>
  <c r="K182" i="3"/>
  <c r="M182" i="3" s="1"/>
  <c r="M183" i="3"/>
  <c r="K622" i="3"/>
  <c r="M622" i="3" s="1"/>
  <c r="M623" i="3"/>
  <c r="K779" i="3"/>
  <c r="M779" i="3" s="1"/>
  <c r="M780" i="3"/>
  <c r="K495" i="3"/>
  <c r="M496" i="3"/>
  <c r="K310" i="3"/>
  <c r="M310" i="3" s="1"/>
  <c r="M311" i="3"/>
  <c r="K195" i="3"/>
  <c r="M195" i="3" s="1"/>
  <c r="M196" i="3"/>
  <c r="K179" i="3"/>
  <c r="M179" i="3" s="1"/>
  <c r="M180" i="3"/>
  <c r="K572" i="3"/>
  <c r="M573" i="3"/>
  <c r="K790" i="3"/>
  <c r="M790" i="3" s="1"/>
  <c r="K599" i="3"/>
  <c r="M600" i="3"/>
  <c r="K619" i="3"/>
  <c r="M619" i="3" s="1"/>
  <c r="M620" i="3"/>
  <c r="K525" i="3"/>
  <c r="M525" i="3" s="1"/>
  <c r="M526" i="3"/>
  <c r="K347" i="3"/>
  <c r="M347" i="3" s="1"/>
  <c r="M350" i="3"/>
  <c r="K862" i="3"/>
  <c r="M863" i="3"/>
  <c r="K776" i="3"/>
  <c r="M777" i="3"/>
  <c r="K522" i="3"/>
  <c r="M522" i="3" s="1"/>
  <c r="M523" i="3"/>
  <c r="K457" i="3"/>
  <c r="M457" i="3" s="1"/>
  <c r="M458" i="3"/>
  <c r="K332" i="3"/>
  <c r="M332" i="3" s="1"/>
  <c r="M333" i="3"/>
  <c r="K460" i="3"/>
  <c r="M460" i="3" s="1"/>
  <c r="M461" i="3"/>
  <c r="K531" i="3"/>
  <c r="M531" i="3" s="1"/>
  <c r="M532" i="3"/>
  <c r="K432" i="3"/>
  <c r="M432" i="3" s="1"/>
  <c r="M433" i="3"/>
  <c r="K315" i="3"/>
  <c r="M315" i="3" s="1"/>
  <c r="M316" i="3"/>
  <c r="K95" i="3"/>
  <c r="M95" i="3" s="1"/>
  <c r="M96" i="3"/>
  <c r="K782" i="3"/>
  <c r="M782" i="3" s="1"/>
  <c r="M783" i="3"/>
  <c r="K367" i="3"/>
  <c r="M367" i="3" s="1"/>
  <c r="M368" i="3"/>
  <c r="K154" i="3"/>
  <c r="M154" i="3" s="1"/>
  <c r="M155" i="3"/>
  <c r="K91" i="3"/>
  <c r="M91" i="3" s="1"/>
  <c r="M92" i="3"/>
  <c r="K740" i="3"/>
  <c r="M740" i="3" s="1"/>
  <c r="M741" i="3"/>
  <c r="K596" i="3"/>
  <c r="M596" i="3" s="1"/>
  <c r="M597" i="3"/>
  <c r="K906" i="3"/>
  <c r="M907" i="3"/>
  <c r="K771" i="3"/>
  <c r="M771" i="3" s="1"/>
  <c r="M772" i="3"/>
  <c r="K701" i="3"/>
  <c r="M701" i="3" s="1"/>
  <c r="M702" i="3"/>
  <c r="K292" i="3"/>
  <c r="M292" i="3" s="1"/>
  <c r="M293" i="3"/>
  <c r="K162" i="3"/>
  <c r="M162" i="3" s="1"/>
  <c r="M163" i="3"/>
  <c r="K625" i="3"/>
  <c r="M625" i="3" s="1"/>
  <c r="M626" i="3"/>
  <c r="K23" i="3"/>
  <c r="M24" i="3"/>
  <c r="K640" i="3"/>
  <c r="M640" i="3" s="1"/>
  <c r="M641" i="3"/>
  <c r="M720" i="3"/>
  <c r="K435" i="3"/>
  <c r="K829" i="3"/>
  <c r="M829" i="3" s="1"/>
  <c r="K686" i="3"/>
  <c r="M687" i="3"/>
  <c r="K926" i="3"/>
  <c r="M926" i="3" s="1"/>
  <c r="M927" i="3"/>
  <c r="K713" i="3"/>
  <c r="M713" i="3" s="1"/>
  <c r="M714" i="3"/>
  <c r="K579" i="3"/>
  <c r="M579" i="3" s="1"/>
  <c r="M580" i="3"/>
  <c r="K451" i="3"/>
  <c r="M452" i="3"/>
  <c r="K839" i="3"/>
  <c r="M840" i="3"/>
  <c r="K642" i="3"/>
  <c r="M642" i="3" s="1"/>
  <c r="M643" i="3"/>
  <c r="K516" i="3"/>
  <c r="M516" i="3" s="1"/>
  <c r="M517" i="3"/>
  <c r="K408" i="3"/>
  <c r="M408" i="3" s="1"/>
  <c r="M409" i="3"/>
  <c r="K364" i="3"/>
  <c r="M364" i="3" s="1"/>
  <c r="M365" i="3"/>
  <c r="K108" i="3"/>
  <c r="M109" i="3"/>
  <c r="K88" i="3"/>
  <c r="M88" i="3" s="1"/>
  <c r="M89" i="3"/>
  <c r="K466" i="3"/>
  <c r="M466" i="3" s="1"/>
  <c r="M467" i="3"/>
  <c r="K415" i="3"/>
  <c r="M415" i="3" s="1"/>
  <c r="M416" i="3"/>
  <c r="K689" i="3"/>
  <c r="M689" i="3" s="1"/>
  <c r="M690" i="3"/>
  <c r="K593" i="3"/>
  <c r="M593" i="3" s="1"/>
  <c r="M594" i="3"/>
  <c r="K402" i="3"/>
  <c r="M402" i="3" s="1"/>
  <c r="M403" i="3"/>
  <c r="K252" i="3"/>
  <c r="M253" i="3"/>
  <c r="K42" i="3"/>
  <c r="M43" i="3"/>
  <c r="K528" i="3"/>
  <c r="M528" i="3" s="1"/>
  <c r="M529" i="3"/>
  <c r="K399" i="3"/>
  <c r="M400" i="3"/>
  <c r="K302" i="3"/>
  <c r="M302" i="3" s="1"/>
  <c r="M303" i="3"/>
  <c r="K710" i="3"/>
  <c r="M710" i="3" s="1"/>
  <c r="M711" i="3"/>
  <c r="K463" i="3"/>
  <c r="M463" i="3" s="1"/>
  <c r="M464" i="3"/>
  <c r="K938" i="3"/>
  <c r="M939" i="3"/>
  <c r="K890" i="3"/>
  <c r="M891" i="3"/>
  <c r="K750" i="3"/>
  <c r="M751" i="3"/>
  <c r="K704" i="3"/>
  <c r="M704" i="3" s="1"/>
  <c r="M705" i="3"/>
  <c r="K616" i="3"/>
  <c r="M616" i="3" s="1"/>
  <c r="M617" i="3"/>
  <c r="K454" i="3"/>
  <c r="M454" i="3" s="1"/>
  <c r="M455" i="3"/>
  <c r="K384" i="3"/>
  <c r="M384" i="3" s="1"/>
  <c r="M385" i="3"/>
  <c r="K329" i="3"/>
  <c r="M330" i="3"/>
  <c r="K305" i="3"/>
  <c r="M305" i="3" s="1"/>
  <c r="M306" i="3"/>
  <c r="K269" i="3"/>
  <c r="M269" i="3" s="1"/>
  <c r="M270" i="3"/>
  <c r="K100" i="3"/>
  <c r="M101" i="3"/>
  <c r="K210" i="3"/>
  <c r="M211" i="3"/>
  <c r="K534" i="3"/>
  <c r="M534" i="3" s="1"/>
  <c r="M535" i="3"/>
  <c r="K871" i="3"/>
  <c r="M871" i="3" s="1"/>
  <c r="M872" i="3"/>
  <c r="K786" i="3"/>
  <c r="M787" i="3"/>
  <c r="K672" i="3"/>
  <c r="M672" i="3" s="1"/>
  <c r="M673" i="3"/>
  <c r="K604" i="3"/>
  <c r="M605" i="3"/>
  <c r="K159" i="3"/>
  <c r="M159" i="3" s="1"/>
  <c r="M160" i="3"/>
  <c r="K929" i="3"/>
  <c r="M929" i="3" s="1"/>
  <c r="M930" i="3"/>
  <c r="K584" i="3"/>
  <c r="M584" i="3" s="1"/>
  <c r="M585" i="3"/>
  <c r="K394" i="3"/>
  <c r="M395" i="3"/>
  <c r="K337" i="3"/>
  <c r="M337" i="3" s="1"/>
  <c r="M338" i="3"/>
  <c r="K229" i="3"/>
  <c r="M229" i="3" s="1"/>
  <c r="M230" i="3"/>
  <c r="L581" i="5"/>
  <c r="N584" i="5"/>
  <c r="L422" i="5"/>
  <c r="N422" i="5" s="1"/>
  <c r="N423" i="5"/>
  <c r="L381" i="5"/>
  <c r="N381" i="5" s="1"/>
  <c r="N382" i="5"/>
  <c r="L115" i="5"/>
  <c r="N116" i="5"/>
  <c r="L82" i="5"/>
  <c r="N82" i="5" s="1"/>
  <c r="N83" i="5"/>
  <c r="L428" i="5"/>
  <c r="N428" i="5" s="1"/>
  <c r="N425" i="5"/>
  <c r="L535" i="5"/>
  <c r="N535" i="5" s="1"/>
  <c r="N536" i="5"/>
  <c r="L471" i="5"/>
  <c r="N471" i="5" s="1"/>
  <c r="N472" i="5"/>
  <c r="L403" i="5"/>
  <c r="N403" i="5" s="1"/>
  <c r="N404" i="5"/>
  <c r="L366" i="5"/>
  <c r="N367" i="5"/>
  <c r="L164" i="5"/>
  <c r="N164" i="5" s="1"/>
  <c r="N161" i="5"/>
  <c r="L93" i="5"/>
  <c r="N93" i="5" s="1"/>
  <c r="N90" i="5"/>
  <c r="L432" i="5"/>
  <c r="N432" i="5" s="1"/>
  <c r="N429" i="5"/>
  <c r="L589" i="5"/>
  <c r="N589" i="5" s="1"/>
  <c r="N590" i="5"/>
  <c r="L526" i="5"/>
  <c r="N526" i="5" s="1"/>
  <c r="N523" i="5"/>
  <c r="L337" i="5"/>
  <c r="N338" i="5"/>
  <c r="L267" i="5"/>
  <c r="N267" i="5" s="1"/>
  <c r="N268" i="5"/>
  <c r="L474" i="5"/>
  <c r="N474" i="5" s="1"/>
  <c r="N475" i="5"/>
  <c r="L264" i="5"/>
  <c r="N265" i="5"/>
  <c r="L103" i="5"/>
  <c r="N104" i="5"/>
  <c r="L160" i="5"/>
  <c r="N160" i="5" s="1"/>
  <c r="N157" i="5"/>
  <c r="L586" i="5"/>
  <c r="N586" i="5" s="1"/>
  <c r="N587" i="5"/>
  <c r="L304" i="5"/>
  <c r="N305" i="5"/>
  <c r="L624" i="5"/>
  <c r="N625" i="5"/>
  <c r="L507" i="5"/>
  <c r="N508" i="5"/>
  <c r="L436" i="5"/>
  <c r="N436" i="5" s="1"/>
  <c r="N433" i="5"/>
  <c r="L193" i="5"/>
  <c r="N193" i="5" s="1"/>
  <c r="N194" i="5"/>
  <c r="L494" i="5"/>
  <c r="N494" i="5" s="1"/>
  <c r="N495" i="5"/>
  <c r="L184" i="5"/>
  <c r="N184" i="5" s="1"/>
  <c r="N185" i="5"/>
  <c r="L209" i="5"/>
  <c r="L216" i="5" s="1"/>
  <c r="N216" i="5" s="1"/>
  <c r="L540" i="5"/>
  <c r="N540" i="5" s="1"/>
  <c r="N541" i="5"/>
  <c r="L440" i="5"/>
  <c r="N440" i="5" s="1"/>
  <c r="N437" i="5"/>
  <c r="L289" i="5"/>
  <c r="N290" i="5"/>
  <c r="L218" i="5"/>
  <c r="N218" i="5" s="1"/>
  <c r="N219" i="5"/>
  <c r="L119" i="5"/>
  <c r="N120" i="5"/>
  <c r="L111" i="5"/>
  <c r="N112" i="5"/>
  <c r="L99" i="5"/>
  <c r="N99" i="5" s="1"/>
  <c r="N94" i="5"/>
  <c r="L47" i="5"/>
  <c r="N48" i="5"/>
  <c r="L599" i="5"/>
  <c r="N600" i="5"/>
  <c r="L462" i="5"/>
  <c r="N463" i="5"/>
  <c r="L274" i="5"/>
  <c r="N275" i="5"/>
  <c r="L133" i="5"/>
  <c r="N133" i="5" s="1"/>
  <c r="N134" i="5"/>
  <c r="L63" i="5"/>
  <c r="N64" i="5"/>
  <c r="L340" i="5"/>
  <c r="N340" i="5" s="1"/>
  <c r="N341" i="5"/>
  <c r="L296" i="5"/>
  <c r="N297" i="5"/>
  <c r="L527" i="5"/>
  <c r="N527" i="5" s="1"/>
  <c r="N528" i="5"/>
  <c r="L500" i="5"/>
  <c r="N500" i="5" s="1"/>
  <c r="N501" i="5"/>
  <c r="L446" i="5"/>
  <c r="N446" i="5" s="1"/>
  <c r="N447" i="5"/>
  <c r="L406" i="5"/>
  <c r="N406" i="5" s="1"/>
  <c r="N407" i="5"/>
  <c r="L281" i="5"/>
  <c r="N282" i="5"/>
  <c r="L235" i="5"/>
  <c r="N236" i="5"/>
  <c r="L175" i="5"/>
  <c r="N176" i="5"/>
  <c r="L136" i="5"/>
  <c r="N137" i="5"/>
  <c r="L308" i="5"/>
  <c r="N309" i="5"/>
  <c r="L190" i="5"/>
  <c r="N190" i="5" s="1"/>
  <c r="N191" i="5"/>
  <c r="L549" i="5"/>
  <c r="N549" i="5" s="1"/>
  <c r="N550" i="5"/>
  <c r="L530" i="5"/>
  <c r="N530" i="5" s="1"/>
  <c r="N531" i="5"/>
  <c r="L397" i="5"/>
  <c r="N398" i="5"/>
  <c r="L319" i="5"/>
  <c r="N319" i="5" s="1"/>
  <c r="N320" i="5"/>
  <c r="L226" i="5"/>
  <c r="N226" i="5" s="1"/>
  <c r="N222" i="5"/>
  <c r="L178" i="5"/>
  <c r="N178" i="5" s="1"/>
  <c r="N179" i="5"/>
  <c r="J596" i="5"/>
  <c r="K596" i="5"/>
  <c r="H596" i="5"/>
  <c r="H605" i="5"/>
  <c r="I421" i="5"/>
  <c r="I420" i="5" s="1"/>
  <c r="I419" i="5" s="1"/>
  <c r="I596" i="5"/>
  <c r="K421" i="5"/>
  <c r="K420" i="5" s="1"/>
  <c r="K419" i="5" s="1"/>
  <c r="J421" i="5"/>
  <c r="J420" i="5" s="1"/>
  <c r="J419" i="5" s="1"/>
  <c r="I331" i="5"/>
  <c r="I330" i="5" s="1"/>
  <c r="I329" i="5" s="1"/>
  <c r="K331" i="5"/>
  <c r="K330" i="5" s="1"/>
  <c r="K329" i="5" s="1"/>
  <c r="J208" i="5"/>
  <c r="J216" i="5"/>
  <c r="K216" i="5"/>
  <c r="I216" i="5"/>
  <c r="H216" i="5"/>
  <c r="H208" i="5"/>
  <c r="J397" i="3"/>
  <c r="I397" i="3"/>
  <c r="J122" i="5"/>
  <c r="I122" i="5"/>
  <c r="H485" i="5"/>
  <c r="J178" i="3"/>
  <c r="H327" i="3"/>
  <c r="H397" i="3"/>
  <c r="I178" i="3"/>
  <c r="H178" i="3"/>
  <c r="I684" i="3"/>
  <c r="J684" i="3"/>
  <c r="H684" i="3"/>
  <c r="K15" i="3" l="1"/>
  <c r="M15" i="3" s="1"/>
  <c r="K199" i="3"/>
  <c r="M199" i="3" s="1"/>
  <c r="K950" i="3"/>
  <c r="M950" i="3" s="1"/>
  <c r="K667" i="3"/>
  <c r="M667" i="3" s="1"/>
  <c r="M668" i="3"/>
  <c r="L421" i="5"/>
  <c r="L420" i="5" s="1"/>
  <c r="K67" i="3"/>
  <c r="M68" i="3"/>
  <c r="K99" i="3"/>
  <c r="M100" i="3"/>
  <c r="K107" i="3"/>
  <c r="M107" i="3" s="1"/>
  <c r="M108" i="3"/>
  <c r="M451" i="3"/>
  <c r="K447" i="3"/>
  <c r="M447" i="3" s="1"/>
  <c r="K685" i="3"/>
  <c r="M686" i="3"/>
  <c r="M776" i="3"/>
  <c r="K775" i="3"/>
  <c r="M775" i="3" s="1"/>
  <c r="K14" i="3"/>
  <c r="M412" i="3"/>
  <c r="K411" i="3"/>
  <c r="M411" i="3" s="1"/>
  <c r="K103" i="3"/>
  <c r="M103" i="3" s="1"/>
  <c r="M104" i="3"/>
  <c r="K807" i="3"/>
  <c r="M808" i="3"/>
  <c r="K393" i="3"/>
  <c r="M393" i="3" s="1"/>
  <c r="M394" i="3"/>
  <c r="M604" i="3"/>
  <c r="K603" i="3"/>
  <c r="K785" i="3"/>
  <c r="M785" i="3" s="1"/>
  <c r="M786" i="3"/>
  <c r="K749" i="3"/>
  <c r="M749" i="3" s="1"/>
  <c r="M750" i="3"/>
  <c r="K937" i="3"/>
  <c r="M938" i="3"/>
  <c r="M399" i="3"/>
  <c r="K398" i="3"/>
  <c r="K41" i="3"/>
  <c r="M41" i="3" s="1"/>
  <c r="M42" i="3"/>
  <c r="K431" i="3"/>
  <c r="M431" i="3" s="1"/>
  <c r="M435" i="3"/>
  <c r="K209" i="3"/>
  <c r="M210" i="3"/>
  <c r="M329" i="3"/>
  <c r="K328" i="3"/>
  <c r="K889" i="3"/>
  <c r="M890" i="3"/>
  <c r="K251" i="3"/>
  <c r="M252" i="3"/>
  <c r="K838" i="3"/>
  <c r="M838" i="3" s="1"/>
  <c r="M839" i="3"/>
  <c r="K716" i="3"/>
  <c r="M716" i="3" s="1"/>
  <c r="K22" i="3"/>
  <c r="M23" i="3"/>
  <c r="K905" i="3"/>
  <c r="M905" i="3" s="1"/>
  <c r="M906" i="3"/>
  <c r="K861" i="3"/>
  <c r="M861" i="3" s="1"/>
  <c r="M862" i="3"/>
  <c r="K583" i="3"/>
  <c r="M599" i="3"/>
  <c r="K340" i="3"/>
  <c r="M340" i="3" s="1"/>
  <c r="K571" i="3"/>
  <c r="M571" i="3" s="1"/>
  <c r="M572" i="3"/>
  <c r="K494" i="3"/>
  <c r="M494" i="3" s="1"/>
  <c r="M495" i="3"/>
  <c r="M513" i="3"/>
  <c r="K498" i="3"/>
  <c r="K443" i="3"/>
  <c r="M444" i="3"/>
  <c r="K280" i="3"/>
  <c r="N136" i="5"/>
  <c r="L125" i="5"/>
  <c r="L62" i="5"/>
  <c r="N63" i="5"/>
  <c r="L118" i="5"/>
  <c r="N118" i="5" s="1"/>
  <c r="N119" i="5"/>
  <c r="L288" i="5"/>
  <c r="N289" i="5"/>
  <c r="L208" i="5"/>
  <c r="N208" i="5" s="1"/>
  <c r="N209" i="5"/>
  <c r="L102" i="5"/>
  <c r="N103" i="5"/>
  <c r="L336" i="5"/>
  <c r="N336" i="5" s="1"/>
  <c r="N337" i="5"/>
  <c r="N366" i="5"/>
  <c r="L365" i="5"/>
  <c r="N397" i="5"/>
  <c r="L396" i="5"/>
  <c r="L307" i="5"/>
  <c r="N307" i="5" s="1"/>
  <c r="N308" i="5"/>
  <c r="N175" i="5"/>
  <c r="L174" i="5"/>
  <c r="L280" i="5"/>
  <c r="N281" i="5"/>
  <c r="N462" i="5"/>
  <c r="L461" i="5"/>
  <c r="L466" i="5"/>
  <c r="N466" i="5" s="1"/>
  <c r="L46" i="5"/>
  <c r="N47" i="5"/>
  <c r="L110" i="5"/>
  <c r="N111" i="5"/>
  <c r="L234" i="5"/>
  <c r="N235" i="5"/>
  <c r="L295" i="5"/>
  <c r="N296" i="5"/>
  <c r="L273" i="5"/>
  <c r="N274" i="5"/>
  <c r="L605" i="5"/>
  <c r="N599" i="5"/>
  <c r="L623" i="5"/>
  <c r="N624" i="5"/>
  <c r="L114" i="5"/>
  <c r="N114" i="5" s="1"/>
  <c r="N115" i="5"/>
  <c r="L506" i="5"/>
  <c r="N507" i="5"/>
  <c r="N304" i="5"/>
  <c r="L303" i="5"/>
  <c r="L270" i="5"/>
  <c r="N270" i="5" s="1"/>
  <c r="N264" i="5"/>
  <c r="N581" i="5"/>
  <c r="L577" i="5"/>
  <c r="J455" i="5"/>
  <c r="J362" i="5"/>
  <c r="I455" i="5"/>
  <c r="I362" i="5"/>
  <c r="K455" i="5"/>
  <c r="K362" i="5"/>
  <c r="K335" i="5"/>
  <c r="K352" i="5"/>
  <c r="I335" i="5"/>
  <c r="I352" i="5"/>
  <c r="L334" i="5"/>
  <c r="N334" i="5" s="1"/>
  <c r="K919" i="3"/>
  <c r="M919" i="3" s="1"/>
  <c r="L484" i="4"/>
  <c r="K484" i="4"/>
  <c r="J484" i="4"/>
  <c r="N421" i="5" l="1"/>
  <c r="K66" i="3"/>
  <c r="M66" i="3" s="1"/>
  <c r="M67" i="3"/>
  <c r="M280" i="3"/>
  <c r="K279" i="3"/>
  <c r="I46" i="2"/>
  <c r="K46" i="2" s="1"/>
  <c r="M889" i="3"/>
  <c r="K208" i="3"/>
  <c r="M209" i="3"/>
  <c r="K13" i="3"/>
  <c r="M14" i="3"/>
  <c r="K21" i="3"/>
  <c r="M22" i="3"/>
  <c r="K602" i="3"/>
  <c r="M602" i="3" s="1"/>
  <c r="M603" i="3"/>
  <c r="K493" i="3"/>
  <c r="M493" i="3" s="1"/>
  <c r="M498" i="3"/>
  <c r="K582" i="3"/>
  <c r="M582" i="3" s="1"/>
  <c r="M583" i="3"/>
  <c r="K936" i="3"/>
  <c r="M936" i="3" s="1"/>
  <c r="M937" i="3"/>
  <c r="M685" i="3"/>
  <c r="K684" i="3"/>
  <c r="M684" i="3" s="1"/>
  <c r="M328" i="3"/>
  <c r="K327" i="3"/>
  <c r="M327" i="3" s="1"/>
  <c r="M398" i="3"/>
  <c r="K397" i="3"/>
  <c r="M397" i="3" s="1"/>
  <c r="M443" i="3"/>
  <c r="K442" i="3"/>
  <c r="M442" i="3" s="1"/>
  <c r="K250" i="3"/>
  <c r="M251" i="3"/>
  <c r="M807" i="3"/>
  <c r="K805" i="3"/>
  <c r="K806" i="3"/>
  <c r="M806" i="3" s="1"/>
  <c r="M99" i="3"/>
  <c r="K94" i="3"/>
  <c r="M94" i="3" s="1"/>
  <c r="L294" i="5"/>
  <c r="N295" i="5"/>
  <c r="L460" i="5"/>
  <c r="N460" i="5" s="1"/>
  <c r="N461" i="5"/>
  <c r="N396" i="5"/>
  <c r="L395" i="5"/>
  <c r="L287" i="5"/>
  <c r="N288" i="5"/>
  <c r="L505" i="5"/>
  <c r="N506" i="5"/>
  <c r="L622" i="5"/>
  <c r="N623" i="5"/>
  <c r="L272" i="5"/>
  <c r="N273" i="5"/>
  <c r="L233" i="5"/>
  <c r="N234" i="5"/>
  <c r="L45" i="5"/>
  <c r="N46" i="5"/>
  <c r="L364" i="5"/>
  <c r="N365" i="5"/>
  <c r="L124" i="5"/>
  <c r="N125" i="5"/>
  <c r="L598" i="5"/>
  <c r="N605" i="5"/>
  <c r="N110" i="5"/>
  <c r="L109" i="5"/>
  <c r="L173" i="5"/>
  <c r="N174" i="5"/>
  <c r="L61" i="5"/>
  <c r="N62" i="5"/>
  <c r="L595" i="5"/>
  <c r="N595" i="5" s="1"/>
  <c r="N577" i="5"/>
  <c r="L302" i="5"/>
  <c r="N303" i="5"/>
  <c r="L279" i="5"/>
  <c r="N280" i="5"/>
  <c r="L101" i="5"/>
  <c r="N102" i="5"/>
  <c r="L419" i="5"/>
  <c r="N420" i="5"/>
  <c r="K918" i="3"/>
  <c r="L499" i="5"/>
  <c r="K389" i="3"/>
  <c r="I65" i="5"/>
  <c r="I64" i="5" s="1"/>
  <c r="I63" i="5" s="1"/>
  <c r="I62" i="5" s="1"/>
  <c r="I61" i="5" s="1"/>
  <c r="I60" i="5" s="1"/>
  <c r="I66" i="5" s="1"/>
  <c r="H841" i="3"/>
  <c r="H840" i="3" s="1"/>
  <c r="H839" i="3" s="1"/>
  <c r="H838" i="3" s="1"/>
  <c r="K65" i="5"/>
  <c r="K64" i="5" s="1"/>
  <c r="K63" i="5" s="1"/>
  <c r="K62" i="5" s="1"/>
  <c r="K61" i="5" s="1"/>
  <c r="K60" i="5" s="1"/>
  <c r="K66" i="5" s="1"/>
  <c r="J841" i="3"/>
  <c r="J840" i="3" s="1"/>
  <c r="J839" i="3" s="1"/>
  <c r="J838" i="3" s="1"/>
  <c r="L481" i="5"/>
  <c r="K374" i="3"/>
  <c r="J65" i="5"/>
  <c r="J64" i="5" s="1"/>
  <c r="J63" i="5" s="1"/>
  <c r="J62" i="5" s="1"/>
  <c r="J61" i="5" s="1"/>
  <c r="J60" i="5" s="1"/>
  <c r="J66" i="5" s="1"/>
  <c r="I841" i="3"/>
  <c r="I840" i="3" s="1"/>
  <c r="I839" i="3" s="1"/>
  <c r="I838" i="3" s="1"/>
  <c r="L333" i="5"/>
  <c r="L728" i="4"/>
  <c r="L727" i="4" s="1"/>
  <c r="K728" i="4"/>
  <c r="K727" i="4" s="1"/>
  <c r="J728" i="4"/>
  <c r="J727" i="4" s="1"/>
  <c r="I728" i="4"/>
  <c r="I727" i="4" s="1"/>
  <c r="G728" i="4"/>
  <c r="G727" i="4" s="1"/>
  <c r="K249" i="3" l="1"/>
  <c r="M250" i="3"/>
  <c r="K373" i="3"/>
  <c r="M374" i="3"/>
  <c r="K916" i="3"/>
  <c r="M916" i="3" s="1"/>
  <c r="M918" i="3"/>
  <c r="K388" i="3"/>
  <c r="M389" i="3"/>
  <c r="I14" i="2"/>
  <c r="K14" i="2" s="1"/>
  <c r="M13" i="3"/>
  <c r="I44" i="2"/>
  <c r="K44" i="2" s="1"/>
  <c r="M805" i="3"/>
  <c r="K278" i="3"/>
  <c r="M279" i="3"/>
  <c r="I15" i="2"/>
  <c r="K15" i="2" s="1"/>
  <c r="M21" i="3"/>
  <c r="M208" i="3"/>
  <c r="I21" i="2"/>
  <c r="K207" i="3"/>
  <c r="M207" i="3" s="1"/>
  <c r="N279" i="5"/>
  <c r="L152" i="5"/>
  <c r="N173" i="5"/>
  <c r="L363" i="5"/>
  <c r="N364" i="5"/>
  <c r="L621" i="5"/>
  <c r="N622" i="5"/>
  <c r="L108" i="5"/>
  <c r="N109" i="5"/>
  <c r="L394" i="5"/>
  <c r="N395" i="5"/>
  <c r="L332" i="5"/>
  <c r="N332" i="5" s="1"/>
  <c r="N333" i="5"/>
  <c r="L480" i="5"/>
  <c r="N481" i="5"/>
  <c r="N419" i="5"/>
  <c r="L455" i="5"/>
  <c r="N455" i="5" s="1"/>
  <c r="N598" i="5"/>
  <c r="L597" i="5"/>
  <c r="L232" i="5"/>
  <c r="N233" i="5"/>
  <c r="L286" i="5"/>
  <c r="N287" i="5"/>
  <c r="L498" i="5"/>
  <c r="N499" i="5"/>
  <c r="L100" i="5"/>
  <c r="N101" i="5"/>
  <c r="N302" i="5"/>
  <c r="L301" i="5"/>
  <c r="L60" i="5"/>
  <c r="N61" i="5"/>
  <c r="L123" i="5"/>
  <c r="N124" i="5"/>
  <c r="L44" i="5"/>
  <c r="N45" i="5"/>
  <c r="L271" i="5"/>
  <c r="N272" i="5"/>
  <c r="L510" i="5"/>
  <c r="N510" i="5" s="1"/>
  <c r="N505" i="5"/>
  <c r="L504" i="5"/>
  <c r="N504" i="5" s="1"/>
  <c r="L293" i="5"/>
  <c r="N294" i="5"/>
  <c r="K917" i="3"/>
  <c r="M917" i="3" s="1"/>
  <c r="K915" i="3"/>
  <c r="L331" i="5" l="1"/>
  <c r="N331" i="5" s="1"/>
  <c r="L278" i="5"/>
  <c r="N278" i="5" s="1"/>
  <c r="K914" i="3"/>
  <c r="M914" i="3" s="1"/>
  <c r="M915" i="3"/>
  <c r="K387" i="3"/>
  <c r="M387" i="3" s="1"/>
  <c r="M388" i="3"/>
  <c r="K372" i="3"/>
  <c r="M373" i="3"/>
  <c r="I20" i="2"/>
  <c r="K20" i="2" s="1"/>
  <c r="K21" i="2"/>
  <c r="I30" i="2"/>
  <c r="K30" i="2" s="1"/>
  <c r="M278" i="3"/>
  <c r="I26" i="2"/>
  <c r="K26" i="2" s="1"/>
  <c r="M249" i="3"/>
  <c r="L330" i="5"/>
  <c r="L50" i="5"/>
  <c r="N50" i="5" s="1"/>
  <c r="N44" i="5"/>
  <c r="L106" i="5"/>
  <c r="N106" i="5" s="1"/>
  <c r="N100" i="5"/>
  <c r="L479" i="5"/>
  <c r="N480" i="5"/>
  <c r="L418" i="5"/>
  <c r="N418" i="5" s="1"/>
  <c r="N394" i="5"/>
  <c r="L627" i="5"/>
  <c r="N627" i="5" s="1"/>
  <c r="N621" i="5"/>
  <c r="L199" i="5"/>
  <c r="N199" i="5" s="1"/>
  <c r="N152" i="5"/>
  <c r="L299" i="5"/>
  <c r="N299" i="5" s="1"/>
  <c r="N293" i="5"/>
  <c r="L328" i="5"/>
  <c r="N328" i="5" s="1"/>
  <c r="N301" i="5"/>
  <c r="L596" i="5"/>
  <c r="N596" i="5" s="1"/>
  <c r="N597" i="5"/>
  <c r="L66" i="5"/>
  <c r="N66" i="5" s="1"/>
  <c r="N60" i="5"/>
  <c r="L292" i="5"/>
  <c r="N292" i="5" s="1"/>
  <c r="N286" i="5"/>
  <c r="L277" i="5"/>
  <c r="N277" i="5" s="1"/>
  <c r="N271" i="5"/>
  <c r="L151" i="5"/>
  <c r="N151" i="5" s="1"/>
  <c r="N123" i="5"/>
  <c r="L497" i="5"/>
  <c r="N497" i="5" s="1"/>
  <c r="N498" i="5"/>
  <c r="L238" i="5"/>
  <c r="N238" i="5" s="1"/>
  <c r="N232" i="5"/>
  <c r="N108" i="5"/>
  <c r="L122" i="5"/>
  <c r="N122" i="5" s="1"/>
  <c r="L107" i="5"/>
  <c r="N107" i="5" s="1"/>
  <c r="L393" i="5"/>
  <c r="N393" i="5" s="1"/>
  <c r="N363" i="5"/>
  <c r="L362" i="5"/>
  <c r="N362" i="5" s="1"/>
  <c r="M780" i="4"/>
  <c r="M871" i="4"/>
  <c r="I49" i="2" l="1"/>
  <c r="K49" i="2" s="1"/>
  <c r="K963" i="3"/>
  <c r="O871" i="4"/>
  <c r="K681" i="3"/>
  <c r="K680" i="3" s="1"/>
  <c r="M680" i="3" s="1"/>
  <c r="O780" i="4"/>
  <c r="K962" i="3"/>
  <c r="M962" i="3" s="1"/>
  <c r="M963" i="3"/>
  <c r="K363" i="3"/>
  <c r="M363" i="3" s="1"/>
  <c r="M372" i="3"/>
  <c r="N479" i="5"/>
  <c r="L470" i="5"/>
  <c r="L329" i="5"/>
  <c r="N330" i="5"/>
  <c r="K430" i="3"/>
  <c r="M39" i="4"/>
  <c r="O39" i="4" s="1"/>
  <c r="M681" i="3" l="1"/>
  <c r="K429" i="3"/>
  <c r="M429" i="3" s="1"/>
  <c r="M430" i="3"/>
  <c r="L469" i="5"/>
  <c r="N470" i="5"/>
  <c r="N329" i="5"/>
  <c r="L335" i="5"/>
  <c r="N335" i="5" s="1"/>
  <c r="L352" i="5"/>
  <c r="N352" i="5" s="1"/>
  <c r="M1093" i="4"/>
  <c r="O1093" i="4" s="1"/>
  <c r="M1064" i="4"/>
  <c r="O1064" i="4" s="1"/>
  <c r="M883" i="4"/>
  <c r="O883" i="4" s="1"/>
  <c r="K53" i="3"/>
  <c r="M1133" i="4"/>
  <c r="K972" i="3"/>
  <c r="M1115" i="4"/>
  <c r="M1110" i="4"/>
  <c r="M1105" i="4"/>
  <c r="O1105" i="4" s="1"/>
  <c r="M1103" i="4"/>
  <c r="O1103" i="4" s="1"/>
  <c r="M1097" i="4"/>
  <c r="O1097" i="4" s="1"/>
  <c r="M1095" i="4"/>
  <c r="O1095" i="4" s="1"/>
  <c r="M1087" i="4"/>
  <c r="M1073" i="4"/>
  <c r="M1066" i="4"/>
  <c r="O1066" i="4" s="1"/>
  <c r="M1061" i="4"/>
  <c r="M1057" i="4"/>
  <c r="O1057" i="4" s="1"/>
  <c r="M1055" i="4"/>
  <c r="O1055" i="4" s="1"/>
  <c r="M1044" i="4"/>
  <c r="M1041" i="4"/>
  <c r="M1037" i="4"/>
  <c r="M1034" i="4"/>
  <c r="M1031" i="4"/>
  <c r="M1028" i="4"/>
  <c r="M1023" i="4"/>
  <c r="M1019" i="4"/>
  <c r="M1016" i="4"/>
  <c r="M1013" i="4"/>
  <c r="M1010" i="4"/>
  <c r="O1010" i="4" s="1"/>
  <c r="M1001" i="4"/>
  <c r="M996" i="4"/>
  <c r="M993" i="4"/>
  <c r="M978" i="4"/>
  <c r="M972" i="4"/>
  <c r="O972" i="4" s="1"/>
  <c r="M970" i="4"/>
  <c r="O970" i="4" s="1"/>
  <c r="M966" i="4"/>
  <c r="M961" i="4"/>
  <c r="M958" i="4"/>
  <c r="M953" i="4"/>
  <c r="M950" i="4"/>
  <c r="M944" i="4"/>
  <c r="M934" i="4"/>
  <c r="M931" i="4"/>
  <c r="M928" i="4"/>
  <c r="M919" i="4"/>
  <c r="O919" i="4" s="1"/>
  <c r="M917" i="4"/>
  <c r="M923" i="4"/>
  <c r="M913" i="4"/>
  <c r="M907" i="4"/>
  <c r="O907" i="4" s="1"/>
  <c r="M899" i="4"/>
  <c r="M892" i="4"/>
  <c r="M885" i="4"/>
  <c r="O885" i="4" s="1"/>
  <c r="M881" i="4"/>
  <c r="O881" i="4" s="1"/>
  <c r="M877" i="4"/>
  <c r="M870" i="4"/>
  <c r="O870" i="4" s="1"/>
  <c r="K961" i="3"/>
  <c r="M866" i="4"/>
  <c r="O866" i="4" s="1"/>
  <c r="M862" i="4"/>
  <c r="O862" i="4" s="1"/>
  <c r="M860" i="4"/>
  <c r="O860" i="4" s="1"/>
  <c r="M853" i="4"/>
  <c r="M847" i="4"/>
  <c r="O847" i="4" s="1"/>
  <c r="M846" i="4"/>
  <c r="M838" i="4"/>
  <c r="M835" i="4"/>
  <c r="M832" i="4"/>
  <c r="M829" i="4"/>
  <c r="M826" i="4"/>
  <c r="M819" i="4"/>
  <c r="M813" i="4"/>
  <c r="M808" i="4"/>
  <c r="M805" i="4"/>
  <c r="M802" i="4"/>
  <c r="M799" i="4"/>
  <c r="M796" i="4"/>
  <c r="M793" i="4"/>
  <c r="M779" i="4"/>
  <c r="O779" i="4" s="1"/>
  <c r="M772" i="4"/>
  <c r="M769" i="4"/>
  <c r="O769" i="4" s="1"/>
  <c r="M766" i="4"/>
  <c r="O766" i="4" s="1"/>
  <c r="M761" i="4"/>
  <c r="O761" i="4" s="1"/>
  <c r="M759" i="4"/>
  <c r="O759" i="4" s="1"/>
  <c r="M757" i="4"/>
  <c r="O757" i="4" s="1"/>
  <c r="K649" i="3"/>
  <c r="M745" i="4"/>
  <c r="M739" i="4"/>
  <c r="M736" i="4"/>
  <c r="M733" i="4"/>
  <c r="M725" i="4"/>
  <c r="O725" i="4" s="1"/>
  <c r="M721" i="4"/>
  <c r="K568" i="3"/>
  <c r="M707" i="4"/>
  <c r="O707" i="4" s="1"/>
  <c r="M701" i="4"/>
  <c r="O701" i="4" s="1"/>
  <c r="M698" i="4"/>
  <c r="O698" i="4" s="1"/>
  <c r="M695" i="4"/>
  <c r="M691" i="4"/>
  <c r="M688" i="4"/>
  <c r="M683" i="4"/>
  <c r="M680" i="4"/>
  <c r="M677" i="4"/>
  <c r="M674" i="4"/>
  <c r="M671" i="4"/>
  <c r="M665" i="4"/>
  <c r="M662" i="4"/>
  <c r="M659" i="4"/>
  <c r="M656" i="4"/>
  <c r="M652" i="4"/>
  <c r="M647" i="4"/>
  <c r="K488" i="3"/>
  <c r="M635" i="4"/>
  <c r="O635" i="4" s="1"/>
  <c r="M631" i="4"/>
  <c r="M620" i="4"/>
  <c r="M617" i="4"/>
  <c r="M614" i="4"/>
  <c r="M611" i="4"/>
  <c r="M608" i="4"/>
  <c r="M605" i="4"/>
  <c r="M601" i="4"/>
  <c r="M590" i="4"/>
  <c r="M575" i="4"/>
  <c r="M569" i="4"/>
  <c r="M566" i="4"/>
  <c r="M562" i="4"/>
  <c r="M551" i="4"/>
  <c r="K40" i="3"/>
  <c r="M537" i="4"/>
  <c r="O537" i="4" s="1"/>
  <c r="M535" i="4"/>
  <c r="O535" i="4" s="1"/>
  <c r="M533" i="4"/>
  <c r="O533" i="4" s="1"/>
  <c r="M525" i="4"/>
  <c r="M521" i="4"/>
  <c r="O521" i="4" s="1"/>
  <c r="M517" i="4"/>
  <c r="M514" i="4"/>
  <c r="M509" i="4"/>
  <c r="M505" i="4"/>
  <c r="O505" i="4" s="1"/>
  <c r="M503" i="4"/>
  <c r="O503" i="4" s="1"/>
  <c r="M500" i="4"/>
  <c r="M497" i="4"/>
  <c r="M491" i="4"/>
  <c r="M488" i="4"/>
  <c r="M483" i="4"/>
  <c r="M479" i="4"/>
  <c r="O479" i="4" s="1"/>
  <c r="M473" i="4"/>
  <c r="M469" i="4"/>
  <c r="M466" i="4"/>
  <c r="M462" i="4"/>
  <c r="O462" i="4" s="1"/>
  <c r="M451" i="4"/>
  <c r="O451" i="4" s="1"/>
  <c r="M449" i="4"/>
  <c r="O449" i="4" s="1"/>
  <c r="M443" i="4"/>
  <c r="O443" i="4" s="1"/>
  <c r="M441" i="4"/>
  <c r="O441" i="4" s="1"/>
  <c r="M436" i="4"/>
  <c r="M429" i="4"/>
  <c r="M423" i="4"/>
  <c r="M417" i="4"/>
  <c r="M412" i="4"/>
  <c r="M409" i="4"/>
  <c r="M401" i="4"/>
  <c r="O401" i="4" s="1"/>
  <c r="M399" i="4"/>
  <c r="M397" i="4"/>
  <c r="M391" i="4"/>
  <c r="M387" i="4"/>
  <c r="M384" i="4"/>
  <c r="M381" i="4"/>
  <c r="M378" i="4"/>
  <c r="M375" i="4"/>
  <c r="M372" i="4"/>
  <c r="M369" i="4"/>
  <c r="M366" i="4"/>
  <c r="O366" i="4" s="1"/>
  <c r="M364" i="4"/>
  <c r="O364" i="4" s="1"/>
  <c r="M361" i="4"/>
  <c r="M357" i="4"/>
  <c r="O357" i="4" s="1"/>
  <c r="M355" i="4"/>
  <c r="O355" i="4" s="1"/>
  <c r="M353" i="4"/>
  <c r="O353" i="4" s="1"/>
  <c r="M350" i="4"/>
  <c r="M347" i="4"/>
  <c r="M344" i="4"/>
  <c r="M341" i="4"/>
  <c r="M338" i="4"/>
  <c r="M335" i="4"/>
  <c r="M332" i="4"/>
  <c r="M325" i="4"/>
  <c r="M316" i="4"/>
  <c r="M314" i="4"/>
  <c r="O314" i="4" s="1"/>
  <c r="M308" i="4"/>
  <c r="M305" i="4"/>
  <c r="M302" i="4"/>
  <c r="M299" i="4"/>
  <c r="M296" i="4"/>
  <c r="M293" i="4"/>
  <c r="M290" i="4"/>
  <c r="M287" i="4"/>
  <c r="M273" i="4"/>
  <c r="O273" i="4" s="1"/>
  <c r="M233" i="4"/>
  <c r="O233" i="4" s="1"/>
  <c r="M227" i="4"/>
  <c r="M222" i="4"/>
  <c r="M210" i="4"/>
  <c r="M183" i="4"/>
  <c r="M175" i="4"/>
  <c r="K220" i="3"/>
  <c r="M172" i="4"/>
  <c r="M165" i="4"/>
  <c r="M158" i="4"/>
  <c r="M153" i="4"/>
  <c r="O153" i="4" s="1"/>
  <c r="M151" i="4"/>
  <c r="O151" i="4" s="1"/>
  <c r="M145" i="4"/>
  <c r="M142" i="4"/>
  <c r="M139" i="4"/>
  <c r="M136" i="4"/>
  <c r="M132" i="4"/>
  <c r="O132" i="4" s="1"/>
  <c r="M125" i="4"/>
  <c r="M122" i="4"/>
  <c r="K167" i="3"/>
  <c r="M114" i="4"/>
  <c r="M111" i="4"/>
  <c r="O111" i="4" s="1"/>
  <c r="M109" i="4"/>
  <c r="O109" i="4" s="1"/>
  <c r="M98" i="4"/>
  <c r="M94" i="4"/>
  <c r="M90" i="4"/>
  <c r="M86" i="4"/>
  <c r="M82" i="4"/>
  <c r="M77" i="4"/>
  <c r="M72" i="4"/>
  <c r="O72" i="4" s="1"/>
  <c r="M60" i="4"/>
  <c r="K61" i="3"/>
  <c r="M50" i="4"/>
  <c r="O50" i="4" s="1"/>
  <c r="M41" i="4"/>
  <c r="M38" i="4"/>
  <c r="O38" i="4" s="1"/>
  <c r="M36" i="4"/>
  <c r="O36" i="4" s="1"/>
  <c r="M26" i="4"/>
  <c r="M21" i="4"/>
  <c r="O21" i="4" s="1"/>
  <c r="M19" i="4"/>
  <c r="O19" i="4" s="1"/>
  <c r="M17" i="4"/>
  <c r="O17" i="4" s="1"/>
  <c r="M124" i="4" l="1"/>
  <c r="O124" i="4" s="1"/>
  <c r="O125" i="4"/>
  <c r="M174" i="4"/>
  <c r="O174" i="4" s="1"/>
  <c r="O175" i="4"/>
  <c r="M226" i="4"/>
  <c r="O227" i="4"/>
  <c r="M315" i="4"/>
  <c r="O315" i="4" s="1"/>
  <c r="O316" i="4"/>
  <c r="M337" i="4"/>
  <c r="O337" i="4" s="1"/>
  <c r="O338" i="4"/>
  <c r="M371" i="4"/>
  <c r="O371" i="4" s="1"/>
  <c r="O372" i="4"/>
  <c r="M383" i="4"/>
  <c r="O383" i="4" s="1"/>
  <c r="O384" i="4"/>
  <c r="M496" i="4"/>
  <c r="O496" i="4" s="1"/>
  <c r="O497" i="4"/>
  <c r="M604" i="4"/>
  <c r="O604" i="4" s="1"/>
  <c r="O605" i="4"/>
  <c r="M658" i="4"/>
  <c r="O658" i="4" s="1"/>
  <c r="O659" i="4"/>
  <c r="M818" i="4"/>
  <c r="O818" i="4" s="1"/>
  <c r="O819" i="4"/>
  <c r="M856" i="4"/>
  <c r="K948" i="3" s="1"/>
  <c r="O853" i="4"/>
  <c r="M927" i="4"/>
  <c r="O927" i="4" s="1"/>
  <c r="O928" i="4"/>
  <c r="M949" i="4"/>
  <c r="O949" i="4" s="1"/>
  <c r="O950" i="4"/>
  <c r="M965" i="4"/>
  <c r="O965" i="4" s="1"/>
  <c r="O966" i="4"/>
  <c r="M992" i="4"/>
  <c r="O992" i="4" s="1"/>
  <c r="O993" i="4"/>
  <c r="M1012" i="4"/>
  <c r="O1012" i="4" s="1"/>
  <c r="O1013" i="4"/>
  <c r="M1027" i="4"/>
  <c r="O1027" i="4" s="1"/>
  <c r="O1028" i="4"/>
  <c r="M1040" i="4"/>
  <c r="O1040" i="4" s="1"/>
  <c r="O1041" i="4"/>
  <c r="M25" i="4"/>
  <c r="O26" i="4"/>
  <c r="M76" i="4"/>
  <c r="O76" i="4" s="1"/>
  <c r="O77" i="4"/>
  <c r="M93" i="4"/>
  <c r="O94" i="4"/>
  <c r="M113" i="4"/>
  <c r="O113" i="4" s="1"/>
  <c r="O114" i="4"/>
  <c r="M144" i="4"/>
  <c r="O144" i="4" s="1"/>
  <c r="O145" i="4"/>
  <c r="M164" i="4"/>
  <c r="O165" i="4"/>
  <c r="M182" i="4"/>
  <c r="O182" i="4" s="1"/>
  <c r="O183" i="4"/>
  <c r="M292" i="4"/>
  <c r="O292" i="4" s="1"/>
  <c r="O293" i="4"/>
  <c r="M304" i="4"/>
  <c r="O304" i="4" s="1"/>
  <c r="O305" i="4"/>
  <c r="M324" i="4"/>
  <c r="O325" i="4"/>
  <c r="M340" i="4"/>
  <c r="O340" i="4" s="1"/>
  <c r="O341" i="4"/>
  <c r="M374" i="4"/>
  <c r="O374" i="4" s="1"/>
  <c r="O375" i="4"/>
  <c r="M386" i="4"/>
  <c r="O386" i="4" s="1"/>
  <c r="O387" i="4"/>
  <c r="M422" i="4"/>
  <c r="O422" i="4" s="1"/>
  <c r="O423" i="4"/>
  <c r="M465" i="4"/>
  <c r="O466" i="4"/>
  <c r="M482" i="4"/>
  <c r="O483" i="4"/>
  <c r="M499" i="4"/>
  <c r="O499" i="4" s="1"/>
  <c r="O500" i="4"/>
  <c r="M513" i="4"/>
  <c r="O513" i="4" s="1"/>
  <c r="O514" i="4"/>
  <c r="M550" i="4"/>
  <c r="O550" i="4" s="1"/>
  <c r="O551" i="4"/>
  <c r="M574" i="4"/>
  <c r="O575" i="4"/>
  <c r="M607" i="4"/>
  <c r="O607" i="4" s="1"/>
  <c r="O608" i="4"/>
  <c r="M619" i="4"/>
  <c r="O619" i="4" s="1"/>
  <c r="O620" i="4"/>
  <c r="M646" i="4"/>
  <c r="O647" i="4"/>
  <c r="M661" i="4"/>
  <c r="O661" i="4" s="1"/>
  <c r="O662" i="4"/>
  <c r="M676" i="4"/>
  <c r="O676" i="4" s="1"/>
  <c r="O677" i="4"/>
  <c r="M690" i="4"/>
  <c r="O690" i="4" s="1"/>
  <c r="O691" i="4"/>
  <c r="M732" i="4"/>
  <c r="O732" i="4" s="1"/>
  <c r="O733" i="4"/>
  <c r="M792" i="4"/>
  <c r="O792" i="4" s="1"/>
  <c r="O793" i="4"/>
  <c r="M804" i="4"/>
  <c r="O804" i="4" s="1"/>
  <c r="O805" i="4"/>
  <c r="M837" i="4"/>
  <c r="O837" i="4" s="1"/>
  <c r="O838" i="4"/>
  <c r="M891" i="4"/>
  <c r="O892" i="4"/>
  <c r="M922" i="4"/>
  <c r="O922" i="4" s="1"/>
  <c r="O923" i="4"/>
  <c r="M930" i="4"/>
  <c r="O930" i="4" s="1"/>
  <c r="O931" i="4"/>
  <c r="M952" i="4"/>
  <c r="O952" i="4" s="1"/>
  <c r="O953" i="4"/>
  <c r="M995" i="4"/>
  <c r="O995" i="4" s="1"/>
  <c r="O996" i="4"/>
  <c r="M1015" i="4"/>
  <c r="O1015" i="4" s="1"/>
  <c r="O1016" i="4"/>
  <c r="M1030" i="4"/>
  <c r="O1030" i="4" s="1"/>
  <c r="O1031" i="4"/>
  <c r="M1043" i="4"/>
  <c r="O1043" i="4" s="1"/>
  <c r="O1044" i="4"/>
  <c r="M1114" i="4"/>
  <c r="O1115" i="4"/>
  <c r="M40" i="4"/>
  <c r="O40" i="4" s="1"/>
  <c r="O41" i="4"/>
  <c r="M89" i="4"/>
  <c r="O90" i="4"/>
  <c r="M141" i="4"/>
  <c r="O141" i="4" s="1"/>
  <c r="O142" i="4"/>
  <c r="M301" i="4"/>
  <c r="O301" i="4" s="1"/>
  <c r="O302" i="4"/>
  <c r="M360" i="4"/>
  <c r="O360" i="4" s="1"/>
  <c r="O361" i="4"/>
  <c r="M416" i="4"/>
  <c r="O416" i="4" s="1"/>
  <c r="O417" i="4"/>
  <c r="M524" i="4"/>
  <c r="O525" i="4"/>
  <c r="M616" i="4"/>
  <c r="O616" i="4" s="1"/>
  <c r="O617" i="4"/>
  <c r="M834" i="4"/>
  <c r="O834" i="4" s="1"/>
  <c r="O835" i="4"/>
  <c r="M912" i="4"/>
  <c r="O913" i="4"/>
  <c r="M1060" i="4"/>
  <c r="O1060" i="4" s="1"/>
  <c r="O1061" i="4"/>
  <c r="M81" i="4"/>
  <c r="O82" i="4"/>
  <c r="M97" i="4"/>
  <c r="O98" i="4"/>
  <c r="M135" i="4"/>
  <c r="O135" i="4" s="1"/>
  <c r="O136" i="4"/>
  <c r="M171" i="4"/>
  <c r="O171" i="4" s="1"/>
  <c r="O172" i="4"/>
  <c r="M209" i="4"/>
  <c r="O209" i="4" s="1"/>
  <c r="O210" i="4"/>
  <c r="M295" i="4"/>
  <c r="O295" i="4" s="1"/>
  <c r="O296" i="4"/>
  <c r="M307" i="4"/>
  <c r="O307" i="4" s="1"/>
  <c r="O308" i="4"/>
  <c r="M331" i="4"/>
  <c r="O331" i="4" s="1"/>
  <c r="O332" i="4"/>
  <c r="M343" i="4"/>
  <c r="O343" i="4" s="1"/>
  <c r="O344" i="4"/>
  <c r="M377" i="4"/>
  <c r="O377" i="4" s="1"/>
  <c r="O378" i="4"/>
  <c r="M390" i="4"/>
  <c r="O391" i="4"/>
  <c r="M408" i="4"/>
  <c r="O409" i="4"/>
  <c r="M428" i="4"/>
  <c r="O428" i="4" s="1"/>
  <c r="O429" i="4"/>
  <c r="M468" i="4"/>
  <c r="O469" i="4"/>
  <c r="M487" i="4"/>
  <c r="O488" i="4"/>
  <c r="M516" i="4"/>
  <c r="O516" i="4" s="1"/>
  <c r="O517" i="4"/>
  <c r="M561" i="4"/>
  <c r="O562" i="4"/>
  <c r="M589" i="4"/>
  <c r="O590" i="4"/>
  <c r="M610" i="4"/>
  <c r="O610" i="4" s="1"/>
  <c r="O611" i="4"/>
  <c r="M651" i="4"/>
  <c r="O652" i="4"/>
  <c r="M664" i="4"/>
  <c r="O664" i="4" s="1"/>
  <c r="O665" i="4"/>
  <c r="M679" i="4"/>
  <c r="O679" i="4" s="1"/>
  <c r="O680" i="4"/>
  <c r="M694" i="4"/>
  <c r="O695" i="4"/>
  <c r="M735" i="4"/>
  <c r="O735" i="4" s="1"/>
  <c r="O736" i="4"/>
  <c r="M795" i="4"/>
  <c r="O795" i="4" s="1"/>
  <c r="O796" i="4"/>
  <c r="M807" i="4"/>
  <c r="O807" i="4" s="1"/>
  <c r="O808" i="4"/>
  <c r="M845" i="4"/>
  <c r="O845" i="4" s="1"/>
  <c r="O1164" i="4" s="1"/>
  <c r="O846" i="4"/>
  <c r="M876" i="4"/>
  <c r="O876" i="4" s="1"/>
  <c r="O877" i="4"/>
  <c r="M898" i="4"/>
  <c r="O899" i="4"/>
  <c r="M916" i="4"/>
  <c r="O916" i="4" s="1"/>
  <c r="O917" i="4"/>
  <c r="M933" i="4"/>
  <c r="O933" i="4" s="1"/>
  <c r="O934" i="4"/>
  <c r="M957" i="4"/>
  <c r="O957" i="4" s="1"/>
  <c r="O958" i="4"/>
  <c r="M1000" i="4"/>
  <c r="O1000" i="4" s="1"/>
  <c r="O1001" i="4"/>
  <c r="M1018" i="4"/>
  <c r="O1018" i="4" s="1"/>
  <c r="O1019" i="4"/>
  <c r="M1033" i="4"/>
  <c r="O1033" i="4" s="1"/>
  <c r="O1034" i="4"/>
  <c r="M1072" i="4"/>
  <c r="O1073" i="4"/>
  <c r="M157" i="4"/>
  <c r="O157" i="4" s="1"/>
  <c r="O158" i="4"/>
  <c r="M289" i="4"/>
  <c r="O289" i="4" s="1"/>
  <c r="O290" i="4"/>
  <c r="M349" i="4"/>
  <c r="O349" i="4" s="1"/>
  <c r="O350" i="4"/>
  <c r="M398" i="4"/>
  <c r="O398" i="4" s="1"/>
  <c r="O399" i="4"/>
  <c r="M508" i="4"/>
  <c r="O509" i="4"/>
  <c r="M568" i="4"/>
  <c r="O568" i="4" s="1"/>
  <c r="O569" i="4"/>
  <c r="M673" i="4"/>
  <c r="O673" i="4" s="1"/>
  <c r="O674" i="4"/>
  <c r="M687" i="4"/>
  <c r="O687" i="4" s="1"/>
  <c r="O688" i="4"/>
  <c r="M744" i="4"/>
  <c r="O745" i="4"/>
  <c r="M801" i="4"/>
  <c r="O801" i="4" s="1"/>
  <c r="O802" i="4"/>
  <c r="M1109" i="4"/>
  <c r="O1110" i="4"/>
  <c r="M57" i="4"/>
  <c r="O60" i="4"/>
  <c r="M85" i="4"/>
  <c r="O86" i="4"/>
  <c r="M121" i="4"/>
  <c r="O121" i="4" s="1"/>
  <c r="O122" i="4"/>
  <c r="M138" i="4"/>
  <c r="O138" i="4" s="1"/>
  <c r="O139" i="4"/>
  <c r="M221" i="4"/>
  <c r="O222" i="4"/>
  <c r="M286" i="4"/>
  <c r="O286" i="4" s="1"/>
  <c r="O287" i="4"/>
  <c r="M298" i="4"/>
  <c r="O298" i="4" s="1"/>
  <c r="O299" i="4"/>
  <c r="M334" i="4"/>
  <c r="O334" i="4" s="1"/>
  <c r="O335" i="4"/>
  <c r="M346" i="4"/>
  <c r="O346" i="4" s="1"/>
  <c r="O347" i="4"/>
  <c r="M368" i="4"/>
  <c r="O368" i="4" s="1"/>
  <c r="O369" i="4"/>
  <c r="M380" i="4"/>
  <c r="O380" i="4" s="1"/>
  <c r="O381" i="4"/>
  <c r="M396" i="4"/>
  <c r="O396" i="4" s="1"/>
  <c r="O397" i="4"/>
  <c r="M411" i="4"/>
  <c r="O411" i="4" s="1"/>
  <c r="O412" i="4"/>
  <c r="M435" i="4"/>
  <c r="O436" i="4"/>
  <c r="M472" i="4"/>
  <c r="O473" i="4"/>
  <c r="M490" i="4"/>
  <c r="O490" i="4" s="1"/>
  <c r="O491" i="4"/>
  <c r="M565" i="4"/>
  <c r="O565" i="4" s="1"/>
  <c r="O566" i="4"/>
  <c r="M600" i="4"/>
  <c r="O601" i="4"/>
  <c r="M613" i="4"/>
  <c r="O613" i="4" s="1"/>
  <c r="O614" i="4"/>
  <c r="M655" i="4"/>
  <c r="O655" i="4" s="1"/>
  <c r="O656" i="4"/>
  <c r="M670" i="4"/>
  <c r="O670" i="4" s="1"/>
  <c r="O671" i="4"/>
  <c r="M682" i="4"/>
  <c r="O682" i="4" s="1"/>
  <c r="O683" i="4"/>
  <c r="M720" i="4"/>
  <c r="O721" i="4"/>
  <c r="M738" i="4"/>
  <c r="O738" i="4" s="1"/>
  <c r="O739" i="4"/>
  <c r="M771" i="4"/>
  <c r="O771" i="4" s="1"/>
  <c r="O772" i="4"/>
  <c r="M798" i="4"/>
  <c r="O798" i="4" s="1"/>
  <c r="O799" i="4"/>
  <c r="M812" i="4"/>
  <c r="O812" i="4" s="1"/>
  <c r="O813" i="4"/>
  <c r="M943" i="4"/>
  <c r="O943" i="4" s="1"/>
  <c r="O944" i="4"/>
  <c r="M960" i="4"/>
  <c r="O960" i="4" s="1"/>
  <c r="O961" i="4"/>
  <c r="M975" i="4"/>
  <c r="O975" i="4" s="1"/>
  <c r="O978" i="4"/>
  <c r="M1022" i="4"/>
  <c r="O1023" i="4"/>
  <c r="M1036" i="4"/>
  <c r="O1036" i="4" s="1"/>
  <c r="O1037" i="4"/>
  <c r="M1085" i="4"/>
  <c r="O1087" i="4"/>
  <c r="M1128" i="4"/>
  <c r="O1133" i="4"/>
  <c r="K39" i="3"/>
  <c r="M39" i="3" s="1"/>
  <c r="M40" i="3"/>
  <c r="K960" i="3"/>
  <c r="M961" i="3"/>
  <c r="K52" i="3"/>
  <c r="M53" i="3"/>
  <c r="K219" i="3"/>
  <c r="M220" i="3"/>
  <c r="K487" i="3"/>
  <c r="M488" i="3"/>
  <c r="K648" i="3"/>
  <c r="M649" i="3"/>
  <c r="K60" i="3"/>
  <c r="M61" i="3"/>
  <c r="K166" i="3"/>
  <c r="M167" i="3"/>
  <c r="K567" i="3"/>
  <c r="M568" i="3"/>
  <c r="K971" i="3"/>
  <c r="M972" i="3"/>
  <c r="L468" i="5"/>
  <c r="N469" i="5"/>
  <c r="M825" i="4"/>
  <c r="O826" i="4"/>
  <c r="M828" i="4"/>
  <c r="O828" i="4" s="1"/>
  <c r="O829" i="4"/>
  <c r="M831" i="4"/>
  <c r="O831" i="4" s="1"/>
  <c r="O832" i="4"/>
  <c r="M630" i="4"/>
  <c r="O630" i="4" s="1"/>
  <c r="O631" i="4"/>
  <c r="M603" i="4"/>
  <c r="O603" i="4" s="1"/>
  <c r="M1039" i="4"/>
  <c r="O1039" i="4" s="1"/>
  <c r="M119" i="4"/>
  <c r="M915" i="4"/>
  <c r="M272" i="4"/>
  <c r="M363" i="4"/>
  <c r="M643" i="4"/>
  <c r="M758" i="4"/>
  <c r="O758" i="4" s="1"/>
  <c r="M352" i="4"/>
  <c r="M532" i="4"/>
  <c r="M859" i="4"/>
  <c r="M969" i="4"/>
  <c r="M65" i="4"/>
  <c r="L244" i="5"/>
  <c r="K78" i="3"/>
  <c r="M150" i="4"/>
  <c r="O150" i="4" s="1"/>
  <c r="K189" i="3"/>
  <c r="M155" i="4"/>
  <c r="K194" i="3"/>
  <c r="M178" i="4"/>
  <c r="O178" i="4" s="1"/>
  <c r="K226" i="3"/>
  <c r="M215" i="4"/>
  <c r="O215" i="4" s="1"/>
  <c r="K276" i="3"/>
  <c r="M238" i="4"/>
  <c r="O238" i="4" s="1"/>
  <c r="K902" i="3"/>
  <c r="M313" i="4"/>
  <c r="K632" i="3"/>
  <c r="M319" i="4"/>
  <c r="K638" i="3"/>
  <c r="M403" i="4"/>
  <c r="K764" i="3"/>
  <c r="M764" i="3" s="1"/>
  <c r="M440" i="4"/>
  <c r="M447" i="4"/>
  <c r="K799" i="3"/>
  <c r="K823" i="3"/>
  <c r="L35" i="5"/>
  <c r="L42" i="5"/>
  <c r="K827" i="3"/>
  <c r="M477" i="4"/>
  <c r="L56" i="5"/>
  <c r="N56" i="5" s="1"/>
  <c r="K835" i="3"/>
  <c r="L72" i="5"/>
  <c r="K845" i="3"/>
  <c r="L81" i="5"/>
  <c r="K851" i="3"/>
  <c r="M520" i="4"/>
  <c r="K896" i="3"/>
  <c r="M637" i="4"/>
  <c r="K482" i="3"/>
  <c r="M700" i="4"/>
  <c r="K553" i="3"/>
  <c r="M706" i="4"/>
  <c r="K559" i="3"/>
  <c r="M712" i="4"/>
  <c r="K565" i="3"/>
  <c r="M724" i="4"/>
  <c r="K578" i="3"/>
  <c r="L557" i="5"/>
  <c r="K654" i="3"/>
  <c r="M777" i="4"/>
  <c r="O777" i="4" s="1"/>
  <c r="K679" i="3"/>
  <c r="M851" i="4"/>
  <c r="M868" i="4"/>
  <c r="M906" i="4"/>
  <c r="O906" i="4" s="1"/>
  <c r="L19" i="5"/>
  <c r="K261" i="3"/>
  <c r="M947" i="4"/>
  <c r="L545" i="5"/>
  <c r="K320" i="3"/>
  <c r="M1008" i="4"/>
  <c r="L491" i="5"/>
  <c r="K381" i="3"/>
  <c r="M16" i="4"/>
  <c r="M34" i="4"/>
  <c r="K36" i="3"/>
  <c r="N36" i="3" s="1"/>
  <c r="P36" i="3" s="1"/>
  <c r="M49" i="4"/>
  <c r="M69" i="4"/>
  <c r="L257" i="5"/>
  <c r="K82" i="3"/>
  <c r="M74" i="4"/>
  <c r="L262" i="5"/>
  <c r="K87" i="3"/>
  <c r="M130" i="4"/>
  <c r="K175" i="3"/>
  <c r="M148" i="4"/>
  <c r="O148" i="4" s="1"/>
  <c r="K187" i="3"/>
  <c r="M180" i="4"/>
  <c r="O180" i="4" s="1"/>
  <c r="K228" i="3"/>
  <c r="M200" i="4"/>
  <c r="K248" i="3"/>
  <c r="M213" i="4"/>
  <c r="O213" i="4" s="1"/>
  <c r="K274" i="3"/>
  <c r="M232" i="4"/>
  <c r="K876" i="3"/>
  <c r="M240" i="4"/>
  <c r="O240" i="4" s="1"/>
  <c r="K904" i="3"/>
  <c r="M406" i="4"/>
  <c r="K767" i="3"/>
  <c r="M460" i="4"/>
  <c r="K818" i="3"/>
  <c r="L29" i="5"/>
  <c r="K38" i="3"/>
  <c r="M634" i="4"/>
  <c r="K479" i="3"/>
  <c r="M640" i="4"/>
  <c r="K485" i="3"/>
  <c r="M697" i="4"/>
  <c r="K550" i="3"/>
  <c r="M703" i="4"/>
  <c r="K556" i="3"/>
  <c r="M709" i="4"/>
  <c r="K562" i="3"/>
  <c r="M715" i="4"/>
  <c r="M751" i="4"/>
  <c r="M756" i="4"/>
  <c r="M768" i="4"/>
  <c r="K666" i="3"/>
  <c r="M775" i="4"/>
  <c r="O775" i="4" s="1"/>
  <c r="K677" i="3"/>
  <c r="M816" i="4"/>
  <c r="K635" i="3"/>
  <c r="M1102" i="4"/>
  <c r="M502" i="4"/>
  <c r="M1164" i="4"/>
  <c r="M1063" i="4"/>
  <c r="M108" i="4"/>
  <c r="O108" i="4" s="1"/>
  <c r="M564" i="4"/>
  <c r="M880" i="4"/>
  <c r="M1092" i="4"/>
  <c r="M956" i="4"/>
  <c r="O956" i="4" s="1"/>
  <c r="M875" i="4"/>
  <c r="O875" i="4" s="1"/>
  <c r="L387" i="4"/>
  <c r="L386" i="4" s="1"/>
  <c r="K387" i="4"/>
  <c r="K386" i="4" s="1"/>
  <c r="J387" i="4"/>
  <c r="J386" i="4" s="1"/>
  <c r="I387" i="4"/>
  <c r="I386" i="4" s="1"/>
  <c r="G387" i="4"/>
  <c r="G386" i="4" s="1"/>
  <c r="J450" i="4"/>
  <c r="H801" i="3" s="1"/>
  <c r="H800" i="3" s="1"/>
  <c r="H797" i="3" s="1"/>
  <c r="H796" i="3" s="1"/>
  <c r="H789" i="3" s="1"/>
  <c r="H774" i="3" s="1"/>
  <c r="F42" i="2" s="1"/>
  <c r="K173" i="4"/>
  <c r="I220" i="3" s="1"/>
  <c r="I219" i="3" s="1"/>
  <c r="I218" i="3" s="1"/>
  <c r="J173" i="4"/>
  <c r="H220" i="3" s="1"/>
  <c r="H219" i="3" s="1"/>
  <c r="H218" i="3" s="1"/>
  <c r="J1062" i="4"/>
  <c r="H434" i="3" s="1"/>
  <c r="H433" i="3" s="1"/>
  <c r="H432" i="3" s="1"/>
  <c r="H431" i="3" s="1"/>
  <c r="L1132" i="4"/>
  <c r="J972" i="3" s="1"/>
  <c r="J971" i="3" s="1"/>
  <c r="J968" i="3" s="1"/>
  <c r="J967" i="3" s="1"/>
  <c r="J966" i="3" s="1"/>
  <c r="J965" i="3" s="1"/>
  <c r="K1132" i="4"/>
  <c r="I972" i="3" s="1"/>
  <c r="I971" i="3" s="1"/>
  <c r="I968" i="3" s="1"/>
  <c r="I967" i="3" s="1"/>
  <c r="I966" i="3" s="1"/>
  <c r="I965" i="3" s="1"/>
  <c r="L450" i="4"/>
  <c r="J801" i="3" s="1"/>
  <c r="J800" i="3" s="1"/>
  <c r="J797" i="3" s="1"/>
  <c r="J796" i="3" s="1"/>
  <c r="K450" i="4"/>
  <c r="I801" i="3" s="1"/>
  <c r="I800" i="3" s="1"/>
  <c r="I797" i="3" s="1"/>
  <c r="I796" i="3" s="1"/>
  <c r="M791" i="4" l="1"/>
  <c r="L360" i="5"/>
  <c r="N360" i="5" s="1"/>
  <c r="M991" i="4"/>
  <c r="O991" i="4" s="1"/>
  <c r="M395" i="4"/>
  <c r="O395" i="4" s="1"/>
  <c r="M285" i="4"/>
  <c r="M415" i="4"/>
  <c r="O415" i="4" s="1"/>
  <c r="M1026" i="4"/>
  <c r="O1026" i="4" s="1"/>
  <c r="O1152" i="4" s="1"/>
  <c r="M731" i="4"/>
  <c r="M730" i="4" s="1"/>
  <c r="O730" i="4" s="1"/>
  <c r="M844" i="4"/>
  <c r="O844" i="4" s="1"/>
  <c r="M654" i="4"/>
  <c r="O654" i="4" s="1"/>
  <c r="M549" i="4"/>
  <c r="M544" i="4" s="1"/>
  <c r="M1091" i="4"/>
  <c r="O1092" i="4"/>
  <c r="M750" i="4"/>
  <c r="O751" i="4"/>
  <c r="M633" i="4"/>
  <c r="O633" i="4" s="1"/>
  <c r="O634" i="4"/>
  <c r="M129" i="4"/>
  <c r="O129" i="4" s="1"/>
  <c r="O130" i="4"/>
  <c r="M865" i="4"/>
  <c r="O868" i="4"/>
  <c r="M531" i="4"/>
  <c r="O532" i="4"/>
  <c r="M642" i="4"/>
  <c r="O642" i="4" s="1"/>
  <c r="O643" i="4"/>
  <c r="M33" i="4"/>
  <c r="O34" i="4"/>
  <c r="M723" i="4"/>
  <c r="O723" i="4" s="1"/>
  <c r="O724" i="4"/>
  <c r="M705" i="4"/>
  <c r="O705" i="4" s="1"/>
  <c r="O706" i="4"/>
  <c r="M636" i="4"/>
  <c r="O636" i="4" s="1"/>
  <c r="O637" i="4"/>
  <c r="M439" i="4"/>
  <c r="O439" i="4" s="1"/>
  <c r="O440" i="4"/>
  <c r="M318" i="4"/>
  <c r="O318" i="4" s="1"/>
  <c r="O319" i="4"/>
  <c r="M64" i="4"/>
  <c r="O65" i="4"/>
  <c r="M330" i="4"/>
  <c r="O330" i="4" s="1"/>
  <c r="O352" i="4"/>
  <c r="M359" i="4"/>
  <c r="O359" i="4" s="1"/>
  <c r="O363" i="4"/>
  <c r="M118" i="4"/>
  <c r="O118" i="4" s="1"/>
  <c r="O119" i="4"/>
  <c r="M1127" i="4"/>
  <c r="O1128" i="4"/>
  <c r="M599" i="4"/>
  <c r="O600" i="4"/>
  <c r="M434" i="4"/>
  <c r="O434" i="4" s="1"/>
  <c r="O435" i="4"/>
  <c r="M84" i="4"/>
  <c r="O84" i="4" s="1"/>
  <c r="O85" i="4"/>
  <c r="M1108" i="4"/>
  <c r="O1109" i="4"/>
  <c r="M743" i="4"/>
  <c r="O744" i="4"/>
  <c r="M507" i="4"/>
  <c r="O507" i="4" s="1"/>
  <c r="O508" i="4"/>
  <c r="M897" i="4"/>
  <c r="O898" i="4"/>
  <c r="M693" i="4"/>
  <c r="O693" i="4" s="1"/>
  <c r="O694" i="4"/>
  <c r="M560" i="4"/>
  <c r="O561" i="4"/>
  <c r="M486" i="4"/>
  <c r="O487" i="4"/>
  <c r="M389" i="4"/>
  <c r="O389" i="4" s="1"/>
  <c r="O390" i="4"/>
  <c r="M80" i="4"/>
  <c r="O81" i="4"/>
  <c r="M911" i="4"/>
  <c r="O911" i="4" s="1"/>
  <c r="O912" i="4"/>
  <c r="M88" i="4"/>
  <c r="O88" i="4" s="1"/>
  <c r="O89" i="4"/>
  <c r="M1113" i="4"/>
  <c r="O1114" i="4"/>
  <c r="M890" i="4"/>
  <c r="O891" i="4"/>
  <c r="M645" i="4"/>
  <c r="O645" i="4" s="1"/>
  <c r="O646" i="4"/>
  <c r="M464" i="4"/>
  <c r="O464" i="4" s="1"/>
  <c r="O465" i="4"/>
  <c r="M92" i="4"/>
  <c r="O92" i="4" s="1"/>
  <c r="O93" i="4"/>
  <c r="M24" i="4"/>
  <c r="O25" i="4"/>
  <c r="M855" i="4"/>
  <c r="O855" i="4" s="1"/>
  <c r="O856" i="4"/>
  <c r="M696" i="4"/>
  <c r="O696" i="4" s="1"/>
  <c r="O697" i="4"/>
  <c r="M946" i="4"/>
  <c r="O947" i="4"/>
  <c r="M910" i="4"/>
  <c r="O915" i="4"/>
  <c r="M790" i="4"/>
  <c r="O790" i="4" s="1"/>
  <c r="O791" i="4"/>
  <c r="M815" i="4"/>
  <c r="O816" i="4"/>
  <c r="M765" i="4"/>
  <c r="O768" i="4"/>
  <c r="M714" i="4"/>
  <c r="O714" i="4" s="1"/>
  <c r="O715" i="4"/>
  <c r="M702" i="4"/>
  <c r="O702" i="4" s="1"/>
  <c r="O703" i="4"/>
  <c r="M639" i="4"/>
  <c r="O639" i="4" s="1"/>
  <c r="O640" i="4"/>
  <c r="M231" i="4"/>
  <c r="O232" i="4"/>
  <c r="M68" i="4"/>
  <c r="O68" i="4" s="1"/>
  <c r="O69" i="4"/>
  <c r="M15" i="4"/>
  <c r="O16" i="4"/>
  <c r="M476" i="4"/>
  <c r="O477" i="4"/>
  <c r="M968" i="4"/>
  <c r="O968" i="4" s="1"/>
  <c r="O969" i="4"/>
  <c r="M271" i="4"/>
  <c r="O271" i="4" s="1"/>
  <c r="O272" i="4"/>
  <c r="M1101" i="4"/>
  <c r="O1102" i="4"/>
  <c r="M708" i="4"/>
  <c r="O708" i="4" s="1"/>
  <c r="O709" i="4"/>
  <c r="M457" i="4"/>
  <c r="O460" i="4"/>
  <c r="M446" i="4"/>
  <c r="O447" i="4"/>
  <c r="M879" i="4"/>
  <c r="O880" i="4"/>
  <c r="M1007" i="4"/>
  <c r="O1008" i="4"/>
  <c r="O564" i="4"/>
  <c r="M1059" i="4"/>
  <c r="O1059" i="4" s="1"/>
  <c r="O1063" i="4"/>
  <c r="M489" i="4"/>
  <c r="O489" i="4" s="1"/>
  <c r="O502" i="4"/>
  <c r="M755" i="4"/>
  <c r="O755" i="4" s="1"/>
  <c r="O756" i="4"/>
  <c r="M71" i="4"/>
  <c r="O71" i="4" s="1"/>
  <c r="O74" i="4"/>
  <c r="M48" i="4"/>
  <c r="O48" i="4" s="1"/>
  <c r="O49" i="4"/>
  <c r="M850" i="4"/>
  <c r="O850" i="4" s="1"/>
  <c r="O851" i="4"/>
  <c r="M699" i="4"/>
  <c r="O699" i="4" s="1"/>
  <c r="O700" i="4"/>
  <c r="M519" i="4"/>
  <c r="O520" i="4"/>
  <c r="M312" i="4"/>
  <c r="O312" i="4" s="1"/>
  <c r="O313" i="4"/>
  <c r="M152" i="4"/>
  <c r="O152" i="4" s="1"/>
  <c r="O155" i="4"/>
  <c r="M858" i="4"/>
  <c r="O858" i="4" s="1"/>
  <c r="O859" i="4"/>
  <c r="M284" i="4"/>
  <c r="O284" i="4" s="1"/>
  <c r="O285" i="4"/>
  <c r="O825" i="4"/>
  <c r="M824" i="4"/>
  <c r="M823" i="4" s="1"/>
  <c r="M1084" i="4"/>
  <c r="O1085" i="4"/>
  <c r="M1021" i="4"/>
  <c r="O1022" i="4"/>
  <c r="M719" i="4"/>
  <c r="O720" i="4"/>
  <c r="M471" i="4"/>
  <c r="O471" i="4" s="1"/>
  <c r="O472" i="4"/>
  <c r="M220" i="4"/>
  <c r="O221" i="4"/>
  <c r="M56" i="4"/>
  <c r="O57" i="4"/>
  <c r="M1071" i="4"/>
  <c r="O1072" i="4"/>
  <c r="M650" i="4"/>
  <c r="O650" i="4" s="1"/>
  <c r="O651" i="4"/>
  <c r="M588" i="4"/>
  <c r="O589" i="4"/>
  <c r="M467" i="4"/>
  <c r="O467" i="4" s="1"/>
  <c r="O468" i="4"/>
  <c r="K770" i="3"/>
  <c r="O408" i="4"/>
  <c r="M96" i="4"/>
  <c r="O97" i="4"/>
  <c r="M523" i="4"/>
  <c r="O523" i="4" s="1"/>
  <c r="O524" i="4"/>
  <c r="M573" i="4"/>
  <c r="O574" i="4"/>
  <c r="M481" i="4"/>
  <c r="O481" i="4" s="1"/>
  <c r="O482" i="4"/>
  <c r="M323" i="4"/>
  <c r="O324" i="4"/>
  <c r="M163" i="4"/>
  <c r="O164" i="4"/>
  <c r="M225" i="4"/>
  <c r="O226" i="4"/>
  <c r="M711" i="4"/>
  <c r="O711" i="4" s="1"/>
  <c r="O712" i="4"/>
  <c r="K676" i="3"/>
  <c r="M676" i="3" s="1"/>
  <c r="M677" i="3"/>
  <c r="K561" i="3"/>
  <c r="M562" i="3"/>
  <c r="K478" i="3"/>
  <c r="M479" i="3"/>
  <c r="K903" i="3"/>
  <c r="M903" i="3" s="1"/>
  <c r="M904" i="3"/>
  <c r="K273" i="3"/>
  <c r="M273" i="3" s="1"/>
  <c r="M274" i="3"/>
  <c r="K174" i="3"/>
  <c r="M175" i="3"/>
  <c r="K798" i="3"/>
  <c r="M799" i="3"/>
  <c r="K77" i="3"/>
  <c r="M77" i="3" s="1"/>
  <c r="M78" i="3"/>
  <c r="K218" i="3"/>
  <c r="M218" i="3" s="1"/>
  <c r="M219" i="3"/>
  <c r="K35" i="3"/>
  <c r="M35" i="3" s="1"/>
  <c r="M36" i="3"/>
  <c r="K678" i="3"/>
  <c r="M678" i="3" s="1"/>
  <c r="M679" i="3"/>
  <c r="K558" i="3"/>
  <c r="M559" i="3"/>
  <c r="K481" i="3"/>
  <c r="M482" i="3"/>
  <c r="K834" i="3"/>
  <c r="M835" i="3"/>
  <c r="K901" i="3"/>
  <c r="M901" i="3" s="1"/>
  <c r="M902" i="3"/>
  <c r="K188" i="3"/>
  <c r="M188" i="3" s="1"/>
  <c r="M189" i="3"/>
  <c r="K319" i="3"/>
  <c r="M320" i="3"/>
  <c r="K653" i="3"/>
  <c r="M654" i="3"/>
  <c r="K564" i="3"/>
  <c r="M565" i="3"/>
  <c r="K552" i="3"/>
  <c r="M553" i="3"/>
  <c r="K895" i="3"/>
  <c r="M896" i="3"/>
  <c r="K844" i="3"/>
  <c r="M845" i="3"/>
  <c r="K822" i="3"/>
  <c r="M823" i="3"/>
  <c r="K631" i="3"/>
  <c r="M632" i="3"/>
  <c r="K275" i="3"/>
  <c r="M275" i="3" s="1"/>
  <c r="M276" i="3"/>
  <c r="K193" i="3"/>
  <c r="M194" i="3"/>
  <c r="K549" i="3"/>
  <c r="M550" i="3"/>
  <c r="K817" i="3"/>
  <c r="M818" i="3"/>
  <c r="K227" i="3"/>
  <c r="M227" i="3" s="1"/>
  <c r="M228" i="3"/>
  <c r="K380" i="3"/>
  <c r="M381" i="3"/>
  <c r="K826" i="3"/>
  <c r="M827" i="3"/>
  <c r="K566" i="3"/>
  <c r="M566" i="3" s="1"/>
  <c r="M567" i="3"/>
  <c r="K165" i="3"/>
  <c r="M165" i="3" s="1"/>
  <c r="M166" i="3"/>
  <c r="K647" i="3"/>
  <c r="M648" i="3"/>
  <c r="K957" i="3"/>
  <c r="M960" i="3"/>
  <c r="K81" i="3"/>
  <c r="M82" i="3"/>
  <c r="K577" i="3"/>
  <c r="M578" i="3"/>
  <c r="K850" i="3"/>
  <c r="M851" i="3"/>
  <c r="K637" i="3"/>
  <c r="M638" i="3"/>
  <c r="K225" i="3"/>
  <c r="M225" i="3" s="1"/>
  <c r="M226" i="3"/>
  <c r="K634" i="3"/>
  <c r="M635" i="3"/>
  <c r="K665" i="3"/>
  <c r="M666" i="3"/>
  <c r="K555" i="3"/>
  <c r="M556" i="3"/>
  <c r="K484" i="3"/>
  <c r="M485" i="3"/>
  <c r="K37" i="3"/>
  <c r="M37" i="3" s="1"/>
  <c r="M38" i="3"/>
  <c r="K766" i="3"/>
  <c r="M767" i="3"/>
  <c r="K875" i="3"/>
  <c r="M876" i="3"/>
  <c r="K247" i="3"/>
  <c r="M248" i="3"/>
  <c r="K186" i="3"/>
  <c r="M186" i="3" s="1"/>
  <c r="M187" i="3"/>
  <c r="K86" i="3"/>
  <c r="M87" i="3"/>
  <c r="K260" i="3"/>
  <c r="M260" i="3" s="1"/>
  <c r="M261" i="3"/>
  <c r="K947" i="3"/>
  <c r="M948" i="3"/>
  <c r="K968" i="3"/>
  <c r="M971" i="3"/>
  <c r="K59" i="3"/>
  <c r="M60" i="3"/>
  <c r="K486" i="3"/>
  <c r="M486" i="3" s="1"/>
  <c r="M487" i="3"/>
  <c r="K51" i="3"/>
  <c r="M52" i="3"/>
  <c r="L243" i="5"/>
  <c r="N244" i="5"/>
  <c r="L256" i="5"/>
  <c r="N257" i="5"/>
  <c r="L28" i="5"/>
  <c r="N29" i="5"/>
  <c r="L261" i="5"/>
  <c r="N262" i="5"/>
  <c r="L18" i="5"/>
  <c r="N18" i="5" s="1"/>
  <c r="N19" i="5"/>
  <c r="L359" i="5"/>
  <c r="L490" i="5"/>
  <c r="N491" i="5"/>
  <c r="L41" i="5"/>
  <c r="N42" i="5"/>
  <c r="L80" i="5"/>
  <c r="N81" i="5"/>
  <c r="L34" i="5"/>
  <c r="N35" i="5"/>
  <c r="L544" i="5"/>
  <c r="N545" i="5"/>
  <c r="L556" i="5"/>
  <c r="L576" i="5" s="1"/>
  <c r="N576" i="5" s="1"/>
  <c r="N557" i="5"/>
  <c r="L71" i="5"/>
  <c r="N72" i="5"/>
  <c r="L485" i="5"/>
  <c r="N485" i="5" s="1"/>
  <c r="N468" i="5"/>
  <c r="L489" i="5"/>
  <c r="N490" i="5"/>
  <c r="O824" i="4"/>
  <c r="M405" i="4"/>
  <c r="O405" i="4" s="1"/>
  <c r="O406" i="4"/>
  <c r="M400" i="4"/>
  <c r="O400" i="4" s="1"/>
  <c r="O403" i="4"/>
  <c r="M199" i="4"/>
  <c r="O200" i="4"/>
  <c r="L55" i="5"/>
  <c r="M1152" i="4"/>
  <c r="M955" i="4"/>
  <c r="M774" i="4"/>
  <c r="M270" i="4"/>
  <c r="O270" i="4" s="1"/>
  <c r="M748" i="4"/>
  <c r="M212" i="4"/>
  <c r="M177" i="4"/>
  <c r="M147" i="4"/>
  <c r="M754" i="4"/>
  <c r="I964" i="3"/>
  <c r="G52" i="2"/>
  <c r="G51" i="2" s="1"/>
  <c r="J964" i="3"/>
  <c r="H52" i="2"/>
  <c r="H51" i="2" s="1"/>
  <c r="H217" i="3"/>
  <c r="H216" i="3" s="1"/>
  <c r="H215" i="3" s="1"/>
  <c r="K763" i="3"/>
  <c r="M237" i="4"/>
  <c r="L173" i="4"/>
  <c r="J220" i="3" s="1"/>
  <c r="J219" i="3" s="1"/>
  <c r="J218" i="3" s="1"/>
  <c r="J1132" i="4"/>
  <c r="H972" i="3" s="1"/>
  <c r="H971" i="3" s="1"/>
  <c r="H968" i="3" s="1"/>
  <c r="H967" i="3" s="1"/>
  <c r="H966" i="3" s="1"/>
  <c r="H965" i="3" s="1"/>
  <c r="K1106" i="4"/>
  <c r="K1104" i="4"/>
  <c r="L1104" i="4" s="1"/>
  <c r="L1085" i="4"/>
  <c r="K1085" i="4"/>
  <c r="J1085" i="4"/>
  <c r="K979" i="4"/>
  <c r="J961" i="4"/>
  <c r="K961" i="4"/>
  <c r="L961" i="4"/>
  <c r="K921" i="4"/>
  <c r="I288" i="3" s="1"/>
  <c r="I287" i="3" s="1"/>
  <c r="I286" i="3" s="1"/>
  <c r="I280" i="3" s="1"/>
  <c r="I279" i="3" s="1"/>
  <c r="I278" i="3" s="1"/>
  <c r="G30" i="2" s="1"/>
  <c r="H204" i="3"/>
  <c r="H203" i="3" s="1"/>
  <c r="H200" i="3" s="1"/>
  <c r="H199" i="3" s="1"/>
  <c r="M394" i="4" l="1"/>
  <c r="O731" i="4"/>
  <c r="O549" i="4"/>
  <c r="M311" i="4"/>
  <c r="O311" i="4" s="1"/>
  <c r="M1025" i="4"/>
  <c r="O1025" i="4" s="1"/>
  <c r="K900" i="3"/>
  <c r="K675" i="3"/>
  <c r="M675" i="3" s="1"/>
  <c r="K272" i="3"/>
  <c r="K268" i="3" s="1"/>
  <c r="M329" i="4"/>
  <c r="O329" i="4" s="1"/>
  <c r="M107" i="4"/>
  <c r="O107" i="4" s="1"/>
  <c r="K76" i="3"/>
  <c r="M76" i="3" s="1"/>
  <c r="K34" i="3"/>
  <c r="M34" i="3" s="1"/>
  <c r="M1177" i="4"/>
  <c r="M822" i="4"/>
  <c r="M236" i="4"/>
  <c r="O237" i="4"/>
  <c r="M1183" i="4"/>
  <c r="O754" i="4"/>
  <c r="O1183" i="4" s="1"/>
  <c r="M67" i="4"/>
  <c r="M686" i="4"/>
  <c r="O686" i="4" s="1"/>
  <c r="M770" i="4"/>
  <c r="O774" i="4"/>
  <c r="M626" i="4"/>
  <c r="O626" i="4" s="1"/>
  <c r="M1175" i="4"/>
  <c r="O225" i="4"/>
  <c r="O1175" i="4" s="1"/>
  <c r="M322" i="4"/>
  <c r="O323" i="4"/>
  <c r="O573" i="4"/>
  <c r="M572" i="4"/>
  <c r="O96" i="4"/>
  <c r="O1184" i="4" s="1"/>
  <c r="M1184" i="4"/>
  <c r="M55" i="4"/>
  <c r="O56" i="4"/>
  <c r="M1185" i="4"/>
  <c r="O1021" i="4"/>
  <c r="O1185" i="4" s="1"/>
  <c r="M1006" i="4"/>
  <c r="O1007" i="4"/>
  <c r="M649" i="4"/>
  <c r="O649" i="4" s="1"/>
  <c r="M456" i="4"/>
  <c r="O457" i="4"/>
  <c r="M1100" i="4"/>
  <c r="O1101" i="4"/>
  <c r="M63" i="4"/>
  <c r="O63" i="4" s="1"/>
  <c r="O64" i="4"/>
  <c r="M32" i="4"/>
  <c r="O33" i="4"/>
  <c r="M530" i="4"/>
  <c r="O531" i="4"/>
  <c r="M749" i="4"/>
  <c r="O749" i="4" s="1"/>
  <c r="O750" i="4"/>
  <c r="M208" i="4"/>
  <c r="O208" i="4" s="1"/>
  <c r="O212" i="4"/>
  <c r="O80" i="4"/>
  <c r="M79" i="4"/>
  <c r="M485" i="4"/>
  <c r="O485" i="4" s="1"/>
  <c r="O486" i="4"/>
  <c r="O1108" i="4"/>
  <c r="M1126" i="4"/>
  <c r="O1127" i="4"/>
  <c r="M14" i="4"/>
  <c r="O15" i="4"/>
  <c r="M230" i="4"/>
  <c r="O231" i="4"/>
  <c r="M764" i="4"/>
  <c r="O764" i="4" s="1"/>
  <c r="O765" i="4"/>
  <c r="M539" i="4"/>
  <c r="O539" i="4" s="1"/>
  <c r="O544" i="4"/>
  <c r="M926" i="4"/>
  <c r="M925" i="4" s="1"/>
  <c r="O925" i="4" s="1"/>
  <c r="O946" i="4"/>
  <c r="M1112" i="4"/>
  <c r="O1112" i="4" s="1"/>
  <c r="O1113" i="4"/>
  <c r="M559" i="4"/>
  <c r="O560" i="4"/>
  <c r="M896" i="4"/>
  <c r="O897" i="4"/>
  <c r="M742" i="4"/>
  <c r="O742" i="4" s="1"/>
  <c r="O743" i="4"/>
  <c r="O599" i="4"/>
  <c r="M598" i="4"/>
  <c r="M475" i="4"/>
  <c r="O475" i="4" s="1"/>
  <c r="O476" i="4"/>
  <c r="M811" i="4"/>
  <c r="O815" i="4"/>
  <c r="M909" i="4"/>
  <c r="O909" i="4" s="1"/>
  <c r="O910" i="4"/>
  <c r="M23" i="4"/>
  <c r="O23" i="4" s="1"/>
  <c r="O24" i="4"/>
  <c r="M889" i="4"/>
  <c r="O890" i="4"/>
  <c r="M134" i="4"/>
  <c r="O134" i="4" s="1"/>
  <c r="O147" i="4"/>
  <c r="M170" i="4"/>
  <c r="O177" i="4"/>
  <c r="M747" i="4"/>
  <c r="O748" i="4"/>
  <c r="O1144" i="4"/>
  <c r="O955" i="4"/>
  <c r="M162" i="4"/>
  <c r="O163" i="4"/>
  <c r="K769" i="3"/>
  <c r="M770" i="3"/>
  <c r="O588" i="4"/>
  <c r="M587" i="4"/>
  <c r="O1071" i="4"/>
  <c r="M1070" i="4"/>
  <c r="M219" i="4"/>
  <c r="O220" i="4"/>
  <c r="O719" i="4"/>
  <c r="M718" i="4"/>
  <c r="M1083" i="4"/>
  <c r="O1084" i="4"/>
  <c r="O1178" i="4"/>
  <c r="M512" i="4"/>
  <c r="O519" i="4"/>
  <c r="M874" i="4"/>
  <c r="O879" i="4"/>
  <c r="M445" i="4"/>
  <c r="O446" i="4"/>
  <c r="M864" i="4"/>
  <c r="O865" i="4"/>
  <c r="M1090" i="4"/>
  <c r="O1091" i="4"/>
  <c r="K83" i="3"/>
  <c r="M83" i="3" s="1"/>
  <c r="M86" i="3"/>
  <c r="K765" i="3"/>
  <c r="M765" i="3" s="1"/>
  <c r="M766" i="3"/>
  <c r="K483" i="3"/>
  <c r="M483" i="3" s="1"/>
  <c r="M484" i="3"/>
  <c r="K662" i="3"/>
  <c r="M665" i="3"/>
  <c r="K847" i="3"/>
  <c r="M850" i="3"/>
  <c r="K646" i="3"/>
  <c r="M647" i="3"/>
  <c r="K379" i="3"/>
  <c r="M380" i="3"/>
  <c r="K630" i="3"/>
  <c r="M631" i="3"/>
  <c r="K185" i="3"/>
  <c r="K899" i="3"/>
  <c r="M900" i="3"/>
  <c r="K944" i="3"/>
  <c r="M947" i="3"/>
  <c r="K246" i="3"/>
  <c r="M247" i="3"/>
  <c r="K80" i="3"/>
  <c r="M81" i="3"/>
  <c r="K814" i="3"/>
  <c r="M817" i="3"/>
  <c r="K190" i="3"/>
  <c r="M190" i="3" s="1"/>
  <c r="M193" i="3"/>
  <c r="K843" i="3"/>
  <c r="M844" i="3"/>
  <c r="K551" i="3"/>
  <c r="M551" i="3" s="1"/>
  <c r="M552" i="3"/>
  <c r="K652" i="3"/>
  <c r="M653" i="3"/>
  <c r="K833" i="3"/>
  <c r="M834" i="3"/>
  <c r="K557" i="3"/>
  <c r="M557" i="3" s="1"/>
  <c r="M558" i="3"/>
  <c r="K173" i="3"/>
  <c r="M174" i="3"/>
  <c r="K560" i="3"/>
  <c r="M560" i="3" s="1"/>
  <c r="M561" i="3"/>
  <c r="K75" i="3"/>
  <c r="M75" i="3" s="1"/>
  <c r="K224" i="3"/>
  <c r="M224" i="3" s="1"/>
  <c r="K760" i="3"/>
  <c r="M760" i="3" s="1"/>
  <c r="M763" i="3"/>
  <c r="K50" i="3"/>
  <c r="M50" i="3" s="1"/>
  <c r="M51" i="3"/>
  <c r="K58" i="3"/>
  <c r="M59" i="3"/>
  <c r="K967" i="3"/>
  <c r="M968" i="3"/>
  <c r="K874" i="3"/>
  <c r="M875" i="3"/>
  <c r="K554" i="3"/>
  <c r="M554" i="3" s="1"/>
  <c r="M555" i="3"/>
  <c r="K633" i="3"/>
  <c r="M633" i="3" s="1"/>
  <c r="M634" i="3"/>
  <c r="K636" i="3"/>
  <c r="M636" i="3" s="1"/>
  <c r="M637" i="3"/>
  <c r="K576" i="3"/>
  <c r="M577" i="3"/>
  <c r="K956" i="3"/>
  <c r="M957" i="3"/>
  <c r="K825" i="3"/>
  <c r="M826" i="3"/>
  <c r="K548" i="3"/>
  <c r="M549" i="3"/>
  <c r="K821" i="3"/>
  <c r="M821" i="3" s="1"/>
  <c r="M822" i="3"/>
  <c r="K894" i="3"/>
  <c r="M894" i="3" s="1"/>
  <c r="M895" i="3"/>
  <c r="K563" i="3"/>
  <c r="M563" i="3" s="1"/>
  <c r="M564" i="3"/>
  <c r="K318" i="3"/>
  <c r="M319" i="3"/>
  <c r="K480" i="3"/>
  <c r="M480" i="3" s="1"/>
  <c r="M481" i="3"/>
  <c r="K797" i="3"/>
  <c r="M798" i="3"/>
  <c r="K477" i="3"/>
  <c r="M478" i="3"/>
  <c r="L54" i="5"/>
  <c r="N55" i="5"/>
  <c r="L555" i="5"/>
  <c r="N556" i="5"/>
  <c r="L258" i="5"/>
  <c r="N258" i="5" s="1"/>
  <c r="N261" i="5"/>
  <c r="L33" i="5"/>
  <c r="N33" i="5" s="1"/>
  <c r="N34" i="5"/>
  <c r="L40" i="5"/>
  <c r="N41" i="5"/>
  <c r="L356" i="5"/>
  <c r="N359" i="5"/>
  <c r="L255" i="5"/>
  <c r="N256" i="5"/>
  <c r="L70" i="5"/>
  <c r="N71" i="5"/>
  <c r="L543" i="5"/>
  <c r="N544" i="5"/>
  <c r="L77" i="5"/>
  <c r="N80" i="5"/>
  <c r="L25" i="5"/>
  <c r="N28" i="5"/>
  <c r="L242" i="5"/>
  <c r="N243" i="5"/>
  <c r="L488" i="5"/>
  <c r="N489" i="5"/>
  <c r="O822" i="4"/>
  <c r="O823" i="4"/>
  <c r="O1177" i="4" s="1"/>
  <c r="M1158" i="4"/>
  <c r="O394" i="4"/>
  <c r="O1158" i="4" s="1"/>
  <c r="M195" i="4"/>
  <c r="O199" i="4"/>
  <c r="M244" i="4"/>
  <c r="M235" i="4"/>
  <c r="M106" i="4"/>
  <c r="M1178" i="4"/>
  <c r="M393" i="4"/>
  <c r="H214" i="3"/>
  <c r="F23" i="2"/>
  <c r="F22" i="2" s="1"/>
  <c r="H964" i="3"/>
  <c r="F52" i="2"/>
  <c r="F51" i="2" s="1"/>
  <c r="J537" i="5"/>
  <c r="J536" i="5" s="1"/>
  <c r="J535" i="5" s="1"/>
  <c r="I312" i="3"/>
  <c r="I311" i="3" s="1"/>
  <c r="I310" i="3" s="1"/>
  <c r="I481" i="5"/>
  <c r="I480" i="5" s="1"/>
  <c r="I479" i="5" s="1"/>
  <c r="I470" i="5" s="1"/>
  <c r="I469" i="5" s="1"/>
  <c r="I468" i="5" s="1"/>
  <c r="H374" i="3"/>
  <c r="H373" i="3" s="1"/>
  <c r="H372" i="3" s="1"/>
  <c r="H363" i="3" s="1"/>
  <c r="K481" i="5"/>
  <c r="K480" i="5" s="1"/>
  <c r="K479" i="5" s="1"/>
  <c r="K470" i="5" s="1"/>
  <c r="K469" i="5" s="1"/>
  <c r="K468" i="5" s="1"/>
  <c r="J374" i="3"/>
  <c r="J373" i="3" s="1"/>
  <c r="J372" i="3" s="1"/>
  <c r="J363" i="3" s="1"/>
  <c r="J362" i="3" s="1"/>
  <c r="J361" i="3" s="1"/>
  <c r="H32" i="2" s="1"/>
  <c r="J532" i="5"/>
  <c r="J531" i="5" s="1"/>
  <c r="J530" i="5" s="1"/>
  <c r="I307" i="3"/>
  <c r="I306" i="3" s="1"/>
  <c r="I305" i="3" s="1"/>
  <c r="I542" i="5"/>
  <c r="I541" i="5" s="1"/>
  <c r="I540" i="5" s="1"/>
  <c r="H317" i="3"/>
  <c r="H316" i="3" s="1"/>
  <c r="H315" i="3" s="1"/>
  <c r="L979" i="4"/>
  <c r="J351" i="3" s="1"/>
  <c r="J350" i="3" s="1"/>
  <c r="J347" i="3" s="1"/>
  <c r="J340" i="3" s="1"/>
  <c r="J327" i="3" s="1"/>
  <c r="I351" i="3"/>
  <c r="I350" i="3" s="1"/>
  <c r="I347" i="3" s="1"/>
  <c r="I340" i="3" s="1"/>
  <c r="I327" i="3" s="1"/>
  <c r="J481" i="5"/>
  <c r="J480" i="5" s="1"/>
  <c r="J479" i="5" s="1"/>
  <c r="J470" i="5" s="1"/>
  <c r="J469" i="5" s="1"/>
  <c r="J468" i="5" s="1"/>
  <c r="I374" i="3"/>
  <c r="I373" i="3" s="1"/>
  <c r="I372" i="3" s="1"/>
  <c r="I363" i="3" s="1"/>
  <c r="I362" i="3" s="1"/>
  <c r="I361" i="3" s="1"/>
  <c r="G32" i="2" s="1"/>
  <c r="L1106" i="4"/>
  <c r="I204" i="3"/>
  <c r="I203" i="3" s="1"/>
  <c r="I200" i="3" s="1"/>
  <c r="I199" i="3" s="1"/>
  <c r="L921" i="4"/>
  <c r="J288" i="3" s="1"/>
  <c r="J287" i="3" s="1"/>
  <c r="J286" i="3" s="1"/>
  <c r="J280" i="3" s="1"/>
  <c r="J279" i="3" s="1"/>
  <c r="J278" i="3" s="1"/>
  <c r="H30" i="2" s="1"/>
  <c r="L1001" i="4"/>
  <c r="L856" i="4"/>
  <c r="K856" i="4"/>
  <c r="J856" i="4"/>
  <c r="K836" i="4"/>
  <c r="K835" i="4" s="1"/>
  <c r="K834" i="4" s="1"/>
  <c r="L838" i="4"/>
  <c r="L837" i="4" s="1"/>
  <c r="K838" i="4"/>
  <c r="K837" i="4" s="1"/>
  <c r="J838" i="4"/>
  <c r="J837" i="4" s="1"/>
  <c r="I838" i="4"/>
  <c r="I837" i="4" s="1"/>
  <c r="G838" i="4"/>
  <c r="G837" i="4" s="1"/>
  <c r="L835" i="4"/>
  <c r="L834" i="4" s="1"/>
  <c r="J835" i="4"/>
  <c r="J834" i="4" s="1"/>
  <c r="I835" i="4"/>
  <c r="I834" i="4" s="1"/>
  <c r="G835" i="4"/>
  <c r="G834" i="4" s="1"/>
  <c r="L808" i="4"/>
  <c r="L807" i="4" s="1"/>
  <c r="K808" i="4"/>
  <c r="K807" i="4" s="1"/>
  <c r="J808" i="4"/>
  <c r="J807" i="4" s="1"/>
  <c r="I808" i="4"/>
  <c r="I807" i="4" s="1"/>
  <c r="G808" i="4"/>
  <c r="G807" i="4" s="1"/>
  <c r="L683" i="4"/>
  <c r="L682" i="4" s="1"/>
  <c r="K683" i="4"/>
  <c r="K682" i="4" s="1"/>
  <c r="J683" i="4"/>
  <c r="J682" i="4" s="1"/>
  <c r="I683" i="4"/>
  <c r="I682" i="4" s="1"/>
  <c r="G683" i="4"/>
  <c r="G682" i="4" s="1"/>
  <c r="J663" i="4"/>
  <c r="J620" i="4"/>
  <c r="J619" i="4" s="1"/>
  <c r="I620" i="4"/>
  <c r="I619" i="4" s="1"/>
  <c r="G620" i="4"/>
  <c r="G619" i="4" s="1"/>
  <c r="K621" i="4"/>
  <c r="J147" i="5" s="1"/>
  <c r="J146" i="5" s="1"/>
  <c r="J145" i="5" s="1"/>
  <c r="J617" i="4"/>
  <c r="J616" i="4" s="1"/>
  <c r="I617" i="4"/>
  <c r="I616" i="4" s="1"/>
  <c r="G617" i="4"/>
  <c r="G616" i="4" s="1"/>
  <c r="K618" i="4"/>
  <c r="J144" i="5" s="1"/>
  <c r="J143" i="5" s="1"/>
  <c r="J142" i="5" s="1"/>
  <c r="M310" i="4" l="1"/>
  <c r="M283" i="4" s="1"/>
  <c r="M272" i="3"/>
  <c r="K33" i="3"/>
  <c r="M33" i="3" s="1"/>
  <c r="K671" i="3"/>
  <c r="M671" i="3" s="1"/>
  <c r="K217" i="3"/>
  <c r="K216" i="3" s="1"/>
  <c r="M207" i="4"/>
  <c r="M202" i="4" s="1"/>
  <c r="O202" i="4" s="1"/>
  <c r="M625" i="4"/>
  <c r="M597" i="4" s="1"/>
  <c r="O597" i="4" s="1"/>
  <c r="M1144" i="4"/>
  <c r="M234" i="4"/>
  <c r="O235" i="4"/>
  <c r="O598" i="4"/>
  <c r="M1172" i="4"/>
  <c r="M54" i="4"/>
  <c r="O54" i="4" s="1"/>
  <c r="O55" i="4"/>
  <c r="M685" i="4"/>
  <c r="O685" i="4" s="1"/>
  <c r="O864" i="4"/>
  <c r="M857" i="4"/>
  <c r="O874" i="4"/>
  <c r="M873" i="4"/>
  <c r="O873" i="4" s="1"/>
  <c r="M579" i="4"/>
  <c r="O587" i="4"/>
  <c r="M169" i="4"/>
  <c r="O170" i="4"/>
  <c r="O310" i="4"/>
  <c r="O811" i="4"/>
  <c r="M810" i="4"/>
  <c r="M1155" i="4" s="1"/>
  <c r="M895" i="4"/>
  <c r="O895" i="4" s="1"/>
  <c r="O896" i="4"/>
  <c r="M229" i="4"/>
  <c r="O230" i="4"/>
  <c r="M1125" i="4"/>
  <c r="O1126" i="4"/>
  <c r="M529" i="4"/>
  <c r="O530" i="4"/>
  <c r="O456" i="4"/>
  <c r="M455" i="4"/>
  <c r="M1174" i="4"/>
  <c r="O67" i="4"/>
  <c r="O1174" i="4" s="1"/>
  <c r="M1161" i="4"/>
  <c r="O236" i="4"/>
  <c r="K768" i="3"/>
  <c r="M769" i="3"/>
  <c r="M243" i="4"/>
  <c r="O244" i="4"/>
  <c r="M1082" i="4"/>
  <c r="O1083" i="4"/>
  <c r="M218" i="4"/>
  <c r="O218" i="4" s="1"/>
  <c r="O219" i="4"/>
  <c r="M161" i="4"/>
  <c r="O162" i="4"/>
  <c r="M1107" i="4"/>
  <c r="O1107" i="4" s="1"/>
  <c r="M1176" i="4"/>
  <c r="O79" i="4"/>
  <c r="O1176" i="4" s="1"/>
  <c r="M321" i="4"/>
  <c r="O321" i="4" s="1"/>
  <c r="O322" i="4"/>
  <c r="O1006" i="4"/>
  <c r="M990" i="4"/>
  <c r="M1089" i="4"/>
  <c r="O1089" i="4" s="1"/>
  <c r="O1090" i="4"/>
  <c r="O445" i="4"/>
  <c r="M438" i="4"/>
  <c r="O512" i="4"/>
  <c r="M511" i="4"/>
  <c r="O718" i="4"/>
  <c r="M717" i="4"/>
  <c r="O717" i="4" s="1"/>
  <c r="M1069" i="4"/>
  <c r="O1070" i="4"/>
  <c r="M741" i="4"/>
  <c r="O741" i="4" s="1"/>
  <c r="O747" i="4"/>
  <c r="M888" i="4"/>
  <c r="O889" i="4"/>
  <c r="O559" i="4"/>
  <c r="M558" i="4"/>
  <c r="O926" i="4"/>
  <c r="O1182" i="4" s="1"/>
  <c r="M1182" i="4"/>
  <c r="M13" i="4"/>
  <c r="O14" i="4"/>
  <c r="O32" i="4"/>
  <c r="M31" i="4"/>
  <c r="M1099" i="4"/>
  <c r="O1099" i="4" s="1"/>
  <c r="O1100" i="4"/>
  <c r="M571" i="4"/>
  <c r="O571" i="4" s="1"/>
  <c r="O572" i="4"/>
  <c r="M763" i="4"/>
  <c r="O770" i="4"/>
  <c r="M62" i="4"/>
  <c r="O106" i="4"/>
  <c r="M648" i="4"/>
  <c r="O648" i="4" s="1"/>
  <c r="M477" i="3"/>
  <c r="K473" i="3"/>
  <c r="K57" i="3"/>
  <c r="M58" i="3"/>
  <c r="K832" i="3"/>
  <c r="M832" i="3" s="1"/>
  <c r="M833" i="3"/>
  <c r="K943" i="3"/>
  <c r="M944" i="3"/>
  <c r="M630" i="3"/>
  <c r="K629" i="3"/>
  <c r="K645" i="3"/>
  <c r="M646" i="3"/>
  <c r="K661" i="3"/>
  <c r="M661" i="3" s="1"/>
  <c r="M662" i="3"/>
  <c r="K32" i="3"/>
  <c r="K178" i="3"/>
  <c r="M178" i="3" s="1"/>
  <c r="M185" i="3"/>
  <c r="K824" i="3"/>
  <c r="M824" i="3" s="1"/>
  <c r="M825" i="3"/>
  <c r="K575" i="3"/>
  <c r="M576" i="3"/>
  <c r="M874" i="3"/>
  <c r="K870" i="3"/>
  <c r="K267" i="3"/>
  <c r="M268" i="3"/>
  <c r="K145" i="3"/>
  <c r="M173" i="3"/>
  <c r="M80" i="3"/>
  <c r="K79" i="3"/>
  <c r="M79" i="3" s="1"/>
  <c r="K898" i="3"/>
  <c r="M899" i="3"/>
  <c r="K796" i="3"/>
  <c r="M797" i="3"/>
  <c r="K298" i="3"/>
  <c r="M318" i="3"/>
  <c r="M548" i="3"/>
  <c r="K538" i="3"/>
  <c r="K949" i="3"/>
  <c r="M949" i="3" s="1"/>
  <c r="M956" i="3"/>
  <c r="K966" i="3"/>
  <c r="M967" i="3"/>
  <c r="K651" i="3"/>
  <c r="M651" i="3" s="1"/>
  <c r="M652" i="3"/>
  <c r="K842" i="3"/>
  <c r="M842" i="3" s="1"/>
  <c r="M843" i="3"/>
  <c r="M814" i="3"/>
  <c r="K813" i="3"/>
  <c r="K242" i="3"/>
  <c r="M246" i="3"/>
  <c r="K660" i="3"/>
  <c r="K378" i="3"/>
  <c r="M379" i="3"/>
  <c r="K846" i="3"/>
  <c r="M846" i="3" s="1"/>
  <c r="M847" i="3"/>
  <c r="L76" i="5"/>
  <c r="N77" i="5"/>
  <c r="L69" i="5"/>
  <c r="N70" i="5"/>
  <c r="L355" i="5"/>
  <c r="N356" i="5"/>
  <c r="N555" i="5"/>
  <c r="L554" i="5"/>
  <c r="N242" i="5"/>
  <c r="L241" i="5"/>
  <c r="N25" i="5"/>
  <c r="L24" i="5"/>
  <c r="L522" i="5"/>
  <c r="N543" i="5"/>
  <c r="N255" i="5"/>
  <c r="L263" i="5"/>
  <c r="N263" i="5" s="1"/>
  <c r="L254" i="5"/>
  <c r="L39" i="5"/>
  <c r="N40" i="5"/>
  <c r="L53" i="5"/>
  <c r="N54" i="5"/>
  <c r="L487" i="5"/>
  <c r="N488" i="5"/>
  <c r="O625" i="4"/>
  <c r="M328" i="4"/>
  <c r="O328" i="4" s="1"/>
  <c r="O393" i="4"/>
  <c r="M194" i="4"/>
  <c r="O195" i="4"/>
  <c r="M1149" i="4"/>
  <c r="J125" i="5"/>
  <c r="J124" i="5" s="1"/>
  <c r="J123" i="5" s="1"/>
  <c r="J151" i="5" s="1"/>
  <c r="H362" i="3"/>
  <c r="H361" i="3" s="1"/>
  <c r="F32" i="2" s="1"/>
  <c r="I928" i="3"/>
  <c r="I927" i="3" s="1"/>
  <c r="I926" i="3" s="1"/>
  <c r="J348" i="5"/>
  <c r="J347" i="5" s="1"/>
  <c r="J346" i="5" s="1"/>
  <c r="J331" i="5" s="1"/>
  <c r="J330" i="5" s="1"/>
  <c r="J329" i="5" s="1"/>
  <c r="J360" i="5"/>
  <c r="J359" i="5" s="1"/>
  <c r="J356" i="5" s="1"/>
  <c r="J355" i="5" s="1"/>
  <c r="J354" i="5" s="1"/>
  <c r="J353" i="5" s="1"/>
  <c r="I948" i="3"/>
  <c r="I947" i="3" s="1"/>
  <c r="I944" i="3" s="1"/>
  <c r="I943" i="3" s="1"/>
  <c r="I942" i="3" s="1"/>
  <c r="K532" i="5"/>
  <c r="K531" i="5" s="1"/>
  <c r="K530" i="5" s="1"/>
  <c r="J307" i="3"/>
  <c r="J306" i="3" s="1"/>
  <c r="J305" i="3" s="1"/>
  <c r="J485" i="5"/>
  <c r="J467" i="5"/>
  <c r="K485" i="5"/>
  <c r="K467" i="5"/>
  <c r="I467" i="5"/>
  <c r="I485" i="5"/>
  <c r="K617" i="4"/>
  <c r="K616" i="4" s="1"/>
  <c r="I465" i="3"/>
  <c r="I464" i="3" s="1"/>
  <c r="I463" i="3" s="1"/>
  <c r="K620" i="4"/>
  <c r="K619" i="4" s="1"/>
  <c r="I468" i="3"/>
  <c r="I467" i="3" s="1"/>
  <c r="I466" i="3" s="1"/>
  <c r="I177" i="5"/>
  <c r="I176" i="5" s="1"/>
  <c r="I175" i="5" s="1"/>
  <c r="I174" i="5" s="1"/>
  <c r="H515" i="3"/>
  <c r="H514" i="3" s="1"/>
  <c r="H513" i="3" s="1"/>
  <c r="H498" i="3" s="1"/>
  <c r="H493" i="3" s="1"/>
  <c r="I360" i="5"/>
  <c r="I359" i="5" s="1"/>
  <c r="I356" i="5" s="1"/>
  <c r="I355" i="5" s="1"/>
  <c r="I354" i="5" s="1"/>
  <c r="I353" i="5" s="1"/>
  <c r="H948" i="3"/>
  <c r="H947" i="3" s="1"/>
  <c r="H944" i="3" s="1"/>
  <c r="H943" i="3" s="1"/>
  <c r="H942" i="3" s="1"/>
  <c r="K360" i="5"/>
  <c r="K359" i="5" s="1"/>
  <c r="K356" i="5" s="1"/>
  <c r="K355" i="5" s="1"/>
  <c r="K354" i="5" s="1"/>
  <c r="K353" i="5" s="1"/>
  <c r="J948" i="3"/>
  <c r="J947" i="3" s="1"/>
  <c r="J944" i="3" s="1"/>
  <c r="J943" i="3" s="1"/>
  <c r="J942" i="3" s="1"/>
  <c r="K537" i="5"/>
  <c r="K536" i="5" s="1"/>
  <c r="K535" i="5" s="1"/>
  <c r="J312" i="3"/>
  <c r="J311" i="3" s="1"/>
  <c r="J310" i="3" s="1"/>
  <c r="J542" i="5"/>
  <c r="J541" i="5" s="1"/>
  <c r="J540" i="5" s="1"/>
  <c r="I317" i="3"/>
  <c r="I316" i="3" s="1"/>
  <c r="I315" i="3" s="1"/>
  <c r="J204" i="3"/>
  <c r="J203" i="3" s="1"/>
  <c r="J200" i="3" s="1"/>
  <c r="J199" i="3" s="1"/>
  <c r="K663" i="4"/>
  <c r="L618" i="4"/>
  <c r="K144" i="5" s="1"/>
  <c r="K143" i="5" s="1"/>
  <c r="K142" i="5" s="1"/>
  <c r="L621" i="4"/>
  <c r="K147" i="5" s="1"/>
  <c r="K146" i="5" s="1"/>
  <c r="K145" i="5" s="1"/>
  <c r="O207" i="4" l="1"/>
  <c r="M217" i="3"/>
  <c r="O243" i="4"/>
  <c r="M224" i="4"/>
  <c r="O224" i="4" s="1"/>
  <c r="O229" i="4"/>
  <c r="M557" i="4"/>
  <c r="O558" i="4"/>
  <c r="M414" i="4"/>
  <c r="O414" i="4" s="1"/>
  <c r="O438" i="4"/>
  <c r="O1161" i="4"/>
  <c r="M1171" i="4"/>
  <c r="O455" i="4"/>
  <c r="O1171" i="4" s="1"/>
  <c r="M454" i="4"/>
  <c r="M849" i="4"/>
  <c r="O857" i="4"/>
  <c r="M217" i="4"/>
  <c r="O217" i="4" s="1"/>
  <c r="O234" i="4"/>
  <c r="M768" i="3"/>
  <c r="K754" i="3"/>
  <c r="O529" i="4"/>
  <c r="M528" i="4"/>
  <c r="O528" i="4" s="1"/>
  <c r="M168" i="4"/>
  <c r="O169" i="4"/>
  <c r="O763" i="4"/>
  <c r="M753" i="4"/>
  <c r="O753" i="4" s="1"/>
  <c r="M12" i="4"/>
  <c r="O13" i="4"/>
  <c r="M1180" i="4"/>
  <c r="O990" i="4"/>
  <c r="O1180" i="4" s="1"/>
  <c r="M989" i="4"/>
  <c r="O989" i="4" s="1"/>
  <c r="M160" i="4"/>
  <c r="O161" i="4"/>
  <c r="M1081" i="4"/>
  <c r="O1082" i="4"/>
  <c r="M1124" i="4"/>
  <c r="O1125" i="4"/>
  <c r="O283" i="4"/>
  <c r="M282" i="4"/>
  <c r="O282" i="4" s="1"/>
  <c r="O579" i="4"/>
  <c r="M578" i="4"/>
  <c r="O578" i="4" s="1"/>
  <c r="M887" i="4"/>
  <c r="O887" i="4" s="1"/>
  <c r="O888" i="4"/>
  <c r="O1069" i="4"/>
  <c r="M1068" i="4"/>
  <c r="M1160" i="4"/>
  <c r="M30" i="4"/>
  <c r="O30" i="4" s="1"/>
  <c r="O31" i="4"/>
  <c r="O511" i="4"/>
  <c r="O1138" i="4" s="1"/>
  <c r="M1138" i="4"/>
  <c r="M789" i="4"/>
  <c r="O810" i="4"/>
  <c r="O1155" i="4" s="1"/>
  <c r="O1172" i="4"/>
  <c r="O62" i="4"/>
  <c r="M267" i="3"/>
  <c r="K262" i="3"/>
  <c r="K215" i="3"/>
  <c r="M216" i="3"/>
  <c r="K31" i="3"/>
  <c r="M32" i="3"/>
  <c r="K639" i="3"/>
  <c r="M645" i="3"/>
  <c r="K56" i="3"/>
  <c r="M57" i="3"/>
  <c r="K812" i="3"/>
  <c r="M813" i="3"/>
  <c r="M473" i="3"/>
  <c r="K472" i="3"/>
  <c r="M538" i="3"/>
  <c r="K537" i="3"/>
  <c r="K241" i="3"/>
  <c r="M242" i="3"/>
  <c r="K965" i="3"/>
  <c r="M966" i="3"/>
  <c r="K789" i="3"/>
  <c r="M796" i="3"/>
  <c r="K570" i="3"/>
  <c r="M570" i="3" s="1"/>
  <c r="M575" i="3"/>
  <c r="K942" i="3"/>
  <c r="M943" i="3"/>
  <c r="K869" i="3"/>
  <c r="M869" i="3" s="1"/>
  <c r="M870" i="3"/>
  <c r="K628" i="3"/>
  <c r="M629" i="3"/>
  <c r="K362" i="3"/>
  <c r="M378" i="3"/>
  <c r="K650" i="3"/>
  <c r="M660" i="3"/>
  <c r="M298" i="3"/>
  <c r="K297" i="3"/>
  <c r="M898" i="3"/>
  <c r="K897" i="3"/>
  <c r="M145" i="3"/>
  <c r="K144" i="3"/>
  <c r="L52" i="5"/>
  <c r="N53" i="5"/>
  <c r="L23" i="5"/>
  <c r="N24" i="5"/>
  <c r="L38" i="5"/>
  <c r="N39" i="5"/>
  <c r="L240" i="5"/>
  <c r="N241" i="5"/>
  <c r="L553" i="5"/>
  <c r="N553" i="5" s="1"/>
  <c r="N554" i="5"/>
  <c r="L68" i="5"/>
  <c r="N69" i="5"/>
  <c r="L253" i="5"/>
  <c r="N254" i="5"/>
  <c r="L521" i="5"/>
  <c r="N522" i="5"/>
  <c r="L354" i="5"/>
  <c r="N355" i="5"/>
  <c r="L75" i="5"/>
  <c r="N76" i="5"/>
  <c r="L486" i="5"/>
  <c r="N487" i="5"/>
  <c r="O1149" i="4"/>
  <c r="O194" i="4"/>
  <c r="M186" i="4"/>
  <c r="I916" i="3"/>
  <c r="I915" i="3" s="1"/>
  <c r="I914" i="3" s="1"/>
  <c r="G49" i="2" s="1"/>
  <c r="J352" i="5"/>
  <c r="J335" i="5"/>
  <c r="K125" i="5"/>
  <c r="K124" i="5" s="1"/>
  <c r="K123" i="5" s="1"/>
  <c r="K151" i="5" s="1"/>
  <c r="L617" i="4"/>
  <c r="L616" i="4" s="1"/>
  <c r="J465" i="3"/>
  <c r="J464" i="3" s="1"/>
  <c r="J463" i="3" s="1"/>
  <c r="I447" i="3"/>
  <c r="I442" i="3" s="1"/>
  <c r="J177" i="5"/>
  <c r="J176" i="5" s="1"/>
  <c r="J175" i="5" s="1"/>
  <c r="J174" i="5" s="1"/>
  <c r="I515" i="3"/>
  <c r="I514" i="3" s="1"/>
  <c r="I513" i="3" s="1"/>
  <c r="I498" i="3" s="1"/>
  <c r="I493" i="3" s="1"/>
  <c r="L620" i="4"/>
  <c r="L619" i="4" s="1"/>
  <c r="J468" i="3"/>
  <c r="J467" i="3" s="1"/>
  <c r="J466" i="3" s="1"/>
  <c r="K542" i="5"/>
  <c r="K541" i="5" s="1"/>
  <c r="K540" i="5" s="1"/>
  <c r="J317" i="3"/>
  <c r="J316" i="3" s="1"/>
  <c r="J315" i="3" s="1"/>
  <c r="K361" i="5"/>
  <c r="K300" i="5"/>
  <c r="I361" i="5"/>
  <c r="I300" i="5"/>
  <c r="I173" i="5"/>
  <c r="I152" i="5" s="1"/>
  <c r="I199" i="5" s="1"/>
  <c r="I107" i="5"/>
  <c r="J361" i="5"/>
  <c r="J300" i="5"/>
  <c r="L663" i="4"/>
  <c r="L662" i="4" s="1"/>
  <c r="L661" i="4" s="1"/>
  <c r="K534" i="4"/>
  <c r="K533" i="4" s="1"/>
  <c r="I521" i="4"/>
  <c r="G896" i="3" s="1"/>
  <c r="G895" i="3" s="1"/>
  <c r="G894" i="3" s="1"/>
  <c r="J462" i="4"/>
  <c r="K444" i="4"/>
  <c r="K442" i="4"/>
  <c r="I793" i="3" s="1"/>
  <c r="I792" i="3" s="1"/>
  <c r="L350" i="4"/>
  <c r="L349" i="4" s="1"/>
  <c r="K350" i="4"/>
  <c r="K349" i="4" s="1"/>
  <c r="J350" i="4"/>
  <c r="J349" i="4" s="1"/>
  <c r="I350" i="4"/>
  <c r="I349" i="4" s="1"/>
  <c r="G350" i="4"/>
  <c r="G349" i="4" s="1"/>
  <c r="I308" i="4"/>
  <c r="I307" i="4" s="1"/>
  <c r="L308" i="4"/>
  <c r="L307" i="4" s="1"/>
  <c r="K308" i="4"/>
  <c r="K307" i="4" s="1"/>
  <c r="J308" i="4"/>
  <c r="J307" i="4" s="1"/>
  <c r="G308" i="4"/>
  <c r="G307" i="4" s="1"/>
  <c r="K223" i="4"/>
  <c r="I810" i="3" s="1"/>
  <c r="I809" i="3" s="1"/>
  <c r="I808" i="3" s="1"/>
  <c r="I807" i="3" s="1"/>
  <c r="K181" i="4"/>
  <c r="I228" i="3" s="1"/>
  <c r="I227" i="3" s="1"/>
  <c r="I224" i="3" s="1"/>
  <c r="K184" i="4"/>
  <c r="I231" i="3" s="1"/>
  <c r="I230" i="3" s="1"/>
  <c r="I229" i="3" s="1"/>
  <c r="J70" i="4"/>
  <c r="K70" i="4"/>
  <c r="K69" i="4" s="1"/>
  <c r="K68" i="4" s="1"/>
  <c r="L70" i="4"/>
  <c r="K42" i="4"/>
  <c r="I44" i="3" s="1"/>
  <c r="I43" i="3" s="1"/>
  <c r="I42" i="3" s="1"/>
  <c r="I41" i="3" s="1"/>
  <c r="K35" i="4"/>
  <c r="L35" i="4" s="1"/>
  <c r="L34" i="4" s="1"/>
  <c r="K18" i="4"/>
  <c r="I61" i="3" s="1"/>
  <c r="I60" i="3" s="1"/>
  <c r="J20" i="4"/>
  <c r="H63" i="3" s="1"/>
  <c r="H62" i="3" s="1"/>
  <c r="H59" i="3" s="1"/>
  <c r="H58" i="3" s="1"/>
  <c r="H57" i="3" s="1"/>
  <c r="H56" i="3" s="1"/>
  <c r="F17" i="2" s="1"/>
  <c r="L1133" i="4"/>
  <c r="K1133" i="4"/>
  <c r="J1133" i="4"/>
  <c r="I1133" i="4"/>
  <c r="L1131" i="4"/>
  <c r="L1128" i="4" s="1"/>
  <c r="L1127" i="4" s="1"/>
  <c r="L1126" i="4" s="1"/>
  <c r="K1131" i="4"/>
  <c r="K1128" i="4" s="1"/>
  <c r="K1127" i="4" s="1"/>
  <c r="K1126" i="4" s="1"/>
  <c r="J1131" i="4"/>
  <c r="J1128" i="4" s="1"/>
  <c r="J1127" i="4" s="1"/>
  <c r="J1126" i="4" s="1"/>
  <c r="G972" i="3"/>
  <c r="G971" i="3" s="1"/>
  <c r="G968" i="3" s="1"/>
  <c r="G967" i="3" s="1"/>
  <c r="G966" i="3" s="1"/>
  <c r="G965" i="3" s="1"/>
  <c r="L1115" i="4"/>
  <c r="L1114" i="4" s="1"/>
  <c r="L1113" i="4" s="1"/>
  <c r="L1112" i="4" s="1"/>
  <c r="K1115" i="4"/>
  <c r="K1114" i="4" s="1"/>
  <c r="K1113" i="4" s="1"/>
  <c r="K1112" i="4" s="1"/>
  <c r="J1115" i="4"/>
  <c r="J1114" i="4" s="1"/>
  <c r="J1113" i="4" s="1"/>
  <c r="J1112" i="4" s="1"/>
  <c r="I1115" i="4"/>
  <c r="I1114" i="4" s="1"/>
  <c r="I1113" i="4" s="1"/>
  <c r="I1112" i="4" s="1"/>
  <c r="L1110" i="4"/>
  <c r="L1109" i="4" s="1"/>
  <c r="L1108" i="4" s="1"/>
  <c r="K1110" i="4"/>
  <c r="K1109" i="4" s="1"/>
  <c r="K1108" i="4" s="1"/>
  <c r="J1110" i="4"/>
  <c r="J1109" i="4" s="1"/>
  <c r="J1108" i="4" s="1"/>
  <c r="I1110" i="4"/>
  <c r="I1109" i="4" s="1"/>
  <c r="I1108" i="4" s="1"/>
  <c r="L1105" i="4"/>
  <c r="K1105" i="4"/>
  <c r="J1105" i="4"/>
  <c r="I1105" i="4"/>
  <c r="L1103" i="4"/>
  <c r="K1103" i="4"/>
  <c r="K1102" i="4" s="1"/>
  <c r="K1101" i="4" s="1"/>
  <c r="K1100" i="4" s="1"/>
  <c r="K1099" i="4" s="1"/>
  <c r="J1103" i="4"/>
  <c r="I1103" i="4"/>
  <c r="L1097" i="4"/>
  <c r="K1097" i="4"/>
  <c r="J1097" i="4"/>
  <c r="I1097" i="4"/>
  <c r="L1095" i="4"/>
  <c r="K1095" i="4"/>
  <c r="J1095" i="4"/>
  <c r="I1095" i="4"/>
  <c r="L1093" i="4"/>
  <c r="K1093" i="4"/>
  <c r="J1093" i="4"/>
  <c r="I1093" i="4"/>
  <c r="L1087" i="4"/>
  <c r="K1087" i="4"/>
  <c r="J1087" i="4"/>
  <c r="I1087" i="4"/>
  <c r="G18" i="3"/>
  <c r="G17" i="3" s="1"/>
  <c r="L1073" i="4"/>
  <c r="L1072" i="4" s="1"/>
  <c r="L1071" i="4" s="1"/>
  <c r="L1070" i="4" s="1"/>
  <c r="L1069" i="4" s="1"/>
  <c r="K1073" i="4"/>
  <c r="K1072" i="4" s="1"/>
  <c r="K1071" i="4" s="1"/>
  <c r="K1070" i="4" s="1"/>
  <c r="K1069" i="4" s="1"/>
  <c r="J1073" i="4"/>
  <c r="J1072" i="4" s="1"/>
  <c r="J1071" i="4" s="1"/>
  <c r="J1070" i="4" s="1"/>
  <c r="J1069" i="4" s="1"/>
  <c r="I1073" i="4"/>
  <c r="I1072" i="4" s="1"/>
  <c r="I1071" i="4" s="1"/>
  <c r="I1070" i="4" s="1"/>
  <c r="I1069" i="4" s="1"/>
  <c r="L1066" i="4"/>
  <c r="J1066" i="4"/>
  <c r="G439" i="3"/>
  <c r="G438" i="3" s="1"/>
  <c r="K1066" i="4"/>
  <c r="L1064" i="4"/>
  <c r="J1064" i="4"/>
  <c r="J1063" i="4" s="1"/>
  <c r="G437" i="3"/>
  <c r="G436" i="3" s="1"/>
  <c r="K1064" i="4"/>
  <c r="L1061" i="4"/>
  <c r="L1060" i="4" s="1"/>
  <c r="K1061" i="4"/>
  <c r="K1060" i="4" s="1"/>
  <c r="J1061" i="4"/>
  <c r="J1060" i="4" s="1"/>
  <c r="I1061" i="4"/>
  <c r="I1060" i="4" s="1"/>
  <c r="L1058" i="4"/>
  <c r="J430" i="3" s="1"/>
  <c r="J429" i="3" s="1"/>
  <c r="K1058" i="4"/>
  <c r="I430" i="3" s="1"/>
  <c r="I429" i="3" s="1"/>
  <c r="J1058" i="4"/>
  <c r="H430" i="3" s="1"/>
  <c r="H429" i="3" s="1"/>
  <c r="I1058" i="4"/>
  <c r="G430" i="3" s="1"/>
  <c r="G429" i="3" s="1"/>
  <c r="I1055" i="4"/>
  <c r="K1053" i="4"/>
  <c r="G426" i="3"/>
  <c r="G425" i="3" s="1"/>
  <c r="L1053" i="4"/>
  <c r="J1053" i="4"/>
  <c r="L1044" i="4"/>
  <c r="L1043" i="4" s="1"/>
  <c r="K1044" i="4"/>
  <c r="K1043" i="4" s="1"/>
  <c r="J1044" i="4"/>
  <c r="J1043" i="4" s="1"/>
  <c r="I1044" i="4"/>
  <c r="I1043" i="4" s="1"/>
  <c r="L1041" i="4"/>
  <c r="L1040" i="4" s="1"/>
  <c r="K1041" i="4"/>
  <c r="K1040" i="4" s="1"/>
  <c r="K1039" i="4" s="1"/>
  <c r="J1041" i="4"/>
  <c r="J1040" i="4" s="1"/>
  <c r="J1039" i="4" s="1"/>
  <c r="I1041" i="4"/>
  <c r="I1040" i="4" s="1"/>
  <c r="L1037" i="4"/>
  <c r="L1036" i="4" s="1"/>
  <c r="K1037" i="4"/>
  <c r="K1036" i="4" s="1"/>
  <c r="J1037" i="4"/>
  <c r="J1036" i="4" s="1"/>
  <c r="I1037" i="4"/>
  <c r="I1036" i="4" s="1"/>
  <c r="L1034" i="4"/>
  <c r="L1033" i="4" s="1"/>
  <c r="K1034" i="4"/>
  <c r="K1033" i="4" s="1"/>
  <c r="J1034" i="4"/>
  <c r="J1033" i="4" s="1"/>
  <c r="I1034" i="4"/>
  <c r="I1033" i="4" s="1"/>
  <c r="L1031" i="4"/>
  <c r="L1030" i="4" s="1"/>
  <c r="K1031" i="4"/>
  <c r="K1030" i="4" s="1"/>
  <c r="J1031" i="4"/>
  <c r="J1030" i="4" s="1"/>
  <c r="I1031" i="4"/>
  <c r="I1030" i="4" s="1"/>
  <c r="L1028" i="4"/>
  <c r="L1027" i="4" s="1"/>
  <c r="J1028" i="4"/>
  <c r="J1027" i="4" s="1"/>
  <c r="I1029" i="4"/>
  <c r="G401" i="3" s="1"/>
  <c r="G400" i="3" s="1"/>
  <c r="G399" i="3" s="1"/>
  <c r="G398" i="3" s="1"/>
  <c r="G397" i="3" s="1"/>
  <c r="K1028" i="4"/>
  <c r="K1027" i="4" s="1"/>
  <c r="L1023" i="4"/>
  <c r="L1022" i="4" s="1"/>
  <c r="L1021" i="4" s="1"/>
  <c r="L1185" i="4" s="1"/>
  <c r="K1023" i="4"/>
  <c r="K1022" i="4" s="1"/>
  <c r="K1021" i="4" s="1"/>
  <c r="K1185" i="4" s="1"/>
  <c r="J1023" i="4"/>
  <c r="J1022" i="4" s="1"/>
  <c r="J1021" i="4" s="1"/>
  <c r="J1185" i="4" s="1"/>
  <c r="I1023" i="4"/>
  <c r="I1022" i="4" s="1"/>
  <c r="I1021" i="4" s="1"/>
  <c r="I1185" i="4" s="1"/>
  <c r="L1019" i="4"/>
  <c r="L1018" i="4" s="1"/>
  <c r="K1019" i="4"/>
  <c r="K1018" i="4" s="1"/>
  <c r="J1019" i="4"/>
  <c r="J1018" i="4" s="1"/>
  <c r="I1019" i="4"/>
  <c r="I1018" i="4" s="1"/>
  <c r="L1016" i="4"/>
  <c r="L1015" i="4" s="1"/>
  <c r="K1016" i="4"/>
  <c r="K1015" i="4" s="1"/>
  <c r="J1016" i="4"/>
  <c r="J1015" i="4" s="1"/>
  <c r="I1016" i="4"/>
  <c r="I1015" i="4" s="1"/>
  <c r="L1013" i="4"/>
  <c r="L1012" i="4" s="1"/>
  <c r="K1013" i="4"/>
  <c r="K1012" i="4" s="1"/>
  <c r="J1013" i="4"/>
  <c r="J1012" i="4" s="1"/>
  <c r="I1013" i="4"/>
  <c r="I1012" i="4" s="1"/>
  <c r="L1010" i="4"/>
  <c r="K1010" i="4"/>
  <c r="J1010" i="4"/>
  <c r="I1010" i="4"/>
  <c r="K1008" i="4"/>
  <c r="I1009" i="4"/>
  <c r="I1008" i="4" s="1"/>
  <c r="L1008" i="4"/>
  <c r="J1008" i="4"/>
  <c r="K1001" i="4"/>
  <c r="K1000" i="4" s="1"/>
  <c r="J1001" i="4"/>
  <c r="J1000" i="4" s="1"/>
  <c r="I1001" i="4"/>
  <c r="I1000" i="4" s="1"/>
  <c r="L1000" i="4"/>
  <c r="L996" i="4"/>
  <c r="L995" i="4" s="1"/>
  <c r="K996" i="4"/>
  <c r="K995" i="4" s="1"/>
  <c r="J996" i="4"/>
  <c r="J995" i="4" s="1"/>
  <c r="I996" i="4"/>
  <c r="I995" i="4" s="1"/>
  <c r="L993" i="4"/>
  <c r="L992" i="4" s="1"/>
  <c r="K993" i="4"/>
  <c r="K992" i="4" s="1"/>
  <c r="J993" i="4"/>
  <c r="J992" i="4" s="1"/>
  <c r="I993" i="4"/>
  <c r="I992" i="4" s="1"/>
  <c r="L978" i="4"/>
  <c r="L975" i="4" s="1"/>
  <c r="K978" i="4"/>
  <c r="K975" i="4" s="1"/>
  <c r="J978" i="4"/>
  <c r="J975" i="4" s="1"/>
  <c r="I978" i="4"/>
  <c r="I975" i="4" s="1"/>
  <c r="L972" i="4"/>
  <c r="K972" i="4"/>
  <c r="J972" i="4"/>
  <c r="I972" i="4"/>
  <c r="L970" i="4"/>
  <c r="K970" i="4"/>
  <c r="J970" i="4"/>
  <c r="G343" i="3"/>
  <c r="G342" i="3" s="1"/>
  <c r="G341" i="3" s="1"/>
  <c r="G340" i="3" s="1"/>
  <c r="L966" i="4"/>
  <c r="L965" i="4" s="1"/>
  <c r="K966" i="4"/>
  <c r="K965" i="4" s="1"/>
  <c r="J966" i="4"/>
  <c r="J965" i="4" s="1"/>
  <c r="I966" i="4"/>
  <c r="I965" i="4" s="1"/>
  <c r="L960" i="4"/>
  <c r="J960" i="4"/>
  <c r="I961" i="4"/>
  <c r="I960" i="4" s="1"/>
  <c r="K960" i="4"/>
  <c r="K958" i="4"/>
  <c r="K957" i="4" s="1"/>
  <c r="I959" i="4"/>
  <c r="G331" i="3" s="1"/>
  <c r="G330" i="3" s="1"/>
  <c r="G329" i="3" s="1"/>
  <c r="G328" i="3" s="1"/>
  <c r="L958" i="4"/>
  <c r="L957" i="4" s="1"/>
  <c r="J958" i="4"/>
  <c r="J957" i="4" s="1"/>
  <c r="I954" i="4"/>
  <c r="I950" i="4"/>
  <c r="I949" i="4" s="1"/>
  <c r="I948" i="4"/>
  <c r="I945" i="4"/>
  <c r="I940" i="4"/>
  <c r="I935" i="4"/>
  <c r="I931" i="4"/>
  <c r="I930" i="4" s="1"/>
  <c r="I928" i="4"/>
  <c r="I927" i="4" s="1"/>
  <c r="L920" i="4"/>
  <c r="L919" i="4" s="1"/>
  <c r="J920" i="4"/>
  <c r="J919" i="4" s="1"/>
  <c r="I921" i="4"/>
  <c r="G288" i="3" s="1"/>
  <c r="G287" i="3" s="1"/>
  <c r="G286" i="3" s="1"/>
  <c r="K920" i="4"/>
  <c r="K919" i="4" s="1"/>
  <c r="K917" i="4"/>
  <c r="K916" i="4" s="1"/>
  <c r="I918" i="4"/>
  <c r="G285" i="3" s="1"/>
  <c r="G284" i="3" s="1"/>
  <c r="G281" i="3" s="1"/>
  <c r="L917" i="4"/>
  <c r="L916" i="4" s="1"/>
  <c r="J917" i="4"/>
  <c r="J916" i="4" s="1"/>
  <c r="L923" i="4"/>
  <c r="L922" i="4" s="1"/>
  <c r="K923" i="4"/>
  <c r="K922" i="4" s="1"/>
  <c r="J923" i="4"/>
  <c r="J922" i="4" s="1"/>
  <c r="I923" i="4"/>
  <c r="I922" i="4" s="1"/>
  <c r="L913" i="4"/>
  <c r="L912" i="4" s="1"/>
  <c r="L911" i="4" s="1"/>
  <c r="K913" i="4"/>
  <c r="K912" i="4" s="1"/>
  <c r="K911" i="4" s="1"/>
  <c r="J913" i="4"/>
  <c r="J912" i="4" s="1"/>
  <c r="J911" i="4" s="1"/>
  <c r="I913" i="4"/>
  <c r="I912" i="4" s="1"/>
  <c r="I911" i="4" s="1"/>
  <c r="L907" i="4"/>
  <c r="K907" i="4"/>
  <c r="J907" i="4"/>
  <c r="J906" i="4" s="1"/>
  <c r="I907" i="4"/>
  <c r="L906" i="4"/>
  <c r="L899" i="4"/>
  <c r="L898" i="4" s="1"/>
  <c r="L897" i="4" s="1"/>
  <c r="L896" i="4" s="1"/>
  <c r="L895" i="4" s="1"/>
  <c r="K899" i="4"/>
  <c r="K898" i="4" s="1"/>
  <c r="K897" i="4" s="1"/>
  <c r="K896" i="4" s="1"/>
  <c r="K895" i="4" s="1"/>
  <c r="J899" i="4"/>
  <c r="J898" i="4" s="1"/>
  <c r="J897" i="4" s="1"/>
  <c r="J896" i="4" s="1"/>
  <c r="J895" i="4" s="1"/>
  <c r="I899" i="4"/>
  <c r="I898" i="4" s="1"/>
  <c r="I897" i="4" s="1"/>
  <c r="I896" i="4" s="1"/>
  <c r="I895" i="4" s="1"/>
  <c r="L892" i="4"/>
  <c r="L891" i="4" s="1"/>
  <c r="L890" i="4" s="1"/>
  <c r="L889" i="4" s="1"/>
  <c r="L888" i="4" s="1"/>
  <c r="L887" i="4" s="1"/>
  <c r="K892" i="4"/>
  <c r="K891" i="4" s="1"/>
  <c r="K890" i="4" s="1"/>
  <c r="K889" i="4" s="1"/>
  <c r="K888" i="4" s="1"/>
  <c r="K887" i="4" s="1"/>
  <c r="J892" i="4"/>
  <c r="J891" i="4" s="1"/>
  <c r="J890" i="4" s="1"/>
  <c r="J889" i="4" s="1"/>
  <c r="J888" i="4" s="1"/>
  <c r="J887" i="4" s="1"/>
  <c r="I892" i="4"/>
  <c r="I891" i="4" s="1"/>
  <c r="I890" i="4" s="1"/>
  <c r="I889" i="4" s="1"/>
  <c r="I888" i="4" s="1"/>
  <c r="I887" i="4" s="1"/>
  <c r="L885" i="4"/>
  <c r="K885" i="4"/>
  <c r="J885" i="4"/>
  <c r="I885" i="4"/>
  <c r="K883" i="4"/>
  <c r="G204" i="3"/>
  <c r="G203" i="3" s="1"/>
  <c r="L883" i="4"/>
  <c r="J883" i="4"/>
  <c r="L881" i="4"/>
  <c r="K881" i="4"/>
  <c r="J881" i="4"/>
  <c r="G202" i="3"/>
  <c r="G201" i="3" s="1"/>
  <c r="L877" i="4"/>
  <c r="L876" i="4" s="1"/>
  <c r="L875" i="4" s="1"/>
  <c r="K877" i="4"/>
  <c r="K876" i="4" s="1"/>
  <c r="J877" i="4"/>
  <c r="J876" i="4" s="1"/>
  <c r="J875" i="4" s="1"/>
  <c r="I877" i="4"/>
  <c r="I876" i="4" s="1"/>
  <c r="I875" i="4" s="1"/>
  <c r="L871" i="4"/>
  <c r="J963" i="3" s="1"/>
  <c r="J962" i="3" s="1"/>
  <c r="K871" i="4"/>
  <c r="I963" i="3" s="1"/>
  <c r="I962" i="3" s="1"/>
  <c r="J871" i="4"/>
  <c r="H963" i="3" s="1"/>
  <c r="H962" i="3" s="1"/>
  <c r="I871" i="4"/>
  <c r="G963" i="3" s="1"/>
  <c r="G962" i="3" s="1"/>
  <c r="G961" i="3"/>
  <c r="G960" i="3" s="1"/>
  <c r="L866" i="4"/>
  <c r="K866" i="4"/>
  <c r="J866" i="4"/>
  <c r="G959" i="3"/>
  <c r="G958" i="3" s="1"/>
  <c r="L862" i="4"/>
  <c r="K862" i="4"/>
  <c r="J862" i="4"/>
  <c r="I862" i="4"/>
  <c r="L860" i="4"/>
  <c r="K860" i="4"/>
  <c r="J860" i="4"/>
  <c r="I860" i="4"/>
  <c r="L855" i="4"/>
  <c r="J855" i="4"/>
  <c r="I856" i="4"/>
  <c r="K855" i="4"/>
  <c r="L853" i="4"/>
  <c r="K853" i="4"/>
  <c r="J853" i="4"/>
  <c r="I853" i="4"/>
  <c r="L847" i="4"/>
  <c r="K847" i="4"/>
  <c r="J847" i="4"/>
  <c r="I847" i="4"/>
  <c r="L846" i="4"/>
  <c r="L845" i="4" s="1"/>
  <c r="L1164" i="4" s="1"/>
  <c r="K846" i="4"/>
  <c r="K845" i="4" s="1"/>
  <c r="K1164" i="4" s="1"/>
  <c r="J846" i="4"/>
  <c r="J845" i="4" s="1"/>
  <c r="J1164" i="4" s="1"/>
  <c r="I846" i="4"/>
  <c r="I845" i="4" s="1"/>
  <c r="I1164" i="4" s="1"/>
  <c r="L832" i="4"/>
  <c r="L831" i="4" s="1"/>
  <c r="K832" i="4"/>
  <c r="K831" i="4" s="1"/>
  <c r="J832" i="4"/>
  <c r="J831" i="4" s="1"/>
  <c r="I832" i="4"/>
  <c r="I831" i="4" s="1"/>
  <c r="L829" i="4"/>
  <c r="L828" i="4" s="1"/>
  <c r="K829" i="4"/>
  <c r="K828" i="4" s="1"/>
  <c r="J829" i="4"/>
  <c r="J828" i="4" s="1"/>
  <c r="I830" i="4"/>
  <c r="L826" i="4"/>
  <c r="L825" i="4" s="1"/>
  <c r="J826" i="4"/>
  <c r="J825" i="4" s="1"/>
  <c r="K826" i="4"/>
  <c r="K825" i="4" s="1"/>
  <c r="L820" i="4"/>
  <c r="L819" i="4" s="1"/>
  <c r="L818" i="4" s="1"/>
  <c r="K820" i="4"/>
  <c r="K819" i="4" s="1"/>
  <c r="K818" i="4" s="1"/>
  <c r="J820" i="4"/>
  <c r="J819" i="4" s="1"/>
  <c r="J818" i="4" s="1"/>
  <c r="I820" i="4"/>
  <c r="I819" i="4" s="1"/>
  <c r="I818" i="4" s="1"/>
  <c r="L817" i="4"/>
  <c r="K817" i="4"/>
  <c r="K816" i="4" s="1"/>
  <c r="K815" i="4" s="1"/>
  <c r="J817" i="4"/>
  <c r="I817" i="4"/>
  <c r="L813" i="4"/>
  <c r="L812" i="4" s="1"/>
  <c r="K813" i="4"/>
  <c r="K812" i="4" s="1"/>
  <c r="J813" i="4"/>
  <c r="J812" i="4" s="1"/>
  <c r="I813" i="4"/>
  <c r="I812" i="4" s="1"/>
  <c r="L805" i="4"/>
  <c r="L804" i="4" s="1"/>
  <c r="K805" i="4"/>
  <c r="K804" i="4" s="1"/>
  <c r="J805" i="4"/>
  <c r="J804" i="4" s="1"/>
  <c r="I805" i="4"/>
  <c r="I804" i="4" s="1"/>
  <c r="L802" i="4"/>
  <c r="L801" i="4" s="1"/>
  <c r="K802" i="4"/>
  <c r="K801" i="4" s="1"/>
  <c r="J802" i="4"/>
  <c r="J801" i="4" s="1"/>
  <c r="I802" i="4"/>
  <c r="I801" i="4" s="1"/>
  <c r="L799" i="4"/>
  <c r="L798" i="4" s="1"/>
  <c r="K799" i="4"/>
  <c r="K798" i="4" s="1"/>
  <c r="J799" i="4"/>
  <c r="J798" i="4" s="1"/>
  <c r="I799" i="4"/>
  <c r="I798" i="4" s="1"/>
  <c r="L796" i="4"/>
  <c r="L795" i="4" s="1"/>
  <c r="K796" i="4"/>
  <c r="K795" i="4" s="1"/>
  <c r="J796" i="4"/>
  <c r="J795" i="4" s="1"/>
  <c r="I796" i="4"/>
  <c r="I795" i="4" s="1"/>
  <c r="L793" i="4"/>
  <c r="L792" i="4" s="1"/>
  <c r="J793" i="4"/>
  <c r="J792" i="4" s="1"/>
  <c r="K793" i="4"/>
  <c r="K792" i="4" s="1"/>
  <c r="L780" i="4"/>
  <c r="J681" i="3" s="1"/>
  <c r="J680" i="3" s="1"/>
  <c r="K780" i="4"/>
  <c r="I681" i="3" s="1"/>
  <c r="I680" i="3" s="1"/>
  <c r="J780" i="4"/>
  <c r="H681" i="3" s="1"/>
  <c r="H680" i="3" s="1"/>
  <c r="I780" i="4"/>
  <c r="G681" i="3" s="1"/>
  <c r="G680" i="3" s="1"/>
  <c r="G679" i="3"/>
  <c r="G678" i="3" s="1"/>
  <c r="L775" i="4"/>
  <c r="J775" i="4"/>
  <c r="G677" i="3"/>
  <c r="G676" i="3" s="1"/>
  <c r="K775" i="4"/>
  <c r="K772" i="4"/>
  <c r="K771" i="4" s="1"/>
  <c r="I773" i="4"/>
  <c r="G674" i="3" s="1"/>
  <c r="G673" i="3" s="1"/>
  <c r="G672" i="3" s="1"/>
  <c r="L772" i="4"/>
  <c r="L771" i="4" s="1"/>
  <c r="J772" i="4"/>
  <c r="J771" i="4" s="1"/>
  <c r="L768" i="4"/>
  <c r="G666" i="3"/>
  <c r="G665" i="3" s="1"/>
  <c r="K768" i="4"/>
  <c r="J768" i="4"/>
  <c r="L766" i="4"/>
  <c r="J766" i="4"/>
  <c r="G664" i="3"/>
  <c r="G663" i="3" s="1"/>
  <c r="K766" i="4"/>
  <c r="L761" i="4"/>
  <c r="K761" i="4"/>
  <c r="J761" i="4"/>
  <c r="I761" i="4"/>
  <c r="L759" i="4"/>
  <c r="K759" i="4"/>
  <c r="J759" i="4"/>
  <c r="I759" i="4"/>
  <c r="L757" i="4"/>
  <c r="L756" i="4" s="1"/>
  <c r="L755" i="4" s="1"/>
  <c r="K757" i="4"/>
  <c r="J757" i="4"/>
  <c r="I757" i="4"/>
  <c r="L752" i="4"/>
  <c r="J649" i="3" s="1"/>
  <c r="J648" i="3" s="1"/>
  <c r="J647" i="3" s="1"/>
  <c r="J646" i="3" s="1"/>
  <c r="J645" i="3" s="1"/>
  <c r="J639" i="3" s="1"/>
  <c r="H38" i="2" s="1"/>
  <c r="K752" i="4"/>
  <c r="I649" i="3" s="1"/>
  <c r="I648" i="3" s="1"/>
  <c r="I647" i="3" s="1"/>
  <c r="I646" i="3" s="1"/>
  <c r="I645" i="3" s="1"/>
  <c r="I639" i="3" s="1"/>
  <c r="G38" i="2" s="1"/>
  <c r="J752" i="4"/>
  <c r="H649" i="3" s="1"/>
  <c r="H648" i="3" s="1"/>
  <c r="H647" i="3" s="1"/>
  <c r="H646" i="3" s="1"/>
  <c r="H645" i="3" s="1"/>
  <c r="H639" i="3" s="1"/>
  <c r="F38" i="2" s="1"/>
  <c r="I752" i="4"/>
  <c r="G649" i="3" s="1"/>
  <c r="G648" i="3" s="1"/>
  <c r="G647" i="3" s="1"/>
  <c r="G646" i="3" s="1"/>
  <c r="G645" i="3" s="1"/>
  <c r="G639" i="3" s="1"/>
  <c r="E38" i="2" s="1"/>
  <c r="L745" i="4"/>
  <c r="L744" i="4" s="1"/>
  <c r="L743" i="4" s="1"/>
  <c r="L742" i="4" s="1"/>
  <c r="K745" i="4"/>
  <c r="K744" i="4" s="1"/>
  <c r="K743" i="4" s="1"/>
  <c r="K742" i="4" s="1"/>
  <c r="J745" i="4"/>
  <c r="J744" i="4" s="1"/>
  <c r="J743" i="4" s="1"/>
  <c r="J742" i="4" s="1"/>
  <c r="I745" i="4"/>
  <c r="I744" i="4" s="1"/>
  <c r="I743" i="4" s="1"/>
  <c r="I742" i="4" s="1"/>
  <c r="L739" i="4"/>
  <c r="L738" i="4" s="1"/>
  <c r="K739" i="4"/>
  <c r="K738" i="4" s="1"/>
  <c r="J739" i="4"/>
  <c r="J738" i="4" s="1"/>
  <c r="I739" i="4"/>
  <c r="I738" i="4" s="1"/>
  <c r="L736" i="4"/>
  <c r="L735" i="4" s="1"/>
  <c r="K736" i="4"/>
  <c r="K735" i="4" s="1"/>
  <c r="J736" i="4"/>
  <c r="J735" i="4" s="1"/>
  <c r="I736" i="4"/>
  <c r="I735" i="4" s="1"/>
  <c r="L733" i="4"/>
  <c r="L732" i="4" s="1"/>
  <c r="K733" i="4"/>
  <c r="K732" i="4" s="1"/>
  <c r="J733" i="4"/>
  <c r="J732" i="4" s="1"/>
  <c r="I733" i="4"/>
  <c r="I732" i="4" s="1"/>
  <c r="L725" i="4"/>
  <c r="J578" i="3" s="1"/>
  <c r="J577" i="3" s="1"/>
  <c r="J576" i="3" s="1"/>
  <c r="J575" i="3" s="1"/>
  <c r="J570" i="3" s="1"/>
  <c r="K725" i="4"/>
  <c r="I578" i="3" s="1"/>
  <c r="I577" i="3" s="1"/>
  <c r="I576" i="3" s="1"/>
  <c r="I575" i="3" s="1"/>
  <c r="I570" i="3" s="1"/>
  <c r="J725" i="4"/>
  <c r="H578" i="3" s="1"/>
  <c r="H577" i="3" s="1"/>
  <c r="H576" i="3" s="1"/>
  <c r="H575" i="3" s="1"/>
  <c r="H570" i="3" s="1"/>
  <c r="I725" i="4"/>
  <c r="G578" i="3" s="1"/>
  <c r="G577" i="3" s="1"/>
  <c r="G576" i="3" s="1"/>
  <c r="G575" i="3" s="1"/>
  <c r="K721" i="4"/>
  <c r="K720" i="4" s="1"/>
  <c r="K719" i="4" s="1"/>
  <c r="L721" i="4"/>
  <c r="L720" i="4" s="1"/>
  <c r="L719" i="4" s="1"/>
  <c r="J721" i="4"/>
  <c r="J720" i="4" s="1"/>
  <c r="J719" i="4" s="1"/>
  <c r="L716" i="4"/>
  <c r="J568" i="3" s="1"/>
  <c r="J567" i="3" s="1"/>
  <c r="J566" i="3" s="1"/>
  <c r="K716" i="4"/>
  <c r="I568" i="3" s="1"/>
  <c r="I567" i="3" s="1"/>
  <c r="I566" i="3" s="1"/>
  <c r="J716" i="4"/>
  <c r="H568" i="3" s="1"/>
  <c r="H567" i="3" s="1"/>
  <c r="H566" i="3" s="1"/>
  <c r="I716" i="4"/>
  <c r="G568" i="3" s="1"/>
  <c r="G567" i="3" s="1"/>
  <c r="G566" i="3" s="1"/>
  <c r="L713" i="4"/>
  <c r="J565" i="3" s="1"/>
  <c r="J564" i="3" s="1"/>
  <c r="J563" i="3" s="1"/>
  <c r="K713" i="4"/>
  <c r="I565" i="3" s="1"/>
  <c r="I564" i="3" s="1"/>
  <c r="I563" i="3" s="1"/>
  <c r="J713" i="4"/>
  <c r="H565" i="3" s="1"/>
  <c r="H564" i="3" s="1"/>
  <c r="H563" i="3" s="1"/>
  <c r="I713" i="4"/>
  <c r="G565" i="3" s="1"/>
  <c r="G564" i="3" s="1"/>
  <c r="G563" i="3" s="1"/>
  <c r="L710" i="4"/>
  <c r="J562" i="3" s="1"/>
  <c r="J561" i="3" s="1"/>
  <c r="J560" i="3" s="1"/>
  <c r="K710" i="4"/>
  <c r="I562" i="3" s="1"/>
  <c r="I561" i="3" s="1"/>
  <c r="I560" i="3" s="1"/>
  <c r="J710" i="4"/>
  <c r="H562" i="3" s="1"/>
  <c r="H561" i="3" s="1"/>
  <c r="H560" i="3" s="1"/>
  <c r="I710" i="4"/>
  <c r="G562" i="3" s="1"/>
  <c r="G561" i="3" s="1"/>
  <c r="G560" i="3" s="1"/>
  <c r="L707" i="4"/>
  <c r="J559" i="3" s="1"/>
  <c r="J558" i="3" s="1"/>
  <c r="J557" i="3" s="1"/>
  <c r="K707" i="4"/>
  <c r="I559" i="3" s="1"/>
  <c r="I558" i="3" s="1"/>
  <c r="I557" i="3" s="1"/>
  <c r="J707" i="4"/>
  <c r="H559" i="3" s="1"/>
  <c r="H558" i="3" s="1"/>
  <c r="H557" i="3" s="1"/>
  <c r="I707" i="4"/>
  <c r="G559" i="3" s="1"/>
  <c r="G558" i="3" s="1"/>
  <c r="G557" i="3" s="1"/>
  <c r="L704" i="4"/>
  <c r="J556" i="3" s="1"/>
  <c r="J555" i="3" s="1"/>
  <c r="J554" i="3" s="1"/>
  <c r="K704" i="4"/>
  <c r="I556" i="3" s="1"/>
  <c r="I555" i="3" s="1"/>
  <c r="I554" i="3" s="1"/>
  <c r="J704" i="4"/>
  <c r="H556" i="3" s="1"/>
  <c r="H555" i="3" s="1"/>
  <c r="H554" i="3" s="1"/>
  <c r="I704" i="4"/>
  <c r="G556" i="3" s="1"/>
  <c r="G555" i="3" s="1"/>
  <c r="G554" i="3" s="1"/>
  <c r="L701" i="4"/>
  <c r="J553" i="3" s="1"/>
  <c r="J552" i="3" s="1"/>
  <c r="J551" i="3" s="1"/>
  <c r="K701" i="4"/>
  <c r="I553" i="3" s="1"/>
  <c r="I552" i="3" s="1"/>
  <c r="I551" i="3" s="1"/>
  <c r="J701" i="4"/>
  <c r="H553" i="3" s="1"/>
  <c r="H552" i="3" s="1"/>
  <c r="H551" i="3" s="1"/>
  <c r="I701" i="4"/>
  <c r="G553" i="3" s="1"/>
  <c r="G552" i="3" s="1"/>
  <c r="G551" i="3" s="1"/>
  <c r="L698" i="4"/>
  <c r="J550" i="3" s="1"/>
  <c r="J549" i="3" s="1"/>
  <c r="J548" i="3" s="1"/>
  <c r="K698" i="4"/>
  <c r="I550" i="3" s="1"/>
  <c r="I549" i="3" s="1"/>
  <c r="I548" i="3" s="1"/>
  <c r="J698" i="4"/>
  <c r="H550" i="3" s="1"/>
  <c r="H549" i="3" s="1"/>
  <c r="H548" i="3" s="1"/>
  <c r="I698" i="4"/>
  <c r="G550" i="3" s="1"/>
  <c r="G549" i="3" s="1"/>
  <c r="G548" i="3" s="1"/>
  <c r="L695" i="4"/>
  <c r="L694" i="4" s="1"/>
  <c r="L693" i="4" s="1"/>
  <c r="K695" i="4"/>
  <c r="K694" i="4" s="1"/>
  <c r="K693" i="4" s="1"/>
  <c r="J695" i="4"/>
  <c r="J694" i="4" s="1"/>
  <c r="J693" i="4" s="1"/>
  <c r="I695" i="4"/>
  <c r="I694" i="4" s="1"/>
  <c r="I693" i="4" s="1"/>
  <c r="L691" i="4"/>
  <c r="L690" i="4" s="1"/>
  <c r="K691" i="4"/>
  <c r="K690" i="4" s="1"/>
  <c r="J691" i="4"/>
  <c r="J690" i="4" s="1"/>
  <c r="I691" i="4"/>
  <c r="I690" i="4" s="1"/>
  <c r="L688" i="4"/>
  <c r="L687" i="4" s="1"/>
  <c r="K688" i="4"/>
  <c r="K687" i="4" s="1"/>
  <c r="J688" i="4"/>
  <c r="J687" i="4" s="1"/>
  <c r="I688" i="4"/>
  <c r="I687" i="4" s="1"/>
  <c r="L680" i="4"/>
  <c r="L679" i="4" s="1"/>
  <c r="K680" i="4"/>
  <c r="K679" i="4" s="1"/>
  <c r="J680" i="4"/>
  <c r="J679" i="4" s="1"/>
  <c r="I680" i="4"/>
  <c r="I679" i="4" s="1"/>
  <c r="L677" i="4"/>
  <c r="L676" i="4" s="1"/>
  <c r="K677" i="4"/>
  <c r="K676" i="4" s="1"/>
  <c r="J677" i="4"/>
  <c r="J676" i="4" s="1"/>
  <c r="I677" i="4"/>
  <c r="I676" i="4" s="1"/>
  <c r="L674" i="4"/>
  <c r="L673" i="4" s="1"/>
  <c r="K674" i="4"/>
  <c r="K673" i="4" s="1"/>
  <c r="J674" i="4"/>
  <c r="J673" i="4" s="1"/>
  <c r="I674" i="4"/>
  <c r="I673" i="4" s="1"/>
  <c r="L671" i="4"/>
  <c r="L670" i="4" s="1"/>
  <c r="J671" i="4"/>
  <c r="J670" i="4" s="1"/>
  <c r="I672" i="4"/>
  <c r="K671" i="4"/>
  <c r="K670" i="4" s="1"/>
  <c r="L668" i="4"/>
  <c r="L667" i="4" s="1"/>
  <c r="K668" i="4"/>
  <c r="K667" i="4" s="1"/>
  <c r="J668" i="4"/>
  <c r="J667" i="4" s="1"/>
  <c r="I668" i="4"/>
  <c r="I667" i="4" s="1"/>
  <c r="L665" i="4"/>
  <c r="L664" i="4" s="1"/>
  <c r="K665" i="4"/>
  <c r="K664" i="4" s="1"/>
  <c r="J665" i="4"/>
  <c r="J664" i="4" s="1"/>
  <c r="I665" i="4"/>
  <c r="I664" i="4" s="1"/>
  <c r="K662" i="4"/>
  <c r="K661" i="4" s="1"/>
  <c r="J662" i="4"/>
  <c r="J661" i="4" s="1"/>
  <c r="L659" i="4"/>
  <c r="L658" i="4" s="1"/>
  <c r="K659" i="4"/>
  <c r="K658" i="4" s="1"/>
  <c r="J659" i="4"/>
  <c r="J658" i="4" s="1"/>
  <c r="I659" i="4"/>
  <c r="I658" i="4" s="1"/>
  <c r="L656" i="4"/>
  <c r="L655" i="4" s="1"/>
  <c r="K656" i="4"/>
  <c r="K655" i="4" s="1"/>
  <c r="J656" i="4"/>
  <c r="J655" i="4" s="1"/>
  <c r="I656" i="4"/>
  <c r="I655" i="4" s="1"/>
  <c r="L652" i="4"/>
  <c r="L651" i="4" s="1"/>
  <c r="L650" i="4" s="1"/>
  <c r="J652" i="4"/>
  <c r="J651" i="4" s="1"/>
  <c r="J650" i="4" s="1"/>
  <c r="K652" i="4"/>
  <c r="K651" i="4" s="1"/>
  <c r="K650" i="4" s="1"/>
  <c r="L647" i="4"/>
  <c r="L646" i="4" s="1"/>
  <c r="L645" i="4" s="1"/>
  <c r="K647" i="4"/>
  <c r="K646" i="4" s="1"/>
  <c r="K645" i="4" s="1"/>
  <c r="J647" i="4"/>
  <c r="J646" i="4" s="1"/>
  <c r="J645" i="4" s="1"/>
  <c r="I647" i="4"/>
  <c r="I646" i="4" s="1"/>
  <c r="I645" i="4" s="1"/>
  <c r="L644" i="4"/>
  <c r="J488" i="3" s="1"/>
  <c r="J487" i="3" s="1"/>
  <c r="J486" i="3" s="1"/>
  <c r="K644" i="4"/>
  <c r="I488" i="3" s="1"/>
  <c r="I487" i="3" s="1"/>
  <c r="I486" i="3" s="1"/>
  <c r="J644" i="4"/>
  <c r="H488" i="3" s="1"/>
  <c r="H487" i="3" s="1"/>
  <c r="H486" i="3" s="1"/>
  <c r="I644" i="4"/>
  <c r="G488" i="3" s="1"/>
  <c r="G487" i="3" s="1"/>
  <c r="G486" i="3" s="1"/>
  <c r="L641" i="4"/>
  <c r="J485" i="3" s="1"/>
  <c r="J484" i="3" s="1"/>
  <c r="J483" i="3" s="1"/>
  <c r="K641" i="4"/>
  <c r="I485" i="3" s="1"/>
  <c r="I484" i="3" s="1"/>
  <c r="I483" i="3" s="1"/>
  <c r="J641" i="4"/>
  <c r="H485" i="3" s="1"/>
  <c r="H484" i="3" s="1"/>
  <c r="H483" i="3" s="1"/>
  <c r="I641" i="4"/>
  <c r="G485" i="3" s="1"/>
  <c r="G484" i="3" s="1"/>
  <c r="G483" i="3" s="1"/>
  <c r="L638" i="4"/>
  <c r="J482" i="3" s="1"/>
  <c r="J481" i="3" s="1"/>
  <c r="J480" i="3" s="1"/>
  <c r="K638" i="4"/>
  <c r="I482" i="3" s="1"/>
  <c r="I481" i="3" s="1"/>
  <c r="I480" i="3" s="1"/>
  <c r="J638" i="4"/>
  <c r="H482" i="3" s="1"/>
  <c r="H481" i="3" s="1"/>
  <c r="H480" i="3" s="1"/>
  <c r="I638" i="4"/>
  <c r="G482" i="3" s="1"/>
  <c r="G481" i="3" s="1"/>
  <c r="G480" i="3" s="1"/>
  <c r="L635" i="4"/>
  <c r="J479" i="3" s="1"/>
  <c r="J478" i="3" s="1"/>
  <c r="J477" i="3" s="1"/>
  <c r="K635" i="4"/>
  <c r="I479" i="3" s="1"/>
  <c r="I478" i="3" s="1"/>
  <c r="I477" i="3" s="1"/>
  <c r="J635" i="4"/>
  <c r="H479" i="3" s="1"/>
  <c r="H478" i="3" s="1"/>
  <c r="H477" i="3" s="1"/>
  <c r="I635" i="4"/>
  <c r="G479" i="3" s="1"/>
  <c r="G478" i="3" s="1"/>
  <c r="G477" i="3" s="1"/>
  <c r="L631" i="4"/>
  <c r="L630" i="4" s="1"/>
  <c r="K631" i="4"/>
  <c r="K630" i="4" s="1"/>
  <c r="J631" i="4"/>
  <c r="J630" i="4" s="1"/>
  <c r="I631" i="4"/>
  <c r="I630" i="4" s="1"/>
  <c r="L614" i="4"/>
  <c r="L613" i="4" s="1"/>
  <c r="K614" i="4"/>
  <c r="K613" i="4" s="1"/>
  <c r="J614" i="4"/>
  <c r="J613" i="4" s="1"/>
  <c r="I614" i="4"/>
  <c r="I613" i="4" s="1"/>
  <c r="L611" i="4"/>
  <c r="L610" i="4" s="1"/>
  <c r="K611" i="4"/>
  <c r="K610" i="4" s="1"/>
  <c r="J611" i="4"/>
  <c r="J610" i="4" s="1"/>
  <c r="I611" i="4"/>
  <c r="I610" i="4" s="1"/>
  <c r="L608" i="4"/>
  <c r="L607" i="4" s="1"/>
  <c r="K608" i="4"/>
  <c r="K607" i="4" s="1"/>
  <c r="I609" i="4"/>
  <c r="J608" i="4"/>
  <c r="J607" i="4" s="1"/>
  <c r="L605" i="4"/>
  <c r="L604" i="4" s="1"/>
  <c r="K605" i="4"/>
  <c r="K604" i="4" s="1"/>
  <c r="J605" i="4"/>
  <c r="J604" i="4" s="1"/>
  <c r="I605" i="4"/>
  <c r="I604" i="4" s="1"/>
  <c r="L601" i="4"/>
  <c r="L600" i="4" s="1"/>
  <c r="L599" i="4" s="1"/>
  <c r="K601" i="4"/>
  <c r="K600" i="4" s="1"/>
  <c r="K599" i="4" s="1"/>
  <c r="J601" i="4"/>
  <c r="J600" i="4" s="1"/>
  <c r="J599" i="4" s="1"/>
  <c r="L590" i="4"/>
  <c r="L589" i="4" s="1"/>
  <c r="L588" i="4" s="1"/>
  <c r="K590" i="4"/>
  <c r="K589" i="4" s="1"/>
  <c r="K588" i="4" s="1"/>
  <c r="J590" i="4"/>
  <c r="J589" i="4" s="1"/>
  <c r="J588" i="4" s="1"/>
  <c r="I590" i="4"/>
  <c r="I589" i="4" s="1"/>
  <c r="I588" i="4" s="1"/>
  <c r="L576" i="4"/>
  <c r="L575" i="4" s="1"/>
  <c r="L574" i="4" s="1"/>
  <c r="L573" i="4" s="1"/>
  <c r="L572" i="4" s="1"/>
  <c r="L571" i="4" s="1"/>
  <c r="K576" i="4"/>
  <c r="K575" i="4" s="1"/>
  <c r="K574" i="4" s="1"/>
  <c r="K573" i="4" s="1"/>
  <c r="K572" i="4" s="1"/>
  <c r="K571" i="4" s="1"/>
  <c r="J576" i="4"/>
  <c r="J575" i="4" s="1"/>
  <c r="J574" i="4" s="1"/>
  <c r="J573" i="4" s="1"/>
  <c r="J572" i="4" s="1"/>
  <c r="J571" i="4" s="1"/>
  <c r="I576" i="4"/>
  <c r="I575" i="4" s="1"/>
  <c r="I574" i="4" s="1"/>
  <c r="I573" i="4" s="1"/>
  <c r="I572" i="4" s="1"/>
  <c r="I571" i="4" s="1"/>
  <c r="L569" i="4"/>
  <c r="L568" i="4" s="1"/>
  <c r="K569" i="4"/>
  <c r="K568" i="4" s="1"/>
  <c r="J569" i="4"/>
  <c r="J568" i="4" s="1"/>
  <c r="I569" i="4"/>
  <c r="I568" i="4" s="1"/>
  <c r="L566" i="4"/>
  <c r="L565" i="4" s="1"/>
  <c r="K566" i="4"/>
  <c r="K565" i="4" s="1"/>
  <c r="J566" i="4"/>
  <c r="J565" i="4" s="1"/>
  <c r="I566" i="4"/>
  <c r="I565" i="4" s="1"/>
  <c r="L562" i="4"/>
  <c r="L561" i="4" s="1"/>
  <c r="L560" i="4" s="1"/>
  <c r="L559" i="4" s="1"/>
  <c r="K562" i="4"/>
  <c r="K561" i="4" s="1"/>
  <c r="K560" i="4" s="1"/>
  <c r="K559" i="4" s="1"/>
  <c r="J562" i="4"/>
  <c r="J561" i="4" s="1"/>
  <c r="J560" i="4" s="1"/>
  <c r="J559" i="4" s="1"/>
  <c r="I562" i="4"/>
  <c r="I561" i="4" s="1"/>
  <c r="I560" i="4" s="1"/>
  <c r="I559" i="4" s="1"/>
  <c r="I552" i="4"/>
  <c r="G181" i="3" s="1"/>
  <c r="G180" i="3" s="1"/>
  <c r="G179" i="3" s="1"/>
  <c r="L551" i="4"/>
  <c r="L550" i="4" s="1"/>
  <c r="L549" i="4" s="1"/>
  <c r="L544" i="4" s="1"/>
  <c r="L539" i="4" s="1"/>
  <c r="K551" i="4"/>
  <c r="K550" i="4" s="1"/>
  <c r="K549" i="4" s="1"/>
  <c r="K544" i="4" s="1"/>
  <c r="K539" i="4" s="1"/>
  <c r="J551" i="4"/>
  <c r="J550" i="4" s="1"/>
  <c r="J549" i="4" s="1"/>
  <c r="J544" i="4" s="1"/>
  <c r="J539" i="4" s="1"/>
  <c r="L538" i="4"/>
  <c r="K538" i="4"/>
  <c r="J538" i="4"/>
  <c r="I538" i="4"/>
  <c r="I537" i="4" s="1"/>
  <c r="I536" i="4"/>
  <c r="I535" i="4" s="1"/>
  <c r="J533" i="4"/>
  <c r="I533" i="4"/>
  <c r="L525" i="4"/>
  <c r="L524" i="4" s="1"/>
  <c r="L523" i="4" s="1"/>
  <c r="K525" i="4"/>
  <c r="K524" i="4" s="1"/>
  <c r="K523" i="4" s="1"/>
  <c r="J525" i="4"/>
  <c r="J524" i="4" s="1"/>
  <c r="J523" i="4" s="1"/>
  <c r="I525" i="4"/>
  <c r="I524" i="4" s="1"/>
  <c r="I523" i="4" s="1"/>
  <c r="L520" i="4"/>
  <c r="L519" i="4" s="1"/>
  <c r="K520" i="4"/>
  <c r="K519" i="4" s="1"/>
  <c r="J520" i="4"/>
  <c r="J519" i="4" s="1"/>
  <c r="L517" i="4"/>
  <c r="L516" i="4" s="1"/>
  <c r="K517" i="4"/>
  <c r="K516" i="4" s="1"/>
  <c r="J517" i="4"/>
  <c r="J516" i="4" s="1"/>
  <c r="I517" i="4"/>
  <c r="I516" i="4" s="1"/>
  <c r="L514" i="4"/>
  <c r="L513" i="4" s="1"/>
  <c r="K514" i="4"/>
  <c r="K513" i="4" s="1"/>
  <c r="J514" i="4"/>
  <c r="J513" i="4" s="1"/>
  <c r="I514" i="4"/>
  <c r="I513" i="4" s="1"/>
  <c r="L509" i="4"/>
  <c r="L508" i="4" s="1"/>
  <c r="L507" i="4" s="1"/>
  <c r="J509" i="4"/>
  <c r="J508" i="4" s="1"/>
  <c r="J507" i="4" s="1"/>
  <c r="I510" i="4"/>
  <c r="K509" i="4"/>
  <c r="K508" i="4" s="1"/>
  <c r="K507" i="4" s="1"/>
  <c r="L505" i="4"/>
  <c r="K505" i="4"/>
  <c r="J505" i="4"/>
  <c r="I505" i="4"/>
  <c r="L503" i="4"/>
  <c r="L502" i="4" s="1"/>
  <c r="K503" i="4"/>
  <c r="J503" i="4"/>
  <c r="I503" i="4"/>
  <c r="L500" i="4"/>
  <c r="L499" i="4" s="1"/>
  <c r="K500" i="4"/>
  <c r="K499" i="4" s="1"/>
  <c r="J500" i="4"/>
  <c r="J499" i="4" s="1"/>
  <c r="I500" i="4"/>
  <c r="I499" i="4" s="1"/>
  <c r="L497" i="4"/>
  <c r="L496" i="4" s="1"/>
  <c r="K497" i="4"/>
  <c r="K496" i="4" s="1"/>
  <c r="J497" i="4"/>
  <c r="J496" i="4" s="1"/>
  <c r="I497" i="4"/>
  <c r="I496" i="4" s="1"/>
  <c r="L492" i="4"/>
  <c r="K492" i="4"/>
  <c r="J492" i="4"/>
  <c r="J491" i="4" s="1"/>
  <c r="J490" i="4" s="1"/>
  <c r="I492" i="4"/>
  <c r="L488" i="4"/>
  <c r="K488" i="4"/>
  <c r="J488" i="4"/>
  <c r="I488" i="4"/>
  <c r="L483" i="4"/>
  <c r="L482" i="4" s="1"/>
  <c r="L481" i="4" s="1"/>
  <c r="K483" i="4"/>
  <c r="K482" i="4" s="1"/>
  <c r="K481" i="4" s="1"/>
  <c r="J483" i="4"/>
  <c r="J482" i="4" s="1"/>
  <c r="J481" i="4" s="1"/>
  <c r="L479" i="4"/>
  <c r="K479" i="4"/>
  <c r="J479" i="4"/>
  <c r="I479" i="4"/>
  <c r="L478" i="4"/>
  <c r="L477" i="4" s="1"/>
  <c r="L476" i="4" s="1"/>
  <c r="L475" i="4" s="1"/>
  <c r="K478" i="4"/>
  <c r="J478" i="4"/>
  <c r="J477" i="4" s="1"/>
  <c r="I478" i="4"/>
  <c r="L473" i="4"/>
  <c r="L472" i="4" s="1"/>
  <c r="L471" i="4" s="1"/>
  <c r="K473" i="4"/>
  <c r="K472" i="4" s="1"/>
  <c r="K471" i="4" s="1"/>
  <c r="J473" i="4"/>
  <c r="J472" i="4" s="1"/>
  <c r="J471" i="4" s="1"/>
  <c r="I473" i="4"/>
  <c r="I472" i="4" s="1"/>
  <c r="I471" i="4" s="1"/>
  <c r="L470" i="4"/>
  <c r="K470" i="4"/>
  <c r="J470" i="4"/>
  <c r="I470" i="4"/>
  <c r="L466" i="4"/>
  <c r="K466" i="4"/>
  <c r="K465" i="4" s="1"/>
  <c r="K464" i="4" s="1"/>
  <c r="J466" i="4"/>
  <c r="I466" i="4"/>
  <c r="L462" i="4"/>
  <c r="K462" i="4"/>
  <c r="I462" i="4"/>
  <c r="L461" i="4"/>
  <c r="K461" i="4"/>
  <c r="J461" i="4"/>
  <c r="I461" i="4"/>
  <c r="L451" i="4"/>
  <c r="K451" i="4"/>
  <c r="J451" i="4"/>
  <c r="I451" i="4"/>
  <c r="G801" i="3"/>
  <c r="G800" i="3" s="1"/>
  <c r="L449" i="4"/>
  <c r="K449" i="4"/>
  <c r="J449" i="4"/>
  <c r="G799" i="3"/>
  <c r="G798" i="3" s="1"/>
  <c r="L447" i="4"/>
  <c r="K447" i="4"/>
  <c r="J447" i="4"/>
  <c r="I447" i="4"/>
  <c r="J443" i="4"/>
  <c r="I443" i="4"/>
  <c r="J441" i="4"/>
  <c r="I441" i="4"/>
  <c r="L436" i="4"/>
  <c r="L435" i="4" s="1"/>
  <c r="L434" i="4" s="1"/>
  <c r="K436" i="4"/>
  <c r="K435" i="4" s="1"/>
  <c r="K434" i="4" s="1"/>
  <c r="J436" i="4"/>
  <c r="J435" i="4" s="1"/>
  <c r="J434" i="4" s="1"/>
  <c r="I436" i="4"/>
  <c r="I435" i="4" s="1"/>
  <c r="I434" i="4" s="1"/>
  <c r="I430" i="4"/>
  <c r="I429" i="4" s="1"/>
  <c r="I428" i="4" s="1"/>
  <c r="L429" i="4"/>
  <c r="L428" i="4" s="1"/>
  <c r="K429" i="4"/>
  <c r="K428" i="4" s="1"/>
  <c r="J429" i="4"/>
  <c r="J428" i="4" s="1"/>
  <c r="L423" i="4"/>
  <c r="L422" i="4" s="1"/>
  <c r="K423" i="4"/>
  <c r="K422" i="4" s="1"/>
  <c r="J423" i="4"/>
  <c r="J422" i="4" s="1"/>
  <c r="I423" i="4"/>
  <c r="I422" i="4" s="1"/>
  <c r="L417" i="4"/>
  <c r="L416" i="4" s="1"/>
  <c r="K417" i="4"/>
  <c r="K416" i="4" s="1"/>
  <c r="J417" i="4"/>
  <c r="J416" i="4" s="1"/>
  <c r="I417" i="4"/>
  <c r="I416" i="4" s="1"/>
  <c r="L412" i="4"/>
  <c r="L411" i="4" s="1"/>
  <c r="K412" i="4"/>
  <c r="K411" i="4" s="1"/>
  <c r="J412" i="4"/>
  <c r="J411" i="4" s="1"/>
  <c r="I412" i="4"/>
  <c r="I411" i="4" s="1"/>
  <c r="L410" i="4"/>
  <c r="L409" i="4" s="1"/>
  <c r="L408" i="4" s="1"/>
  <c r="J770" i="3" s="1"/>
  <c r="J769" i="3" s="1"/>
  <c r="J768" i="3" s="1"/>
  <c r="K410" i="4"/>
  <c r="K409" i="4" s="1"/>
  <c r="K408" i="4" s="1"/>
  <c r="I770" i="3" s="1"/>
  <c r="I769" i="3" s="1"/>
  <c r="I768" i="3" s="1"/>
  <c r="J410" i="4"/>
  <c r="J409" i="4" s="1"/>
  <c r="J408" i="4" s="1"/>
  <c r="H770" i="3" s="1"/>
  <c r="H769" i="3" s="1"/>
  <c r="H768" i="3" s="1"/>
  <c r="I410" i="4"/>
  <c r="I409" i="4" s="1"/>
  <c r="I408" i="4" s="1"/>
  <c r="G770" i="3" s="1"/>
  <c r="G769" i="3" s="1"/>
  <c r="G768" i="3" s="1"/>
  <c r="L407" i="4"/>
  <c r="J767" i="3" s="1"/>
  <c r="J766" i="3" s="1"/>
  <c r="J765" i="3" s="1"/>
  <c r="K407" i="4"/>
  <c r="I767" i="3" s="1"/>
  <c r="I766" i="3" s="1"/>
  <c r="I765" i="3" s="1"/>
  <c r="J407" i="4"/>
  <c r="H767" i="3" s="1"/>
  <c r="H766" i="3" s="1"/>
  <c r="H765" i="3" s="1"/>
  <c r="I407" i="4"/>
  <c r="G767" i="3" s="1"/>
  <c r="G766" i="3" s="1"/>
  <c r="G765" i="3" s="1"/>
  <c r="L404" i="4"/>
  <c r="J764" i="3" s="1"/>
  <c r="K404" i="4"/>
  <c r="I764" i="3" s="1"/>
  <c r="J404" i="4"/>
  <c r="H764" i="3" s="1"/>
  <c r="I404" i="4"/>
  <c r="G764" i="3" s="1"/>
  <c r="L401" i="4"/>
  <c r="K401" i="4"/>
  <c r="J401" i="4"/>
  <c r="I401" i="4"/>
  <c r="L399" i="4"/>
  <c r="L398" i="4" s="1"/>
  <c r="K399" i="4"/>
  <c r="K398" i="4" s="1"/>
  <c r="J399" i="4"/>
  <c r="J398" i="4" s="1"/>
  <c r="I399" i="4"/>
  <c r="I398" i="4" s="1"/>
  <c r="L397" i="4"/>
  <c r="L396" i="4" s="1"/>
  <c r="K397" i="4"/>
  <c r="K396" i="4" s="1"/>
  <c r="J397" i="4"/>
  <c r="J396" i="4" s="1"/>
  <c r="I397" i="4"/>
  <c r="I396" i="4" s="1"/>
  <c r="L391" i="4"/>
  <c r="L390" i="4" s="1"/>
  <c r="L389" i="4" s="1"/>
  <c r="L1179" i="4" s="1"/>
  <c r="K391" i="4"/>
  <c r="K390" i="4" s="1"/>
  <c r="K389" i="4" s="1"/>
  <c r="K1179" i="4" s="1"/>
  <c r="J391" i="4"/>
  <c r="J390" i="4" s="1"/>
  <c r="J389" i="4" s="1"/>
  <c r="J1179" i="4" s="1"/>
  <c r="I391" i="4"/>
  <c r="I390" i="4" s="1"/>
  <c r="I389" i="4" s="1"/>
  <c r="I1179" i="4" s="1"/>
  <c r="L384" i="4"/>
  <c r="L383" i="4" s="1"/>
  <c r="K384" i="4"/>
  <c r="K383" i="4" s="1"/>
  <c r="J384" i="4"/>
  <c r="J383" i="4" s="1"/>
  <c r="I384" i="4"/>
  <c r="I383" i="4" s="1"/>
  <c r="L381" i="4"/>
  <c r="L380" i="4" s="1"/>
  <c r="K381" i="4"/>
  <c r="K380" i="4" s="1"/>
  <c r="J381" i="4"/>
  <c r="J380" i="4" s="1"/>
  <c r="I381" i="4"/>
  <c r="I380" i="4" s="1"/>
  <c r="L378" i="4"/>
  <c r="L377" i="4" s="1"/>
  <c r="K378" i="4"/>
  <c r="K377" i="4" s="1"/>
  <c r="J378" i="4"/>
  <c r="J377" i="4" s="1"/>
  <c r="I378" i="4"/>
  <c r="I377" i="4" s="1"/>
  <c r="L375" i="4"/>
  <c r="L374" i="4" s="1"/>
  <c r="K375" i="4"/>
  <c r="K374" i="4" s="1"/>
  <c r="J375" i="4"/>
  <c r="J374" i="4" s="1"/>
  <c r="I375" i="4"/>
  <c r="I374" i="4" s="1"/>
  <c r="L372" i="4"/>
  <c r="L371" i="4" s="1"/>
  <c r="K372" i="4"/>
  <c r="K371" i="4" s="1"/>
  <c r="J372" i="4"/>
  <c r="J371" i="4" s="1"/>
  <c r="I372" i="4"/>
  <c r="I371" i="4" s="1"/>
  <c r="L369" i="4"/>
  <c r="L368" i="4" s="1"/>
  <c r="K369" i="4"/>
  <c r="K368" i="4" s="1"/>
  <c r="J369" i="4"/>
  <c r="J368" i="4" s="1"/>
  <c r="I369" i="4"/>
  <c r="I368" i="4" s="1"/>
  <c r="L366" i="4"/>
  <c r="K366" i="4"/>
  <c r="J366" i="4"/>
  <c r="I366" i="4"/>
  <c r="L364" i="4"/>
  <c r="L363" i="4" s="1"/>
  <c r="K364" i="4"/>
  <c r="J364" i="4"/>
  <c r="I364" i="4"/>
  <c r="I362" i="4"/>
  <c r="L361" i="4"/>
  <c r="L360" i="4" s="1"/>
  <c r="K361" i="4"/>
  <c r="K360" i="4" s="1"/>
  <c r="J361" i="4"/>
  <c r="J360" i="4" s="1"/>
  <c r="L357" i="4"/>
  <c r="K357" i="4"/>
  <c r="J357" i="4"/>
  <c r="I357" i="4"/>
  <c r="L355" i="4"/>
  <c r="K355" i="4"/>
  <c r="J355" i="4"/>
  <c r="I355" i="4"/>
  <c r="L353" i="4"/>
  <c r="K353" i="4"/>
  <c r="J353" i="4"/>
  <c r="I353" i="4"/>
  <c r="L347" i="4"/>
  <c r="L346" i="4" s="1"/>
  <c r="K347" i="4"/>
  <c r="K346" i="4" s="1"/>
  <c r="J347" i="4"/>
  <c r="J346" i="4" s="1"/>
  <c r="I347" i="4"/>
  <c r="I346" i="4" s="1"/>
  <c r="L344" i="4"/>
  <c r="L343" i="4" s="1"/>
  <c r="K344" i="4"/>
  <c r="K343" i="4" s="1"/>
  <c r="J344" i="4"/>
  <c r="J343" i="4" s="1"/>
  <c r="I344" i="4"/>
  <c r="I343" i="4" s="1"/>
  <c r="I342" i="4"/>
  <c r="I341" i="4" s="1"/>
  <c r="I340" i="4" s="1"/>
  <c r="L341" i="4"/>
  <c r="L340" i="4" s="1"/>
  <c r="K341" i="4"/>
  <c r="K340" i="4" s="1"/>
  <c r="J341" i="4"/>
  <c r="J340" i="4" s="1"/>
  <c r="L338" i="4"/>
  <c r="L337" i="4" s="1"/>
  <c r="K338" i="4"/>
  <c r="K337" i="4" s="1"/>
  <c r="J338" i="4"/>
  <c r="J337" i="4" s="1"/>
  <c r="I338" i="4"/>
  <c r="I337" i="4" s="1"/>
  <c r="L335" i="4"/>
  <c r="L334" i="4" s="1"/>
  <c r="K335" i="4"/>
  <c r="K334" i="4" s="1"/>
  <c r="J335" i="4"/>
  <c r="J334" i="4" s="1"/>
  <c r="I335" i="4"/>
  <c r="I334" i="4" s="1"/>
  <c r="I333" i="4"/>
  <c r="L332" i="4"/>
  <c r="L331" i="4" s="1"/>
  <c r="K332" i="4"/>
  <c r="K331" i="4" s="1"/>
  <c r="J332" i="4"/>
  <c r="J331" i="4" s="1"/>
  <c r="L325" i="4"/>
  <c r="L324" i="4" s="1"/>
  <c r="L323" i="4" s="1"/>
  <c r="L322" i="4" s="1"/>
  <c r="L321" i="4" s="1"/>
  <c r="K325" i="4"/>
  <c r="K324" i="4" s="1"/>
  <c r="K323" i="4" s="1"/>
  <c r="K322" i="4" s="1"/>
  <c r="K321" i="4" s="1"/>
  <c r="J325" i="4"/>
  <c r="J324" i="4" s="1"/>
  <c r="J323" i="4" s="1"/>
  <c r="J322" i="4" s="1"/>
  <c r="J321" i="4" s="1"/>
  <c r="I325" i="4"/>
  <c r="I324" i="4" s="1"/>
  <c r="I323" i="4" s="1"/>
  <c r="I322" i="4" s="1"/>
  <c r="I321" i="4" s="1"/>
  <c r="L320" i="4"/>
  <c r="K320" i="4"/>
  <c r="J320" i="4"/>
  <c r="I320" i="4"/>
  <c r="L317" i="4"/>
  <c r="L316" i="4" s="1"/>
  <c r="L315" i="4" s="1"/>
  <c r="K317" i="4"/>
  <c r="K316" i="4" s="1"/>
  <c r="K315" i="4" s="1"/>
  <c r="J317" i="4"/>
  <c r="J316" i="4" s="1"/>
  <c r="J315" i="4" s="1"/>
  <c r="I317" i="4"/>
  <c r="I316" i="4" s="1"/>
  <c r="I315" i="4" s="1"/>
  <c r="L314" i="4"/>
  <c r="J632" i="3" s="1"/>
  <c r="J631" i="3" s="1"/>
  <c r="J630" i="3" s="1"/>
  <c r="K314" i="4"/>
  <c r="I632" i="3" s="1"/>
  <c r="I631" i="3" s="1"/>
  <c r="I630" i="3" s="1"/>
  <c r="J314" i="4"/>
  <c r="H632" i="3" s="1"/>
  <c r="H631" i="3" s="1"/>
  <c r="H630" i="3" s="1"/>
  <c r="I314" i="4"/>
  <c r="G632" i="3" s="1"/>
  <c r="G631" i="3" s="1"/>
  <c r="G630" i="3" s="1"/>
  <c r="L305" i="4"/>
  <c r="L304" i="4" s="1"/>
  <c r="K305" i="4"/>
  <c r="K304" i="4" s="1"/>
  <c r="J305" i="4"/>
  <c r="J304" i="4" s="1"/>
  <c r="I305" i="4"/>
  <c r="I304" i="4" s="1"/>
  <c r="L302" i="4"/>
  <c r="L301" i="4" s="1"/>
  <c r="K302" i="4"/>
  <c r="K301" i="4" s="1"/>
  <c r="J302" i="4"/>
  <c r="J301" i="4" s="1"/>
  <c r="I302" i="4"/>
  <c r="I301" i="4" s="1"/>
  <c r="L299" i="4"/>
  <c r="L298" i="4" s="1"/>
  <c r="K299" i="4"/>
  <c r="K298" i="4" s="1"/>
  <c r="J299" i="4"/>
  <c r="J298" i="4" s="1"/>
  <c r="I299" i="4"/>
  <c r="I298" i="4" s="1"/>
  <c r="L296" i="4"/>
  <c r="L295" i="4" s="1"/>
  <c r="K296" i="4"/>
  <c r="K295" i="4" s="1"/>
  <c r="J296" i="4"/>
  <c r="J295" i="4" s="1"/>
  <c r="I296" i="4"/>
  <c r="I295" i="4" s="1"/>
  <c r="L293" i="4"/>
  <c r="L292" i="4" s="1"/>
  <c r="K293" i="4"/>
  <c r="K292" i="4" s="1"/>
  <c r="J293" i="4"/>
  <c r="J292" i="4" s="1"/>
  <c r="I293" i="4"/>
  <c r="I292" i="4" s="1"/>
  <c r="L290" i="4"/>
  <c r="L289" i="4" s="1"/>
  <c r="K290" i="4"/>
  <c r="K289" i="4" s="1"/>
  <c r="J290" i="4"/>
  <c r="J289" i="4" s="1"/>
  <c r="I290" i="4"/>
  <c r="I289" i="4" s="1"/>
  <c r="L287" i="4"/>
  <c r="L286" i="4" s="1"/>
  <c r="K287" i="4"/>
  <c r="K286" i="4" s="1"/>
  <c r="J287" i="4"/>
  <c r="J286" i="4" s="1"/>
  <c r="I287" i="4"/>
  <c r="I286" i="4" s="1"/>
  <c r="L273" i="4"/>
  <c r="K273" i="4"/>
  <c r="J273" i="4"/>
  <c r="I273" i="4"/>
  <c r="L241" i="4"/>
  <c r="J904" i="3" s="1"/>
  <c r="J903" i="3" s="1"/>
  <c r="K241" i="4"/>
  <c r="I904" i="3" s="1"/>
  <c r="I903" i="3" s="1"/>
  <c r="J241" i="4"/>
  <c r="H904" i="3" s="1"/>
  <c r="H903" i="3" s="1"/>
  <c r="I241" i="4"/>
  <c r="G904" i="3" s="1"/>
  <c r="G903" i="3" s="1"/>
  <c r="L239" i="4"/>
  <c r="J902" i="3" s="1"/>
  <c r="J901" i="3" s="1"/>
  <c r="J900" i="3" s="1"/>
  <c r="J899" i="3" s="1"/>
  <c r="J898" i="3" s="1"/>
  <c r="J897" i="3" s="1"/>
  <c r="H47" i="2" s="1"/>
  <c r="K239" i="4"/>
  <c r="I902" i="3" s="1"/>
  <c r="I901" i="3" s="1"/>
  <c r="I900" i="3" s="1"/>
  <c r="I899" i="3" s="1"/>
  <c r="I898" i="3" s="1"/>
  <c r="I897" i="3" s="1"/>
  <c r="G47" i="2" s="1"/>
  <c r="J239" i="4"/>
  <c r="H902" i="3" s="1"/>
  <c r="H901" i="3" s="1"/>
  <c r="I239" i="4"/>
  <c r="G902" i="3" s="1"/>
  <c r="G901" i="3" s="1"/>
  <c r="L233" i="4"/>
  <c r="J876" i="3" s="1"/>
  <c r="J875" i="3" s="1"/>
  <c r="J874" i="3" s="1"/>
  <c r="J870" i="3" s="1"/>
  <c r="J869" i="3" s="1"/>
  <c r="K233" i="4"/>
  <c r="I876" i="3" s="1"/>
  <c r="I875" i="3" s="1"/>
  <c r="I874" i="3" s="1"/>
  <c r="I870" i="3" s="1"/>
  <c r="I869" i="3" s="1"/>
  <c r="J233" i="4"/>
  <c r="H876" i="3" s="1"/>
  <c r="H875" i="3" s="1"/>
  <c r="H874" i="3" s="1"/>
  <c r="H870" i="3" s="1"/>
  <c r="H869" i="3" s="1"/>
  <c r="I233" i="4"/>
  <c r="G876" i="3" s="1"/>
  <c r="G875" i="3" s="1"/>
  <c r="G874" i="3" s="1"/>
  <c r="L227" i="4"/>
  <c r="L226" i="4" s="1"/>
  <c r="L225" i="4" s="1"/>
  <c r="K227" i="4"/>
  <c r="K226" i="4" s="1"/>
  <c r="K225" i="4" s="1"/>
  <c r="J227" i="4"/>
  <c r="J226" i="4" s="1"/>
  <c r="J225" i="4" s="1"/>
  <c r="I227" i="4"/>
  <c r="I226" i="4" s="1"/>
  <c r="I225" i="4" s="1"/>
  <c r="J222" i="4"/>
  <c r="J221" i="4" s="1"/>
  <c r="J220" i="4" s="1"/>
  <c r="J219" i="4" s="1"/>
  <c r="J218" i="4" s="1"/>
  <c r="I222" i="4"/>
  <c r="I221" i="4" s="1"/>
  <c r="I220" i="4" s="1"/>
  <c r="I219" i="4" s="1"/>
  <c r="I218" i="4" s="1"/>
  <c r="L216" i="4"/>
  <c r="J276" i="3" s="1"/>
  <c r="J275" i="3" s="1"/>
  <c r="K216" i="4"/>
  <c r="I276" i="3" s="1"/>
  <c r="I275" i="3" s="1"/>
  <c r="J216" i="4"/>
  <c r="H276" i="3" s="1"/>
  <c r="H275" i="3" s="1"/>
  <c r="I216" i="4"/>
  <c r="G276" i="3" s="1"/>
  <c r="G275" i="3" s="1"/>
  <c r="L214" i="4"/>
  <c r="J274" i="3" s="1"/>
  <c r="J273" i="3" s="1"/>
  <c r="K214" i="4"/>
  <c r="I274" i="3" s="1"/>
  <c r="I273" i="3" s="1"/>
  <c r="J214" i="4"/>
  <c r="H274" i="3" s="1"/>
  <c r="H273" i="3" s="1"/>
  <c r="I214" i="4"/>
  <c r="G274" i="3" s="1"/>
  <c r="G273" i="3" s="1"/>
  <c r="L210" i="4"/>
  <c r="L209" i="4" s="1"/>
  <c r="K210" i="4"/>
  <c r="K209" i="4" s="1"/>
  <c r="J210" i="4"/>
  <c r="J209" i="4" s="1"/>
  <c r="I210" i="4"/>
  <c r="I209" i="4" s="1"/>
  <c r="L201" i="4"/>
  <c r="J248" i="3" s="1"/>
  <c r="J247" i="3" s="1"/>
  <c r="J246" i="3" s="1"/>
  <c r="J242" i="3" s="1"/>
  <c r="J241" i="3" s="1"/>
  <c r="K201" i="4"/>
  <c r="I248" i="3" s="1"/>
  <c r="I247" i="3" s="1"/>
  <c r="I246" i="3" s="1"/>
  <c r="I242" i="3" s="1"/>
  <c r="I241" i="3" s="1"/>
  <c r="J201" i="4"/>
  <c r="H248" i="3" s="1"/>
  <c r="H247" i="3" s="1"/>
  <c r="H246" i="3" s="1"/>
  <c r="H242" i="3" s="1"/>
  <c r="H241" i="3" s="1"/>
  <c r="I201" i="4"/>
  <c r="G248" i="3" s="1"/>
  <c r="G247" i="3" s="1"/>
  <c r="G246" i="3" s="1"/>
  <c r="G242" i="3" s="1"/>
  <c r="G241" i="3" s="1"/>
  <c r="J183" i="4"/>
  <c r="J182" i="4" s="1"/>
  <c r="I183" i="4"/>
  <c r="I182" i="4" s="1"/>
  <c r="I181" i="4"/>
  <c r="G228" i="3" s="1"/>
  <c r="G227" i="3" s="1"/>
  <c r="J180" i="4"/>
  <c r="G226" i="3"/>
  <c r="G225" i="3" s="1"/>
  <c r="L178" i="4"/>
  <c r="K178" i="4"/>
  <c r="J178" i="4"/>
  <c r="I178" i="4"/>
  <c r="L175" i="4"/>
  <c r="L174" i="4" s="1"/>
  <c r="K175" i="4"/>
  <c r="K174" i="4" s="1"/>
  <c r="J175" i="4"/>
  <c r="J174" i="4" s="1"/>
  <c r="I175" i="4"/>
  <c r="I174" i="4" s="1"/>
  <c r="G220" i="3"/>
  <c r="G219" i="3" s="1"/>
  <c r="G218" i="3" s="1"/>
  <c r="L172" i="4"/>
  <c r="L171" i="4" s="1"/>
  <c r="K172" i="4"/>
  <c r="K171" i="4" s="1"/>
  <c r="J172" i="4"/>
  <c r="J171" i="4" s="1"/>
  <c r="I172" i="4"/>
  <c r="I171" i="4" s="1"/>
  <c r="L165" i="4"/>
  <c r="L164" i="4" s="1"/>
  <c r="L163" i="4" s="1"/>
  <c r="L162" i="4" s="1"/>
  <c r="L161" i="4" s="1"/>
  <c r="L160" i="4" s="1"/>
  <c r="K165" i="4"/>
  <c r="K164" i="4" s="1"/>
  <c r="K163" i="4" s="1"/>
  <c r="K162" i="4" s="1"/>
  <c r="K161" i="4" s="1"/>
  <c r="K160" i="4" s="1"/>
  <c r="J165" i="4"/>
  <c r="J164" i="4" s="1"/>
  <c r="J163" i="4" s="1"/>
  <c r="J162" i="4" s="1"/>
  <c r="J161" i="4" s="1"/>
  <c r="J160" i="4" s="1"/>
  <c r="I165" i="4"/>
  <c r="I164" i="4" s="1"/>
  <c r="I163" i="4" s="1"/>
  <c r="I162" i="4" s="1"/>
  <c r="I161" i="4" s="1"/>
  <c r="I160" i="4" s="1"/>
  <c r="L158" i="4"/>
  <c r="L157" i="4" s="1"/>
  <c r="K158" i="4"/>
  <c r="K157" i="4" s="1"/>
  <c r="J158" i="4"/>
  <c r="J157" i="4" s="1"/>
  <c r="I158" i="4"/>
  <c r="I157" i="4" s="1"/>
  <c r="G194" i="3"/>
  <c r="G193" i="3" s="1"/>
  <c r="L155" i="4"/>
  <c r="K155" i="4"/>
  <c r="J155" i="4"/>
  <c r="G192" i="3"/>
  <c r="G191" i="3" s="1"/>
  <c r="L153" i="4"/>
  <c r="K153" i="4"/>
  <c r="J153" i="4"/>
  <c r="I153" i="4"/>
  <c r="G189" i="3"/>
  <c r="G188" i="3" s="1"/>
  <c r="L150" i="4"/>
  <c r="K150" i="4"/>
  <c r="J150" i="4"/>
  <c r="I150" i="4"/>
  <c r="G187" i="3"/>
  <c r="G186" i="3" s="1"/>
  <c r="L148" i="4"/>
  <c r="K148" i="4"/>
  <c r="J148" i="4"/>
  <c r="L145" i="4"/>
  <c r="L144" i="4" s="1"/>
  <c r="K145" i="4"/>
  <c r="K144" i="4" s="1"/>
  <c r="J145" i="4"/>
  <c r="J144" i="4" s="1"/>
  <c r="I145" i="4"/>
  <c r="I144" i="4" s="1"/>
  <c r="L142" i="4"/>
  <c r="L141" i="4" s="1"/>
  <c r="K142" i="4"/>
  <c r="K141" i="4" s="1"/>
  <c r="J142" i="4"/>
  <c r="J141" i="4" s="1"/>
  <c r="I142" i="4"/>
  <c r="I141" i="4" s="1"/>
  <c r="L139" i="4"/>
  <c r="L138" i="4" s="1"/>
  <c r="K139" i="4"/>
  <c r="K138" i="4" s="1"/>
  <c r="J139" i="4"/>
  <c r="J138" i="4" s="1"/>
  <c r="I139" i="4"/>
  <c r="I138" i="4" s="1"/>
  <c r="L136" i="4"/>
  <c r="L135" i="4" s="1"/>
  <c r="K136" i="4"/>
  <c r="K135" i="4" s="1"/>
  <c r="J136" i="4"/>
  <c r="J135" i="4" s="1"/>
  <c r="I136" i="4"/>
  <c r="I135" i="4" s="1"/>
  <c r="L132" i="4"/>
  <c r="K132" i="4"/>
  <c r="J132" i="4"/>
  <c r="I132" i="4"/>
  <c r="L131" i="4"/>
  <c r="J175" i="3" s="1"/>
  <c r="J174" i="3" s="1"/>
  <c r="J173" i="3" s="1"/>
  <c r="K131" i="4"/>
  <c r="I175" i="3" s="1"/>
  <c r="I174" i="3" s="1"/>
  <c r="I173" i="3" s="1"/>
  <c r="J131" i="4"/>
  <c r="H175" i="3" s="1"/>
  <c r="H174" i="3" s="1"/>
  <c r="H173" i="3" s="1"/>
  <c r="I131" i="4"/>
  <c r="G175" i="3" s="1"/>
  <c r="G174" i="3" s="1"/>
  <c r="G173" i="3" s="1"/>
  <c r="L125" i="4"/>
  <c r="L124" i="4" s="1"/>
  <c r="K125" i="4"/>
  <c r="K124" i="4" s="1"/>
  <c r="J125" i="4"/>
  <c r="J124" i="4" s="1"/>
  <c r="I125" i="4"/>
  <c r="I124" i="4" s="1"/>
  <c r="L122" i="4"/>
  <c r="L121" i="4" s="1"/>
  <c r="K122" i="4"/>
  <c r="K121" i="4" s="1"/>
  <c r="J122" i="4"/>
  <c r="J121" i="4" s="1"/>
  <c r="I122" i="4"/>
  <c r="I121" i="4" s="1"/>
  <c r="L120" i="4"/>
  <c r="J167" i="3" s="1"/>
  <c r="J166" i="3" s="1"/>
  <c r="J165" i="3" s="1"/>
  <c r="K120" i="4"/>
  <c r="I167" i="3" s="1"/>
  <c r="I166" i="3" s="1"/>
  <c r="I165" i="3" s="1"/>
  <c r="J120" i="4"/>
  <c r="H167" i="3" s="1"/>
  <c r="H166" i="3" s="1"/>
  <c r="H165" i="3" s="1"/>
  <c r="I120" i="4"/>
  <c r="G167" i="3" s="1"/>
  <c r="G166" i="3" s="1"/>
  <c r="G165" i="3" s="1"/>
  <c r="L114" i="4"/>
  <c r="L113" i="4" s="1"/>
  <c r="K114" i="4"/>
  <c r="K113" i="4" s="1"/>
  <c r="J114" i="4"/>
  <c r="J113" i="4" s="1"/>
  <c r="I114" i="4"/>
  <c r="I113" i="4" s="1"/>
  <c r="L111" i="4"/>
  <c r="K111" i="4"/>
  <c r="J111" i="4"/>
  <c r="I111" i="4"/>
  <c r="L109" i="4"/>
  <c r="K109" i="4"/>
  <c r="J109" i="4"/>
  <c r="I109" i="4"/>
  <c r="I108" i="4" s="1"/>
  <c r="L98" i="4"/>
  <c r="L97" i="4" s="1"/>
  <c r="L96" i="4" s="1"/>
  <c r="K98" i="4"/>
  <c r="K97" i="4" s="1"/>
  <c r="K96" i="4" s="1"/>
  <c r="J98" i="4"/>
  <c r="J97" i="4" s="1"/>
  <c r="J96" i="4" s="1"/>
  <c r="I98" i="4"/>
  <c r="I97" i="4" s="1"/>
  <c r="I96" i="4" s="1"/>
  <c r="I95" i="4"/>
  <c r="I94" i="4" s="1"/>
  <c r="L94" i="4"/>
  <c r="L93" i="4" s="1"/>
  <c r="L92" i="4" s="1"/>
  <c r="L1181" i="4" s="1"/>
  <c r="K94" i="4"/>
  <c r="K93" i="4" s="1"/>
  <c r="K92" i="4" s="1"/>
  <c r="K1181" i="4" s="1"/>
  <c r="J94" i="4"/>
  <c r="J93" i="4" s="1"/>
  <c r="J92" i="4" s="1"/>
  <c r="L90" i="4"/>
  <c r="L89" i="4" s="1"/>
  <c r="L88" i="4" s="1"/>
  <c r="K90" i="4"/>
  <c r="K89" i="4" s="1"/>
  <c r="K88" i="4" s="1"/>
  <c r="J90" i="4"/>
  <c r="J89" i="4" s="1"/>
  <c r="J88" i="4" s="1"/>
  <c r="I90" i="4"/>
  <c r="I89" i="4" s="1"/>
  <c r="I88" i="4" s="1"/>
  <c r="L86" i="4"/>
  <c r="L85" i="4" s="1"/>
  <c r="L84" i="4" s="1"/>
  <c r="K86" i="4"/>
  <c r="K85" i="4" s="1"/>
  <c r="K84" i="4" s="1"/>
  <c r="J86" i="4"/>
  <c r="J85" i="4" s="1"/>
  <c r="J84" i="4" s="1"/>
  <c r="I86" i="4"/>
  <c r="I85" i="4" s="1"/>
  <c r="I84" i="4" s="1"/>
  <c r="L82" i="4"/>
  <c r="L81" i="4" s="1"/>
  <c r="L80" i="4" s="1"/>
  <c r="K82" i="4"/>
  <c r="K81" i="4" s="1"/>
  <c r="K80" i="4" s="1"/>
  <c r="J82" i="4"/>
  <c r="J81" i="4" s="1"/>
  <c r="J80" i="4" s="1"/>
  <c r="I82" i="4"/>
  <c r="I81" i="4" s="1"/>
  <c r="I80" i="4" s="1"/>
  <c r="L77" i="4"/>
  <c r="L76" i="4" s="1"/>
  <c r="K77" i="4"/>
  <c r="K76" i="4" s="1"/>
  <c r="J77" i="4"/>
  <c r="J76" i="4" s="1"/>
  <c r="I77" i="4"/>
  <c r="I76" i="4" s="1"/>
  <c r="I75" i="4"/>
  <c r="L72" i="4"/>
  <c r="K72" i="4"/>
  <c r="J72" i="4"/>
  <c r="I72" i="4"/>
  <c r="I70" i="4"/>
  <c r="L65" i="4"/>
  <c r="L64" i="4" s="1"/>
  <c r="L63" i="4" s="1"/>
  <c r="L1173" i="4" s="1"/>
  <c r="K65" i="4"/>
  <c r="K64" i="4" s="1"/>
  <c r="K63" i="4" s="1"/>
  <c r="K1173" i="4" s="1"/>
  <c r="J65" i="4"/>
  <c r="J64" i="4" s="1"/>
  <c r="J63" i="4" s="1"/>
  <c r="J1173" i="4" s="1"/>
  <c r="I65" i="4"/>
  <c r="I64" i="4" s="1"/>
  <c r="I63" i="4" s="1"/>
  <c r="I1173" i="4" s="1"/>
  <c r="L60" i="4"/>
  <c r="L57" i="4" s="1"/>
  <c r="L56" i="4" s="1"/>
  <c r="L55" i="4" s="1"/>
  <c r="L54" i="4" s="1"/>
  <c r="K60" i="4"/>
  <c r="K57" i="4" s="1"/>
  <c r="K56" i="4" s="1"/>
  <c r="K55" i="4" s="1"/>
  <c r="K54" i="4" s="1"/>
  <c r="J60" i="4"/>
  <c r="J57" i="4" s="1"/>
  <c r="J56" i="4" s="1"/>
  <c r="J55" i="4" s="1"/>
  <c r="J54" i="4" s="1"/>
  <c r="I60" i="4"/>
  <c r="I57" i="4" s="1"/>
  <c r="I56" i="4" s="1"/>
  <c r="I55" i="4" s="1"/>
  <c r="I54" i="4" s="1"/>
  <c r="G61" i="3"/>
  <c r="G60" i="3" s="1"/>
  <c r="G59" i="3" s="1"/>
  <c r="G58" i="3" s="1"/>
  <c r="G57" i="3" s="1"/>
  <c r="G56" i="3" s="1"/>
  <c r="E17" i="2" s="1"/>
  <c r="G55" i="3"/>
  <c r="G54" i="3" s="1"/>
  <c r="G53" i="3"/>
  <c r="G52" i="3" s="1"/>
  <c r="L50" i="4"/>
  <c r="K50" i="4"/>
  <c r="J50" i="4"/>
  <c r="J41" i="4"/>
  <c r="J40" i="4" s="1"/>
  <c r="I41" i="4"/>
  <c r="I40" i="4" s="1"/>
  <c r="L39" i="4"/>
  <c r="L37" i="4" s="1"/>
  <c r="K39" i="4"/>
  <c r="K37" i="4" s="1"/>
  <c r="J39" i="4"/>
  <c r="J37" i="4" s="1"/>
  <c r="J36" i="4" s="1"/>
  <c r="I38" i="4"/>
  <c r="I36" i="4"/>
  <c r="G36" i="3"/>
  <c r="G35" i="3" s="1"/>
  <c r="J34" i="4"/>
  <c r="L26" i="4"/>
  <c r="L25" i="4" s="1"/>
  <c r="L24" i="4" s="1"/>
  <c r="L23" i="4" s="1"/>
  <c r="K26" i="4"/>
  <c r="K25" i="4" s="1"/>
  <c r="K24" i="4" s="1"/>
  <c r="K23" i="4" s="1"/>
  <c r="J26" i="4"/>
  <c r="J25" i="4" s="1"/>
  <c r="J24" i="4" s="1"/>
  <c r="J23" i="4" s="1"/>
  <c r="I26" i="4"/>
  <c r="I25" i="4" s="1"/>
  <c r="I24" i="4" s="1"/>
  <c r="I23" i="4" s="1"/>
  <c r="L21" i="4"/>
  <c r="K21" i="4"/>
  <c r="J21" i="4"/>
  <c r="I21" i="4"/>
  <c r="I19" i="4"/>
  <c r="J17" i="4"/>
  <c r="I17" i="4"/>
  <c r="I84" i="1"/>
  <c r="K84" i="1" s="1"/>
  <c r="M29" i="4" l="1"/>
  <c r="O29" i="4" s="1"/>
  <c r="M327" i="4"/>
  <c r="O1160" i="4"/>
  <c r="O1068" i="4"/>
  <c r="O1081" i="4"/>
  <c r="M1080" i="4"/>
  <c r="M788" i="4"/>
  <c r="O789" i="4"/>
  <c r="M1117" i="4"/>
  <c r="O1117" i="4" s="1"/>
  <c r="O1124" i="4"/>
  <c r="O1165" i="4" s="1"/>
  <c r="M1165" i="4"/>
  <c r="O160" i="4"/>
  <c r="O1145" i="4" s="1"/>
  <c r="M1145" i="4"/>
  <c r="K753" i="3"/>
  <c r="M754" i="3"/>
  <c r="M453" i="4"/>
  <c r="O454" i="4"/>
  <c r="M596" i="4"/>
  <c r="O12" i="4"/>
  <c r="M11" i="4"/>
  <c r="O11" i="4" s="1"/>
  <c r="M167" i="4"/>
  <c r="O168" i="4"/>
  <c r="O849" i="4"/>
  <c r="M821" i="4"/>
  <c r="O557" i="4"/>
  <c r="M556" i="4"/>
  <c r="M1143" i="4"/>
  <c r="K569" i="3"/>
  <c r="M628" i="3"/>
  <c r="K941" i="3"/>
  <c r="M942" i="3"/>
  <c r="K74" i="3"/>
  <c r="K12" i="3" s="1"/>
  <c r="M12" i="3" s="1"/>
  <c r="M144" i="3"/>
  <c r="K492" i="3"/>
  <c r="M537" i="3"/>
  <c r="I47" i="2"/>
  <c r="K47" i="2" s="1"/>
  <c r="M897" i="3"/>
  <c r="K441" i="3"/>
  <c r="M472" i="3"/>
  <c r="I28" i="2"/>
  <c r="K28" i="2" s="1"/>
  <c r="M262" i="3"/>
  <c r="I39" i="2"/>
  <c r="K39" i="2" s="1"/>
  <c r="M650" i="3"/>
  <c r="K774" i="3"/>
  <c r="M789" i="3"/>
  <c r="M241" i="3"/>
  <c r="K233" i="3"/>
  <c r="I17" i="2"/>
  <c r="K17" i="2" s="1"/>
  <c r="M56" i="3"/>
  <c r="I16" i="2"/>
  <c r="M31" i="3"/>
  <c r="I31" i="2"/>
  <c r="K31" i="2" s="1"/>
  <c r="M297" i="3"/>
  <c r="K361" i="3"/>
  <c r="M362" i="3"/>
  <c r="M965" i="3"/>
  <c r="K964" i="3"/>
  <c r="M964" i="3" s="1"/>
  <c r="I52" i="2"/>
  <c r="M812" i="3"/>
  <c r="K811" i="3"/>
  <c r="I38" i="2"/>
  <c r="K38" i="2" s="1"/>
  <c r="M639" i="3"/>
  <c r="M215" i="3"/>
  <c r="I23" i="2"/>
  <c r="K214" i="3"/>
  <c r="M214" i="3" s="1"/>
  <c r="L74" i="5"/>
  <c r="N75" i="5"/>
  <c r="L67" i="5"/>
  <c r="N68" i="5"/>
  <c r="L22" i="5"/>
  <c r="N23" i="5"/>
  <c r="L520" i="5"/>
  <c r="N521" i="5"/>
  <c r="N240" i="5"/>
  <c r="L239" i="5"/>
  <c r="N239" i="5" s="1"/>
  <c r="L245" i="5"/>
  <c r="N245" i="5" s="1"/>
  <c r="L353" i="5"/>
  <c r="N354" i="5"/>
  <c r="L252" i="5"/>
  <c r="N252" i="5" s="1"/>
  <c r="N253" i="5"/>
  <c r="L37" i="5"/>
  <c r="N38" i="5"/>
  <c r="L51" i="5"/>
  <c r="N52" i="5"/>
  <c r="N486" i="5"/>
  <c r="L503" i="5"/>
  <c r="N503" i="5" s="1"/>
  <c r="L467" i="5"/>
  <c r="N467" i="5" s="1"/>
  <c r="O186" i="4"/>
  <c r="M185" i="4"/>
  <c r="K363" i="4"/>
  <c r="K359" i="4" s="1"/>
  <c r="L415" i="4"/>
  <c r="I502" i="4"/>
  <c r="J415" i="4"/>
  <c r="I415" i="4"/>
  <c r="K441" i="4"/>
  <c r="G190" i="3"/>
  <c r="I79" i="4"/>
  <c r="I1176" i="4" s="1"/>
  <c r="K34" i="4"/>
  <c r="G900" i="3"/>
  <c r="G899" i="3" s="1"/>
  <c r="G898" i="3" s="1"/>
  <c r="G897" i="3" s="1"/>
  <c r="E47" i="2" s="1"/>
  <c r="L643" i="4"/>
  <c r="L642" i="4" s="1"/>
  <c r="H233" i="3"/>
  <c r="F25" i="2" s="1"/>
  <c r="J233" i="3"/>
  <c r="H25" i="2" s="1"/>
  <c r="G233" i="3"/>
  <c r="E25" i="2" s="1"/>
  <c r="I233" i="3"/>
  <c r="G25" i="2" s="1"/>
  <c r="J991" i="4"/>
  <c r="J915" i="4"/>
  <c r="J910" i="4" s="1"/>
  <c r="J909" i="4" s="1"/>
  <c r="K915" i="4"/>
  <c r="K910" i="4" s="1"/>
  <c r="K909" i="4" s="1"/>
  <c r="L915" i="4"/>
  <c r="J1059" i="4"/>
  <c r="G16" i="3"/>
  <c r="G15" i="3" s="1"/>
  <c r="G14" i="3" s="1"/>
  <c r="G13" i="3" s="1"/>
  <c r="E14" i="2" s="1"/>
  <c r="G435" i="3"/>
  <c r="G431" i="3" s="1"/>
  <c r="G797" i="3"/>
  <c r="G796" i="3" s="1"/>
  <c r="G789" i="3" s="1"/>
  <c r="G870" i="3"/>
  <c r="G869" i="3" s="1"/>
  <c r="K130" i="4"/>
  <c r="K129" i="4" s="1"/>
  <c r="K587" i="4"/>
  <c r="L587" i="4"/>
  <c r="I587" i="4"/>
  <c r="G38" i="3"/>
  <c r="G37" i="3" s="1"/>
  <c r="J587" i="4"/>
  <c r="H900" i="3"/>
  <c r="H899" i="3" s="1"/>
  <c r="H898" i="3" s="1"/>
  <c r="H897" i="3" s="1"/>
  <c r="F47" i="2" s="1"/>
  <c r="G424" i="3"/>
  <c r="G423" i="3" s="1"/>
  <c r="I272" i="4"/>
  <c r="I271" i="4" s="1"/>
  <c r="I270" i="4" s="1"/>
  <c r="I244" i="4" s="1"/>
  <c r="I243" i="4" s="1"/>
  <c r="K1057" i="4"/>
  <c r="K272" i="4"/>
  <c r="K271" i="4" s="1"/>
  <c r="K270" i="4" s="1"/>
  <c r="J272" i="4"/>
  <c r="J271" i="4" s="1"/>
  <c r="J270" i="4" s="1"/>
  <c r="J244" i="4" s="1"/>
  <c r="J232" i="4"/>
  <c r="J231" i="4" s="1"/>
  <c r="J230" i="4" s="1"/>
  <c r="J229" i="4" s="1"/>
  <c r="J224" i="4" s="1"/>
  <c r="L272" i="4"/>
  <c r="L271" i="4" s="1"/>
  <c r="L270" i="4" s="1"/>
  <c r="I520" i="4"/>
  <c r="I519" i="4" s="1"/>
  <c r="I512" i="4" s="1"/>
  <c r="I511" i="4" s="1"/>
  <c r="K215" i="4"/>
  <c r="I1007" i="4"/>
  <c r="I1006" i="4" s="1"/>
  <c r="I532" i="4"/>
  <c r="I531" i="4" s="1"/>
  <c r="I530" i="4" s="1"/>
  <c r="I529" i="4" s="1"/>
  <c r="I917" i="4"/>
  <c r="I916" i="4" s="1"/>
  <c r="L38" i="4"/>
  <c r="I643" i="4"/>
  <c r="I642" i="4" s="1"/>
  <c r="J751" i="4"/>
  <c r="J750" i="4" s="1"/>
  <c r="J748" i="4" s="1"/>
  <c r="J747" i="4" s="1"/>
  <c r="J741" i="4" s="1"/>
  <c r="L1007" i="4"/>
  <c r="L1006" i="4" s="1"/>
  <c r="K41" i="4"/>
  <c r="K40" i="4" s="1"/>
  <c r="K183" i="4"/>
  <c r="K182" i="4" s="1"/>
  <c r="K222" i="4"/>
  <c r="K221" i="4" s="1"/>
  <c r="K220" i="4" s="1"/>
  <c r="K219" i="4" s="1"/>
  <c r="K218" i="4" s="1"/>
  <c r="H638" i="3"/>
  <c r="H637" i="3" s="1"/>
  <c r="H636" i="3" s="1"/>
  <c r="K17" i="4"/>
  <c r="J119" i="4"/>
  <c r="J118" i="4" s="1"/>
  <c r="J238" i="4"/>
  <c r="J638" i="3"/>
  <c r="J637" i="3" s="1"/>
  <c r="J636" i="3" s="1"/>
  <c r="I440" i="4"/>
  <c r="I439" i="4" s="1"/>
  <c r="J637" i="4"/>
  <c r="J636" i="4" s="1"/>
  <c r="K415" i="4"/>
  <c r="I638" i="3"/>
  <c r="I637" i="3" s="1"/>
  <c r="I636" i="3" s="1"/>
  <c r="K706" i="4"/>
  <c r="K705" i="4" s="1"/>
  <c r="J319" i="4"/>
  <c r="J318" i="4" s="1"/>
  <c r="J709" i="4"/>
  <c r="J708" i="4" s="1"/>
  <c r="J38" i="4"/>
  <c r="J33" i="4" s="1"/>
  <c r="J32" i="4" s="1"/>
  <c r="G638" i="3"/>
  <c r="G637" i="3" s="1"/>
  <c r="G636" i="3" s="1"/>
  <c r="K634" i="4"/>
  <c r="K633" i="4" s="1"/>
  <c r="L880" i="4"/>
  <c r="L879" i="4" s="1"/>
  <c r="L874" i="4" s="1"/>
  <c r="L873" i="4" s="1"/>
  <c r="G224" i="3"/>
  <c r="G217" i="3" s="1"/>
  <c r="G216" i="3" s="1"/>
  <c r="G215" i="3" s="1"/>
  <c r="H538" i="3"/>
  <c r="H537" i="3" s="1"/>
  <c r="H492" i="3" s="1"/>
  <c r="F36" i="2" s="1"/>
  <c r="J538" i="3"/>
  <c r="J537" i="3" s="1"/>
  <c r="G327" i="3"/>
  <c r="G200" i="3"/>
  <c r="G199" i="3" s="1"/>
  <c r="H473" i="3"/>
  <c r="H472" i="3" s="1"/>
  <c r="H441" i="3" s="1"/>
  <c r="F35" i="2" s="1"/>
  <c r="J473" i="3"/>
  <c r="J472" i="3" s="1"/>
  <c r="G957" i="3"/>
  <c r="G956" i="3" s="1"/>
  <c r="G949" i="3" s="1"/>
  <c r="G51" i="3"/>
  <c r="G50" i="3" s="1"/>
  <c r="J880" i="4"/>
  <c r="J879" i="4" s="1"/>
  <c r="J874" i="4" s="1"/>
  <c r="J873" i="4" s="1"/>
  <c r="L444" i="4"/>
  <c r="I795" i="3"/>
  <c r="I794" i="3" s="1"/>
  <c r="I791" i="3" s="1"/>
  <c r="I790" i="3" s="1"/>
  <c r="I789" i="3" s="1"/>
  <c r="I774" i="3" s="1"/>
  <c r="G42" i="2" s="1"/>
  <c r="G964" i="3"/>
  <c r="E52" i="2"/>
  <c r="E51" i="2" s="1"/>
  <c r="I217" i="3"/>
  <c r="I216" i="3" s="1"/>
  <c r="I215" i="3" s="1"/>
  <c r="G272" i="3"/>
  <c r="G268" i="3" s="1"/>
  <c r="G267" i="3" s="1"/>
  <c r="I272" i="3"/>
  <c r="I268" i="3" s="1"/>
  <c r="I267" i="3" s="1"/>
  <c r="G538" i="3"/>
  <c r="G537" i="3" s="1"/>
  <c r="I538" i="3"/>
  <c r="I537" i="3" s="1"/>
  <c r="I492" i="3" s="1"/>
  <c r="G36" i="2" s="1"/>
  <c r="G662" i="3"/>
  <c r="G661" i="3" s="1"/>
  <c r="G280" i="3"/>
  <c r="G279" i="3" s="1"/>
  <c r="G278" i="3" s="1"/>
  <c r="E30" i="2" s="1"/>
  <c r="G185" i="3"/>
  <c r="H145" i="3"/>
  <c r="H144" i="3" s="1"/>
  <c r="J145" i="3"/>
  <c r="J144" i="3" s="1"/>
  <c r="J447" i="3"/>
  <c r="J442" i="3" s="1"/>
  <c r="G675" i="3"/>
  <c r="G671" i="3" s="1"/>
  <c r="H244" i="5"/>
  <c r="H243" i="5" s="1"/>
  <c r="H242" i="5" s="1"/>
  <c r="G78" i="3"/>
  <c r="G77" i="3" s="1"/>
  <c r="H408" i="5"/>
  <c r="H407" i="5" s="1"/>
  <c r="H406" i="5" s="1"/>
  <c r="G706" i="3"/>
  <c r="G705" i="3" s="1"/>
  <c r="G704" i="3" s="1"/>
  <c r="H424" i="5"/>
  <c r="H423" i="5" s="1"/>
  <c r="H422" i="5" s="1"/>
  <c r="G719" i="3"/>
  <c r="G718" i="3" s="1"/>
  <c r="G717" i="3" s="1"/>
  <c r="G716" i="3" s="1"/>
  <c r="H763" i="3"/>
  <c r="H760" i="3" s="1"/>
  <c r="H754" i="3"/>
  <c r="H753" i="3" s="1"/>
  <c r="H683" i="3" s="1"/>
  <c r="J763" i="3"/>
  <c r="J760" i="3" s="1"/>
  <c r="J754" i="3"/>
  <c r="J753" i="3" s="1"/>
  <c r="J683" i="3" s="1"/>
  <c r="H41" i="2" s="1"/>
  <c r="I29" i="5"/>
  <c r="I28" i="5" s="1"/>
  <c r="I25" i="5" s="1"/>
  <c r="H818" i="3"/>
  <c r="H817" i="3" s="1"/>
  <c r="H814" i="3" s="1"/>
  <c r="K29" i="5"/>
  <c r="K28" i="5" s="1"/>
  <c r="K25" i="5" s="1"/>
  <c r="J818" i="3"/>
  <c r="J817" i="3" s="1"/>
  <c r="J814" i="3" s="1"/>
  <c r="I35" i="5"/>
  <c r="I34" i="5" s="1"/>
  <c r="I33" i="5" s="1"/>
  <c r="H823" i="3"/>
  <c r="H822" i="3" s="1"/>
  <c r="H821" i="3" s="1"/>
  <c r="K35" i="5"/>
  <c r="K34" i="5" s="1"/>
  <c r="K33" i="5" s="1"/>
  <c r="J823" i="3"/>
  <c r="J822" i="3" s="1"/>
  <c r="J821" i="3" s="1"/>
  <c r="H42" i="5"/>
  <c r="H41" i="5" s="1"/>
  <c r="H40" i="5" s="1"/>
  <c r="H39" i="5" s="1"/>
  <c r="H38" i="5" s="1"/>
  <c r="H37" i="5" s="1"/>
  <c r="H43" i="5" s="1"/>
  <c r="G827" i="3"/>
  <c r="G826" i="3" s="1"/>
  <c r="G825" i="3" s="1"/>
  <c r="G824" i="3" s="1"/>
  <c r="J42" i="5"/>
  <c r="J41" i="5" s="1"/>
  <c r="J40" i="5" s="1"/>
  <c r="J39" i="5" s="1"/>
  <c r="J38" i="5" s="1"/>
  <c r="J37" i="5" s="1"/>
  <c r="J43" i="5" s="1"/>
  <c r="I827" i="3"/>
  <c r="I826" i="3" s="1"/>
  <c r="I825" i="3" s="1"/>
  <c r="I824" i="3" s="1"/>
  <c r="H56" i="5"/>
  <c r="H55" i="5" s="1"/>
  <c r="H54" i="5" s="1"/>
  <c r="H53" i="5" s="1"/>
  <c r="H52" i="5" s="1"/>
  <c r="H51" i="5" s="1"/>
  <c r="H59" i="5" s="1"/>
  <c r="G835" i="3"/>
  <c r="G834" i="3" s="1"/>
  <c r="G833" i="3" s="1"/>
  <c r="G832" i="3" s="1"/>
  <c r="J56" i="5"/>
  <c r="J55" i="5" s="1"/>
  <c r="J54" i="5" s="1"/>
  <c r="J53" i="5" s="1"/>
  <c r="J52" i="5" s="1"/>
  <c r="J51" i="5" s="1"/>
  <c r="J59" i="5" s="1"/>
  <c r="I835" i="3"/>
  <c r="I834" i="3" s="1"/>
  <c r="I833" i="3" s="1"/>
  <c r="I832" i="3" s="1"/>
  <c r="H72" i="5"/>
  <c r="H71" i="5" s="1"/>
  <c r="H70" i="5" s="1"/>
  <c r="H69" i="5" s="1"/>
  <c r="H68" i="5" s="1"/>
  <c r="H67" i="5" s="1"/>
  <c r="H73" i="5" s="1"/>
  <c r="G845" i="3"/>
  <c r="G844" i="3" s="1"/>
  <c r="G843" i="3" s="1"/>
  <c r="G842" i="3" s="1"/>
  <c r="J72" i="5"/>
  <c r="J71" i="5" s="1"/>
  <c r="J70" i="5" s="1"/>
  <c r="J69" i="5" s="1"/>
  <c r="J68" i="5" s="1"/>
  <c r="J67" i="5" s="1"/>
  <c r="J73" i="5" s="1"/>
  <c r="I845" i="3"/>
  <c r="I844" i="3" s="1"/>
  <c r="I843" i="3" s="1"/>
  <c r="I842" i="3" s="1"/>
  <c r="I81" i="5"/>
  <c r="I80" i="5" s="1"/>
  <c r="I77" i="5" s="1"/>
  <c r="I76" i="5" s="1"/>
  <c r="I75" i="5" s="1"/>
  <c r="I74" i="5" s="1"/>
  <c r="I85" i="5" s="1"/>
  <c r="H851" i="3"/>
  <c r="H850" i="3" s="1"/>
  <c r="H847" i="3" s="1"/>
  <c r="H846" i="3" s="1"/>
  <c r="K81" i="5"/>
  <c r="K80" i="5" s="1"/>
  <c r="K77" i="5" s="1"/>
  <c r="K76" i="5" s="1"/>
  <c r="K75" i="5" s="1"/>
  <c r="K74" i="5" s="1"/>
  <c r="K85" i="5" s="1"/>
  <c r="J851" i="3"/>
  <c r="J850" i="3" s="1"/>
  <c r="J847" i="3" s="1"/>
  <c r="J846" i="3" s="1"/>
  <c r="H105" i="5"/>
  <c r="H104" i="5" s="1"/>
  <c r="H103" i="5" s="1"/>
  <c r="H102" i="5" s="1"/>
  <c r="H101" i="5" s="1"/>
  <c r="H100" i="5" s="1"/>
  <c r="H106" i="5" s="1"/>
  <c r="G864" i="3"/>
  <c r="G863" i="3" s="1"/>
  <c r="G862" i="3" s="1"/>
  <c r="G861" i="3" s="1"/>
  <c r="G40" i="3"/>
  <c r="G39" i="3" s="1"/>
  <c r="I40" i="3"/>
  <c r="I39" i="3" s="1"/>
  <c r="H113" i="5"/>
  <c r="H112" i="5" s="1"/>
  <c r="H111" i="5" s="1"/>
  <c r="H110" i="5" s="1"/>
  <c r="G446" i="3"/>
  <c r="G445" i="3" s="1"/>
  <c r="G444" i="3" s="1"/>
  <c r="G443" i="3" s="1"/>
  <c r="H135" i="5"/>
  <c r="H134" i="5" s="1"/>
  <c r="H125" i="5" s="1"/>
  <c r="G456" i="3"/>
  <c r="G455" i="3" s="1"/>
  <c r="G454" i="3" s="1"/>
  <c r="G447" i="3" s="1"/>
  <c r="H121" i="5"/>
  <c r="H120" i="5" s="1"/>
  <c r="H119" i="5" s="1"/>
  <c r="H118" i="5" s="1"/>
  <c r="G574" i="3"/>
  <c r="G573" i="3" s="1"/>
  <c r="G572" i="3" s="1"/>
  <c r="G571" i="3" s="1"/>
  <c r="G570" i="3" s="1"/>
  <c r="H558" i="5"/>
  <c r="H557" i="5" s="1"/>
  <c r="H556" i="5" s="1"/>
  <c r="G654" i="3"/>
  <c r="G653" i="3" s="1"/>
  <c r="G652" i="3" s="1"/>
  <c r="G651" i="3" s="1"/>
  <c r="J557" i="5"/>
  <c r="J556" i="5" s="1"/>
  <c r="I654" i="3"/>
  <c r="I653" i="3" s="1"/>
  <c r="I652" i="3" s="1"/>
  <c r="I651" i="3" s="1"/>
  <c r="H306" i="5"/>
  <c r="H305" i="5" s="1"/>
  <c r="H304" i="5" s="1"/>
  <c r="G586" i="3"/>
  <c r="G585" i="3" s="1"/>
  <c r="G584" i="3" s="1"/>
  <c r="G583" i="3" s="1"/>
  <c r="G582" i="3" s="1"/>
  <c r="G635" i="3"/>
  <c r="G634" i="3" s="1"/>
  <c r="G633" i="3" s="1"/>
  <c r="I635" i="3"/>
  <c r="I634" i="3" s="1"/>
  <c r="I633" i="3" s="1"/>
  <c r="H342" i="5"/>
  <c r="H341" i="5" s="1"/>
  <c r="H340" i="5" s="1"/>
  <c r="G922" i="3"/>
  <c r="G921" i="3" s="1"/>
  <c r="G920" i="3" s="1"/>
  <c r="H19" i="5"/>
  <c r="H18" i="5" s="1"/>
  <c r="G261" i="3"/>
  <c r="G260" i="3" s="1"/>
  <c r="J19" i="5"/>
  <c r="J18" i="5" s="1"/>
  <c r="I261" i="3"/>
  <c r="I260" i="3" s="1"/>
  <c r="L910" i="4"/>
  <c r="L909" i="4" s="1"/>
  <c r="H537" i="5"/>
  <c r="H536" i="5" s="1"/>
  <c r="H535" i="5" s="1"/>
  <c r="G312" i="3"/>
  <c r="G311" i="3" s="1"/>
  <c r="G310" i="3" s="1"/>
  <c r="H545" i="5"/>
  <c r="H544" i="5" s="1"/>
  <c r="H543" i="5" s="1"/>
  <c r="G320" i="3"/>
  <c r="G319" i="3" s="1"/>
  <c r="G318" i="3" s="1"/>
  <c r="J545" i="5"/>
  <c r="J544" i="5" s="1"/>
  <c r="J543" i="5" s="1"/>
  <c r="J522" i="5" s="1"/>
  <c r="J521" i="5" s="1"/>
  <c r="J520" i="5" s="1"/>
  <c r="J552" i="5" s="1"/>
  <c r="I320" i="3"/>
  <c r="I319" i="3" s="1"/>
  <c r="I318" i="3" s="1"/>
  <c r="I298" i="3" s="1"/>
  <c r="I297" i="3" s="1"/>
  <c r="G31" i="2" s="1"/>
  <c r="J257" i="5"/>
  <c r="J256" i="5" s="1"/>
  <c r="J255" i="5" s="1"/>
  <c r="I82" i="3"/>
  <c r="I81" i="3" s="1"/>
  <c r="I80" i="3" s="1"/>
  <c r="I806" i="3"/>
  <c r="I805" i="3"/>
  <c r="G44" i="2" s="1"/>
  <c r="K177" i="5"/>
  <c r="K176" i="5" s="1"/>
  <c r="K175" i="5" s="1"/>
  <c r="K174" i="5" s="1"/>
  <c r="J515" i="3"/>
  <c r="J514" i="3" s="1"/>
  <c r="J513" i="3" s="1"/>
  <c r="J498" i="3" s="1"/>
  <c r="J493" i="3" s="1"/>
  <c r="H257" i="5"/>
  <c r="H256" i="5" s="1"/>
  <c r="H255" i="5" s="1"/>
  <c r="G82" i="3"/>
  <c r="G81" i="3" s="1"/>
  <c r="G80" i="3" s="1"/>
  <c r="I16" i="4"/>
  <c r="I15" i="4" s="1"/>
  <c r="I14" i="4" s="1"/>
  <c r="I13" i="4" s="1"/>
  <c r="I12" i="4" s="1"/>
  <c r="I11" i="4" s="1"/>
  <c r="H262" i="5"/>
  <c r="H261" i="5" s="1"/>
  <c r="H258" i="5" s="1"/>
  <c r="G87" i="3"/>
  <c r="G86" i="3" s="1"/>
  <c r="G83" i="3" s="1"/>
  <c r="K79" i="4"/>
  <c r="K1176" i="4" s="1"/>
  <c r="H509" i="5"/>
  <c r="H508" i="5" s="1"/>
  <c r="H507" i="5" s="1"/>
  <c r="H506" i="5" s="1"/>
  <c r="H505" i="5" s="1"/>
  <c r="G110" i="3"/>
  <c r="G109" i="3" s="1"/>
  <c r="G108" i="3" s="1"/>
  <c r="G107" i="3" s="1"/>
  <c r="G145" i="3"/>
  <c r="I145" i="3"/>
  <c r="I144" i="3" s="1"/>
  <c r="K200" i="4"/>
  <c r="K199" i="4" s="1"/>
  <c r="K195" i="4" s="1"/>
  <c r="K194" i="4" s="1"/>
  <c r="K186" i="4" s="1"/>
  <c r="H272" i="3"/>
  <c r="H268" i="3" s="1"/>
  <c r="H267" i="3" s="1"/>
  <c r="J272" i="3"/>
  <c r="J268" i="3" s="1"/>
  <c r="J267" i="3" s="1"/>
  <c r="H368" i="5"/>
  <c r="H367" i="5" s="1"/>
  <c r="H366" i="5" s="1"/>
  <c r="G606" i="3"/>
  <c r="G605" i="3" s="1"/>
  <c r="G604" i="3" s="1"/>
  <c r="G603" i="3" s="1"/>
  <c r="G602" i="3" s="1"/>
  <c r="H399" i="5"/>
  <c r="H398" i="5" s="1"/>
  <c r="H397" i="5" s="1"/>
  <c r="G688" i="3"/>
  <c r="G687" i="3" s="1"/>
  <c r="G686" i="3" s="1"/>
  <c r="G763" i="3"/>
  <c r="G760" i="3" s="1"/>
  <c r="G754" i="3"/>
  <c r="G753" i="3" s="1"/>
  <c r="I763" i="3"/>
  <c r="I760" i="3" s="1"/>
  <c r="I754" i="3"/>
  <c r="I753" i="3" s="1"/>
  <c r="I683" i="3" s="1"/>
  <c r="H590" i="5"/>
  <c r="H589" i="5" s="1"/>
  <c r="H595" i="5" s="1"/>
  <c r="G784" i="3"/>
  <c r="G783" i="3" s="1"/>
  <c r="G782" i="3" s="1"/>
  <c r="G775" i="3" s="1"/>
  <c r="J440" i="4"/>
  <c r="J439" i="4" s="1"/>
  <c r="G818" i="3"/>
  <c r="G817" i="3" s="1"/>
  <c r="G814" i="3" s="1"/>
  <c r="H29" i="5"/>
  <c r="H28" i="5" s="1"/>
  <c r="H25" i="5" s="1"/>
  <c r="J29" i="5"/>
  <c r="J28" i="5" s="1"/>
  <c r="J25" i="5" s="1"/>
  <c r="I818" i="3"/>
  <c r="I817" i="3" s="1"/>
  <c r="I814" i="3" s="1"/>
  <c r="G823" i="3"/>
  <c r="G822" i="3" s="1"/>
  <c r="G821" i="3" s="1"/>
  <c r="H35" i="5"/>
  <c r="H34" i="5" s="1"/>
  <c r="H33" i="5" s="1"/>
  <c r="J35" i="5"/>
  <c r="J34" i="5" s="1"/>
  <c r="J33" i="5" s="1"/>
  <c r="I823" i="3"/>
  <c r="I822" i="3" s="1"/>
  <c r="I821" i="3" s="1"/>
  <c r="K469" i="4"/>
  <c r="K468" i="4" s="1"/>
  <c r="K467" i="4" s="1"/>
  <c r="I42" i="5"/>
  <c r="I41" i="5" s="1"/>
  <c r="I40" i="5" s="1"/>
  <c r="I39" i="5" s="1"/>
  <c r="I38" i="5" s="1"/>
  <c r="I37" i="5" s="1"/>
  <c r="I43" i="5" s="1"/>
  <c r="H827" i="3"/>
  <c r="H826" i="3" s="1"/>
  <c r="H825" i="3" s="1"/>
  <c r="H824" i="3" s="1"/>
  <c r="K42" i="5"/>
  <c r="K41" i="5" s="1"/>
  <c r="K40" i="5" s="1"/>
  <c r="K39" i="5" s="1"/>
  <c r="K38" i="5" s="1"/>
  <c r="K37" i="5" s="1"/>
  <c r="K43" i="5" s="1"/>
  <c r="J827" i="3"/>
  <c r="J826" i="3" s="1"/>
  <c r="J825" i="3" s="1"/>
  <c r="J824" i="3" s="1"/>
  <c r="I56" i="5"/>
  <c r="I55" i="5" s="1"/>
  <c r="I54" i="5" s="1"/>
  <c r="I53" i="5" s="1"/>
  <c r="I52" i="5" s="1"/>
  <c r="I51" i="5" s="1"/>
  <c r="I59" i="5" s="1"/>
  <c r="H835" i="3"/>
  <c r="H834" i="3" s="1"/>
  <c r="H833" i="3" s="1"/>
  <c r="H832" i="3" s="1"/>
  <c r="J835" i="3"/>
  <c r="J834" i="3" s="1"/>
  <c r="J833" i="3" s="1"/>
  <c r="J832" i="3" s="1"/>
  <c r="K56" i="5"/>
  <c r="K55" i="5" s="1"/>
  <c r="K54" i="5" s="1"/>
  <c r="K53" i="5" s="1"/>
  <c r="K52" i="5" s="1"/>
  <c r="K51" i="5" s="1"/>
  <c r="K59" i="5" s="1"/>
  <c r="H65" i="5"/>
  <c r="H64" i="5" s="1"/>
  <c r="H63" i="5" s="1"/>
  <c r="H62" i="5" s="1"/>
  <c r="H61" i="5" s="1"/>
  <c r="H60" i="5" s="1"/>
  <c r="H66" i="5" s="1"/>
  <c r="G841" i="3"/>
  <c r="G840" i="3" s="1"/>
  <c r="G839" i="3" s="1"/>
  <c r="G838" i="3" s="1"/>
  <c r="I72" i="5"/>
  <c r="I71" i="5" s="1"/>
  <c r="I70" i="5" s="1"/>
  <c r="I69" i="5" s="1"/>
  <c r="I68" i="5" s="1"/>
  <c r="I67" i="5" s="1"/>
  <c r="I73" i="5" s="1"/>
  <c r="H845" i="3"/>
  <c r="H844" i="3" s="1"/>
  <c r="H843" i="3" s="1"/>
  <c r="H842" i="3" s="1"/>
  <c r="K72" i="5"/>
  <c r="K71" i="5" s="1"/>
  <c r="K70" i="5" s="1"/>
  <c r="K69" i="5" s="1"/>
  <c r="K68" i="5" s="1"/>
  <c r="K67" i="5" s="1"/>
  <c r="K73" i="5" s="1"/>
  <c r="J845" i="3"/>
  <c r="J844" i="3" s="1"/>
  <c r="J843" i="3" s="1"/>
  <c r="J842" i="3" s="1"/>
  <c r="H81" i="5"/>
  <c r="H80" i="5" s="1"/>
  <c r="H77" i="5" s="1"/>
  <c r="H76" i="5" s="1"/>
  <c r="H75" i="5" s="1"/>
  <c r="H74" i="5" s="1"/>
  <c r="H85" i="5" s="1"/>
  <c r="G851" i="3"/>
  <c r="G850" i="3" s="1"/>
  <c r="G847" i="3" s="1"/>
  <c r="G846" i="3" s="1"/>
  <c r="J81" i="5"/>
  <c r="J80" i="5" s="1"/>
  <c r="J77" i="5" s="1"/>
  <c r="J76" i="5" s="1"/>
  <c r="J75" i="5" s="1"/>
  <c r="J74" i="5" s="1"/>
  <c r="J85" i="5" s="1"/>
  <c r="I851" i="3"/>
  <c r="I850" i="3" s="1"/>
  <c r="I847" i="3" s="1"/>
  <c r="I846" i="3" s="1"/>
  <c r="K537" i="4"/>
  <c r="H40" i="3"/>
  <c r="H39" i="3" s="1"/>
  <c r="J40" i="3"/>
  <c r="J39" i="3" s="1"/>
  <c r="G473" i="3"/>
  <c r="G472" i="3" s="1"/>
  <c r="I473" i="3"/>
  <c r="I472" i="3" s="1"/>
  <c r="I441" i="3" s="1"/>
  <c r="G35" i="2" s="1"/>
  <c r="H117" i="5"/>
  <c r="H116" i="5" s="1"/>
  <c r="H115" i="5" s="1"/>
  <c r="H114" i="5" s="1"/>
  <c r="G497" i="3"/>
  <c r="G496" i="3" s="1"/>
  <c r="G495" i="3" s="1"/>
  <c r="G494" i="3" s="1"/>
  <c r="H177" i="5"/>
  <c r="H176" i="5" s="1"/>
  <c r="H175" i="5" s="1"/>
  <c r="G515" i="3"/>
  <c r="G514" i="3" s="1"/>
  <c r="G513" i="3" s="1"/>
  <c r="H186" i="5"/>
  <c r="H185" i="5" s="1"/>
  <c r="H184" i="5" s="1"/>
  <c r="G524" i="3"/>
  <c r="G523" i="3" s="1"/>
  <c r="G522" i="3" s="1"/>
  <c r="I557" i="5"/>
  <c r="I556" i="5" s="1"/>
  <c r="H654" i="3"/>
  <c r="H653" i="3" s="1"/>
  <c r="H652" i="3" s="1"/>
  <c r="H651" i="3" s="1"/>
  <c r="K557" i="5"/>
  <c r="K556" i="5" s="1"/>
  <c r="J654" i="3"/>
  <c r="J653" i="3" s="1"/>
  <c r="J652" i="3" s="1"/>
  <c r="J651" i="3" s="1"/>
  <c r="H635" i="3"/>
  <c r="H634" i="3" s="1"/>
  <c r="H633" i="3" s="1"/>
  <c r="J635" i="3"/>
  <c r="J634" i="3" s="1"/>
  <c r="J633" i="3" s="1"/>
  <c r="H334" i="5"/>
  <c r="G919" i="3"/>
  <c r="G918" i="3" s="1"/>
  <c r="H360" i="5"/>
  <c r="H359" i="5" s="1"/>
  <c r="H356" i="5" s="1"/>
  <c r="H355" i="5" s="1"/>
  <c r="H354" i="5" s="1"/>
  <c r="H353" i="5" s="1"/>
  <c r="H361" i="5" s="1"/>
  <c r="G948" i="3"/>
  <c r="G947" i="3" s="1"/>
  <c r="G944" i="3" s="1"/>
  <c r="G943" i="3" s="1"/>
  <c r="G942" i="3" s="1"/>
  <c r="H17" i="5"/>
  <c r="H16" i="5" s="1"/>
  <c r="G259" i="3"/>
  <c r="G258" i="3" s="1"/>
  <c r="I19" i="5"/>
  <c r="I18" i="5" s="1"/>
  <c r="H261" i="3"/>
  <c r="H260" i="3" s="1"/>
  <c r="K19" i="5"/>
  <c r="K18" i="5" s="1"/>
  <c r="J261" i="3"/>
  <c r="J260" i="3" s="1"/>
  <c r="H532" i="5"/>
  <c r="H531" i="5" s="1"/>
  <c r="H530" i="5" s="1"/>
  <c r="G307" i="3"/>
  <c r="G306" i="3" s="1"/>
  <c r="G305" i="3" s="1"/>
  <c r="H542" i="5"/>
  <c r="H541" i="5" s="1"/>
  <c r="H540" i="5" s="1"/>
  <c r="G317" i="3"/>
  <c r="G316" i="3" s="1"/>
  <c r="G315" i="3" s="1"/>
  <c r="I545" i="5"/>
  <c r="I544" i="5" s="1"/>
  <c r="I543" i="5" s="1"/>
  <c r="I522" i="5" s="1"/>
  <c r="I521" i="5" s="1"/>
  <c r="I520" i="5" s="1"/>
  <c r="I552" i="5" s="1"/>
  <c r="H320" i="3"/>
  <c r="H319" i="3" s="1"/>
  <c r="H318" i="3" s="1"/>
  <c r="H298" i="3" s="1"/>
  <c r="H297" i="3" s="1"/>
  <c r="F31" i="2" s="1"/>
  <c r="K545" i="5"/>
  <c r="K544" i="5" s="1"/>
  <c r="K543" i="5" s="1"/>
  <c r="K522" i="5" s="1"/>
  <c r="K521" i="5" s="1"/>
  <c r="K520" i="5" s="1"/>
  <c r="K552" i="5" s="1"/>
  <c r="J320" i="3"/>
  <c r="J319" i="3" s="1"/>
  <c r="J318" i="3" s="1"/>
  <c r="J298" i="3" s="1"/>
  <c r="J297" i="3" s="1"/>
  <c r="H31" i="2" s="1"/>
  <c r="H551" i="5"/>
  <c r="H550" i="5" s="1"/>
  <c r="H549" i="5" s="1"/>
  <c r="G326" i="3"/>
  <c r="G325" i="3" s="1"/>
  <c r="G324" i="3" s="1"/>
  <c r="K991" i="4"/>
  <c r="H491" i="5"/>
  <c r="H490" i="5" s="1"/>
  <c r="H489" i="5" s="1"/>
  <c r="H488" i="5" s="1"/>
  <c r="H487" i="5" s="1"/>
  <c r="H486" i="5" s="1"/>
  <c r="G381" i="3"/>
  <c r="G380" i="3" s="1"/>
  <c r="G379" i="3" s="1"/>
  <c r="G378" i="3" s="1"/>
  <c r="G362" i="3" s="1"/>
  <c r="G361" i="3" s="1"/>
  <c r="E32" i="2" s="1"/>
  <c r="K257" i="5"/>
  <c r="K256" i="5" s="1"/>
  <c r="K255" i="5" s="1"/>
  <c r="J82" i="3"/>
  <c r="J81" i="3" s="1"/>
  <c r="J80" i="3" s="1"/>
  <c r="I257" i="5"/>
  <c r="I256" i="5" s="1"/>
  <c r="I255" i="5" s="1"/>
  <c r="H82" i="3"/>
  <c r="H81" i="3" s="1"/>
  <c r="H80" i="3" s="1"/>
  <c r="I36" i="3"/>
  <c r="I35" i="3" s="1"/>
  <c r="J173" i="5"/>
  <c r="J152" i="5" s="1"/>
  <c r="J199" i="5" s="1"/>
  <c r="J107" i="5"/>
  <c r="I34" i="4"/>
  <c r="I33" i="4" s="1"/>
  <c r="I32" i="4" s="1"/>
  <c r="I50" i="4"/>
  <c r="I49" i="4" s="1"/>
  <c r="I48" i="4" s="1"/>
  <c r="I69" i="4"/>
  <c r="I68" i="4" s="1"/>
  <c r="I93" i="4"/>
  <c r="I92" i="4" s="1"/>
  <c r="I119" i="4"/>
  <c r="I118" i="4" s="1"/>
  <c r="K119" i="4"/>
  <c r="K118" i="4" s="1"/>
  <c r="J130" i="4"/>
  <c r="J129" i="4" s="1"/>
  <c r="L130" i="4"/>
  <c r="L129" i="4" s="1"/>
  <c r="I148" i="4"/>
  <c r="I147" i="4" s="1"/>
  <c r="I155" i="4"/>
  <c r="I152" i="4" s="1"/>
  <c r="I180" i="4"/>
  <c r="I177" i="4" s="1"/>
  <c r="J200" i="4"/>
  <c r="J199" i="4" s="1"/>
  <c r="J195" i="4" s="1"/>
  <c r="J194" i="4" s="1"/>
  <c r="J186" i="4" s="1"/>
  <c r="L200" i="4"/>
  <c r="L199" i="4" s="1"/>
  <c r="L195" i="4" s="1"/>
  <c r="L194" i="4" s="1"/>
  <c r="L186" i="4" s="1"/>
  <c r="I213" i="4"/>
  <c r="J215" i="4"/>
  <c r="L215" i="4"/>
  <c r="L232" i="4"/>
  <c r="L231" i="4" s="1"/>
  <c r="L230" i="4" s="1"/>
  <c r="L229" i="4" s="1"/>
  <c r="L224" i="4" s="1"/>
  <c r="I238" i="4"/>
  <c r="K238" i="4"/>
  <c r="I240" i="4"/>
  <c r="K240" i="4"/>
  <c r="J313" i="4"/>
  <c r="J312" i="4" s="1"/>
  <c r="L313" i="4"/>
  <c r="L312" i="4" s="1"/>
  <c r="I361" i="4"/>
  <c r="I360" i="4" s="1"/>
  <c r="I403" i="4"/>
  <c r="I400" i="4" s="1"/>
  <c r="I406" i="4"/>
  <c r="I405" i="4" s="1"/>
  <c r="K406" i="4"/>
  <c r="K405" i="4" s="1"/>
  <c r="I460" i="4"/>
  <c r="K460" i="4"/>
  <c r="K456" i="4" s="1"/>
  <c r="J465" i="4"/>
  <c r="J464" i="4" s="1"/>
  <c r="L465" i="4"/>
  <c r="L464" i="4" s="1"/>
  <c r="J469" i="4"/>
  <c r="J468" i="4" s="1"/>
  <c r="J467" i="4" s="1"/>
  <c r="L469" i="4"/>
  <c r="L468" i="4" s="1"/>
  <c r="L467" i="4" s="1"/>
  <c r="K477" i="4"/>
  <c r="K476" i="4" s="1"/>
  <c r="K475" i="4" s="1"/>
  <c r="I487" i="4"/>
  <c r="I486" i="4" s="1"/>
  <c r="I485" i="4" s="1"/>
  <c r="K487" i="4"/>
  <c r="K486" i="4" s="1"/>
  <c r="K485" i="4" s="1"/>
  <c r="L491" i="4"/>
  <c r="L490" i="4" s="1"/>
  <c r="L489" i="4" s="1"/>
  <c r="I509" i="4"/>
  <c r="I508" i="4" s="1"/>
  <c r="I507" i="4" s="1"/>
  <c r="L537" i="4"/>
  <c r="I551" i="4"/>
  <c r="I550" i="4" s="1"/>
  <c r="I549" i="4" s="1"/>
  <c r="I544" i="4" s="1"/>
  <c r="I539" i="4" s="1"/>
  <c r="I601" i="4"/>
  <c r="I600" i="4" s="1"/>
  <c r="I599" i="4" s="1"/>
  <c r="I608" i="4"/>
  <c r="I607" i="4" s="1"/>
  <c r="I603" i="4" s="1"/>
  <c r="J634" i="4"/>
  <c r="J633" i="4" s="1"/>
  <c r="L634" i="4"/>
  <c r="L633" i="4" s="1"/>
  <c r="I637" i="4"/>
  <c r="I636" i="4" s="1"/>
  <c r="K637" i="4"/>
  <c r="K636" i="4" s="1"/>
  <c r="I640" i="4"/>
  <c r="I639" i="4" s="1"/>
  <c r="I652" i="4"/>
  <c r="I651" i="4" s="1"/>
  <c r="I650" i="4" s="1"/>
  <c r="I697" i="4"/>
  <c r="I696" i="4" s="1"/>
  <c r="I700" i="4"/>
  <c r="I699" i="4" s="1"/>
  <c r="I703" i="4"/>
  <c r="I702" i="4" s="1"/>
  <c r="K703" i="4"/>
  <c r="K702" i="4" s="1"/>
  <c r="J706" i="4"/>
  <c r="J705" i="4" s="1"/>
  <c r="L706" i="4"/>
  <c r="L705" i="4" s="1"/>
  <c r="I709" i="4"/>
  <c r="I708" i="4" s="1"/>
  <c r="K709" i="4"/>
  <c r="K708" i="4" s="1"/>
  <c r="I712" i="4"/>
  <c r="I711" i="4" s="1"/>
  <c r="I715" i="4"/>
  <c r="I714" i="4" s="1"/>
  <c r="K715" i="4"/>
  <c r="K714" i="4" s="1"/>
  <c r="I724" i="4"/>
  <c r="I723" i="4" s="1"/>
  <c r="K724" i="4"/>
  <c r="K723" i="4" s="1"/>
  <c r="K718" i="4" s="1"/>
  <c r="L751" i="4"/>
  <c r="L750" i="4" s="1"/>
  <c r="L748" i="4" s="1"/>
  <c r="L747" i="4" s="1"/>
  <c r="L741" i="4" s="1"/>
  <c r="I766" i="4"/>
  <c r="I772" i="4"/>
  <c r="I771" i="4" s="1"/>
  <c r="I777" i="4"/>
  <c r="L779" i="4"/>
  <c r="I793" i="4"/>
  <c r="I792" i="4" s="1"/>
  <c r="I791" i="4" s="1"/>
  <c r="I790" i="4" s="1"/>
  <c r="J816" i="4"/>
  <c r="J815" i="4" s="1"/>
  <c r="J811" i="4" s="1"/>
  <c r="L816" i="4"/>
  <c r="L815" i="4" s="1"/>
  <c r="L811" i="4" s="1"/>
  <c r="I826" i="4"/>
  <c r="I825" i="4" s="1"/>
  <c r="I866" i="4"/>
  <c r="I868" i="4"/>
  <c r="L870" i="4"/>
  <c r="I906" i="4"/>
  <c r="K906" i="4"/>
  <c r="I934" i="4"/>
  <c r="I933" i="4" s="1"/>
  <c r="I944" i="4"/>
  <c r="I943" i="4" s="1"/>
  <c r="J1182" i="4"/>
  <c r="L1182" i="4"/>
  <c r="I953" i="4"/>
  <c r="I952" i="4" s="1"/>
  <c r="L1057" i="4"/>
  <c r="I1064" i="4"/>
  <c r="I1066" i="4"/>
  <c r="I1084" i="4"/>
  <c r="I1083" i="4" s="1"/>
  <c r="I1082" i="4" s="1"/>
  <c r="I1081" i="4" s="1"/>
  <c r="I1131" i="4"/>
  <c r="I1128" i="4" s="1"/>
  <c r="I1127" i="4" s="1"/>
  <c r="I1126" i="4" s="1"/>
  <c r="I1125" i="4" s="1"/>
  <c r="I1124" i="4" s="1"/>
  <c r="I1165" i="4" s="1"/>
  <c r="K20" i="4"/>
  <c r="I63" i="3" s="1"/>
  <c r="I62" i="3" s="1"/>
  <c r="I59" i="3" s="1"/>
  <c r="I58" i="3" s="1"/>
  <c r="I57" i="3" s="1"/>
  <c r="I56" i="3" s="1"/>
  <c r="G17" i="2" s="1"/>
  <c r="J75" i="4"/>
  <c r="L181" i="4"/>
  <c r="J228" i="3" s="1"/>
  <c r="J227" i="3" s="1"/>
  <c r="J224" i="3" s="1"/>
  <c r="L534" i="4"/>
  <c r="J36" i="3" s="1"/>
  <c r="J35" i="3" s="1"/>
  <c r="J19" i="4"/>
  <c r="J16" i="4" s="1"/>
  <c r="J15" i="4" s="1"/>
  <c r="J14" i="4" s="1"/>
  <c r="J13" i="4" s="1"/>
  <c r="J12" i="4" s="1"/>
  <c r="J11" i="4" s="1"/>
  <c r="J69" i="4"/>
  <c r="J68" i="4" s="1"/>
  <c r="L69" i="4"/>
  <c r="L68" i="4" s="1"/>
  <c r="I74" i="4"/>
  <c r="I71" i="4" s="1"/>
  <c r="L119" i="4"/>
  <c r="L118" i="4" s="1"/>
  <c r="I130" i="4"/>
  <c r="I129" i="4" s="1"/>
  <c r="K180" i="4"/>
  <c r="K177" i="4" s="1"/>
  <c r="I200" i="4"/>
  <c r="I199" i="4" s="1"/>
  <c r="I195" i="4" s="1"/>
  <c r="I194" i="4" s="1"/>
  <c r="I186" i="4" s="1"/>
  <c r="K213" i="4"/>
  <c r="J213" i="4"/>
  <c r="L213" i="4"/>
  <c r="I215" i="4"/>
  <c r="I232" i="4"/>
  <c r="I231" i="4" s="1"/>
  <c r="I230" i="4" s="1"/>
  <c r="I229" i="4" s="1"/>
  <c r="I224" i="4" s="1"/>
  <c r="K232" i="4"/>
  <c r="K231" i="4" s="1"/>
  <c r="K230" i="4" s="1"/>
  <c r="K229" i="4" s="1"/>
  <c r="K224" i="4" s="1"/>
  <c r="L238" i="4"/>
  <c r="J240" i="4"/>
  <c r="L240" i="4"/>
  <c r="I313" i="4"/>
  <c r="I312" i="4" s="1"/>
  <c r="K313" i="4"/>
  <c r="K312" i="4" s="1"/>
  <c r="I319" i="4"/>
  <c r="I318" i="4" s="1"/>
  <c r="K319" i="4"/>
  <c r="K318" i="4" s="1"/>
  <c r="L319" i="4"/>
  <c r="L318" i="4" s="1"/>
  <c r="I332" i="4"/>
  <c r="I331" i="4" s="1"/>
  <c r="K403" i="4"/>
  <c r="K400" i="4" s="1"/>
  <c r="J403" i="4"/>
  <c r="J400" i="4" s="1"/>
  <c r="L403" i="4"/>
  <c r="L400" i="4" s="1"/>
  <c r="J406" i="4"/>
  <c r="J405" i="4" s="1"/>
  <c r="L406" i="4"/>
  <c r="L405" i="4" s="1"/>
  <c r="K443" i="4"/>
  <c r="I449" i="4"/>
  <c r="I446" i="4" s="1"/>
  <c r="I445" i="4" s="1"/>
  <c r="J460" i="4"/>
  <c r="L460" i="4"/>
  <c r="I465" i="4"/>
  <c r="I464" i="4" s="1"/>
  <c r="I469" i="4"/>
  <c r="I468" i="4" s="1"/>
  <c r="I467" i="4" s="1"/>
  <c r="I477" i="4"/>
  <c r="I476" i="4" s="1"/>
  <c r="I475" i="4" s="1"/>
  <c r="I483" i="4"/>
  <c r="I482" i="4" s="1"/>
  <c r="I481" i="4" s="1"/>
  <c r="J487" i="4"/>
  <c r="J486" i="4" s="1"/>
  <c r="J485" i="4" s="1"/>
  <c r="L487" i="4"/>
  <c r="L486" i="4" s="1"/>
  <c r="L485" i="4" s="1"/>
  <c r="I491" i="4"/>
  <c r="I490" i="4" s="1"/>
  <c r="K491" i="4"/>
  <c r="K490" i="4" s="1"/>
  <c r="I634" i="4"/>
  <c r="I633" i="4" s="1"/>
  <c r="L637" i="4"/>
  <c r="L636" i="4" s="1"/>
  <c r="K640" i="4"/>
  <c r="K639" i="4" s="1"/>
  <c r="J640" i="4"/>
  <c r="J639" i="4" s="1"/>
  <c r="L640" i="4"/>
  <c r="L639" i="4" s="1"/>
  <c r="J643" i="4"/>
  <c r="J642" i="4" s="1"/>
  <c r="K643" i="4"/>
  <c r="K642" i="4" s="1"/>
  <c r="I662" i="4"/>
  <c r="I661" i="4" s="1"/>
  <c r="I671" i="4"/>
  <c r="I670" i="4" s="1"/>
  <c r="K697" i="4"/>
  <c r="K696" i="4" s="1"/>
  <c r="J697" i="4"/>
  <c r="J696" i="4" s="1"/>
  <c r="L697" i="4"/>
  <c r="L696" i="4" s="1"/>
  <c r="K700" i="4"/>
  <c r="K699" i="4" s="1"/>
  <c r="J700" i="4"/>
  <c r="J699" i="4" s="1"/>
  <c r="L700" i="4"/>
  <c r="L699" i="4" s="1"/>
  <c r="J703" i="4"/>
  <c r="J702" i="4" s="1"/>
  <c r="L703" i="4"/>
  <c r="L702" i="4" s="1"/>
  <c r="I706" i="4"/>
  <c r="I705" i="4" s="1"/>
  <c r="L709" i="4"/>
  <c r="L708" i="4" s="1"/>
  <c r="K712" i="4"/>
  <c r="K711" i="4" s="1"/>
  <c r="J712" i="4"/>
  <c r="J711" i="4" s="1"/>
  <c r="L712" i="4"/>
  <c r="L711" i="4" s="1"/>
  <c r="J715" i="4"/>
  <c r="J714" i="4" s="1"/>
  <c r="L715" i="4"/>
  <c r="L714" i="4" s="1"/>
  <c r="I721" i="4"/>
  <c r="I720" i="4" s="1"/>
  <c r="I719" i="4" s="1"/>
  <c r="J724" i="4"/>
  <c r="J723" i="4" s="1"/>
  <c r="J718" i="4" s="1"/>
  <c r="L724" i="4"/>
  <c r="L723" i="4" s="1"/>
  <c r="L718" i="4" s="1"/>
  <c r="I751" i="4"/>
  <c r="I750" i="4" s="1"/>
  <c r="I748" i="4" s="1"/>
  <c r="I747" i="4" s="1"/>
  <c r="I741" i="4" s="1"/>
  <c r="K751" i="4"/>
  <c r="K750" i="4" s="1"/>
  <c r="K748" i="4" s="1"/>
  <c r="K747" i="4" s="1"/>
  <c r="K741" i="4" s="1"/>
  <c r="J756" i="4"/>
  <c r="J755" i="4" s="1"/>
  <c r="I756" i="4"/>
  <c r="I755" i="4" s="1"/>
  <c r="K756" i="4"/>
  <c r="K755" i="4" s="1"/>
  <c r="J765" i="4"/>
  <c r="J764" i="4" s="1"/>
  <c r="I768" i="4"/>
  <c r="I775" i="4"/>
  <c r="I779" i="4"/>
  <c r="K779" i="4"/>
  <c r="J791" i="4"/>
  <c r="J790" i="4" s="1"/>
  <c r="I816" i="4"/>
  <c r="I815" i="4" s="1"/>
  <c r="I811" i="4" s="1"/>
  <c r="I829" i="4"/>
  <c r="I828" i="4" s="1"/>
  <c r="K824" i="4"/>
  <c r="K823" i="4" s="1"/>
  <c r="K822" i="4" s="1"/>
  <c r="I855" i="4"/>
  <c r="I852" i="4" s="1"/>
  <c r="I851" i="4" s="1"/>
  <c r="I850" i="4" s="1"/>
  <c r="I870" i="4"/>
  <c r="K870" i="4"/>
  <c r="I881" i="4"/>
  <c r="I883" i="4"/>
  <c r="I904" i="4"/>
  <c r="I920" i="4"/>
  <c r="I919" i="4" s="1"/>
  <c r="I939" i="4"/>
  <c r="I938" i="4" s="1"/>
  <c r="I947" i="4"/>
  <c r="I946" i="4" s="1"/>
  <c r="K1182" i="4"/>
  <c r="I958" i="4"/>
  <c r="I957" i="4" s="1"/>
  <c r="I956" i="4" s="1"/>
  <c r="I970" i="4"/>
  <c r="I969" i="4" s="1"/>
  <c r="I968" i="4" s="1"/>
  <c r="L991" i="4"/>
  <c r="I1028" i="4"/>
  <c r="I1027" i="4" s="1"/>
  <c r="I1026" i="4" s="1"/>
  <c r="L1026" i="4"/>
  <c r="I1053" i="4"/>
  <c r="I1057" i="4"/>
  <c r="L18" i="4"/>
  <c r="J61" i="3" s="1"/>
  <c r="J60" i="3" s="1"/>
  <c r="L42" i="4"/>
  <c r="J44" i="3" s="1"/>
  <c r="J43" i="3" s="1"/>
  <c r="J42" i="3" s="1"/>
  <c r="J41" i="3" s="1"/>
  <c r="L184" i="4"/>
  <c r="J231" i="3" s="1"/>
  <c r="J230" i="3" s="1"/>
  <c r="J229" i="3" s="1"/>
  <c r="L223" i="4"/>
  <c r="J810" i="3" s="1"/>
  <c r="J809" i="3" s="1"/>
  <c r="J808" i="3" s="1"/>
  <c r="J807" i="3" s="1"/>
  <c r="L442" i="4"/>
  <c r="J793" i="3" s="1"/>
  <c r="J792" i="3" s="1"/>
  <c r="I1068" i="4"/>
  <c r="J1068" i="4"/>
  <c r="L1068" i="4"/>
  <c r="K1068" i="4"/>
  <c r="I844" i="4"/>
  <c r="J844" i="4"/>
  <c r="L844" i="4"/>
  <c r="K844" i="4"/>
  <c r="I1039" i="4"/>
  <c r="L1039" i="4"/>
  <c r="J824" i="4"/>
  <c r="J823" i="4" s="1"/>
  <c r="J822" i="4" s="1"/>
  <c r="L824" i="4"/>
  <c r="L823" i="4" s="1"/>
  <c r="L822" i="4" s="1"/>
  <c r="J1181" i="4"/>
  <c r="L359" i="4"/>
  <c r="I1102" i="4"/>
  <c r="I1101" i="4" s="1"/>
  <c r="I1100" i="4" s="1"/>
  <c r="I1099" i="4" s="1"/>
  <c r="L1102" i="4"/>
  <c r="L1101" i="4" s="1"/>
  <c r="L1100" i="4" s="1"/>
  <c r="L1099" i="4" s="1"/>
  <c r="I363" i="4"/>
  <c r="L969" i="4"/>
  <c r="L968" i="4" s="1"/>
  <c r="J969" i="4"/>
  <c r="J968" i="4" s="1"/>
  <c r="J870" i="4"/>
  <c r="J869" i="4"/>
  <c r="H961" i="3" s="1"/>
  <c r="H960" i="3" s="1"/>
  <c r="H957" i="3" s="1"/>
  <c r="H956" i="3" s="1"/>
  <c r="H949" i="3" s="1"/>
  <c r="H941" i="3" s="1"/>
  <c r="J1057" i="4"/>
  <c r="J1056" i="4"/>
  <c r="H428" i="3" s="1"/>
  <c r="H427" i="3" s="1"/>
  <c r="H424" i="3" s="1"/>
  <c r="H423" i="3" s="1"/>
  <c r="H422" i="3" s="1"/>
  <c r="H421" i="3" s="1"/>
  <c r="F33" i="2" s="1"/>
  <c r="I991" i="4"/>
  <c r="K731" i="4"/>
  <c r="K730" i="4" s="1"/>
  <c r="J1102" i="4"/>
  <c r="J1101" i="4" s="1"/>
  <c r="J1100" i="4" s="1"/>
  <c r="J1099" i="4" s="1"/>
  <c r="L1092" i="4"/>
  <c r="L1091" i="4" s="1"/>
  <c r="L1090" i="4" s="1"/>
  <c r="L1089" i="4" s="1"/>
  <c r="L1063" i="4"/>
  <c r="L1059" i="4" s="1"/>
  <c r="K1063" i="4"/>
  <c r="K1059" i="4" s="1"/>
  <c r="J1026" i="4"/>
  <c r="K1007" i="4"/>
  <c r="K1006" i="4" s="1"/>
  <c r="K502" i="4"/>
  <c r="J779" i="4"/>
  <c r="J778" i="4"/>
  <c r="H679" i="3" s="1"/>
  <c r="H678" i="3" s="1"/>
  <c r="H675" i="3" s="1"/>
  <c r="H671" i="3" s="1"/>
  <c r="H660" i="3" s="1"/>
  <c r="K791" i="4"/>
  <c r="K790" i="4" s="1"/>
  <c r="I758" i="4"/>
  <c r="I1145" i="4"/>
  <c r="J1145" i="4"/>
  <c r="L1145" i="4"/>
  <c r="K1145" i="4"/>
  <c r="L791" i="4"/>
  <c r="L790" i="4" s="1"/>
  <c r="I731" i="4"/>
  <c r="I730" i="4" s="1"/>
  <c r="L731" i="4"/>
  <c r="L730" i="4" s="1"/>
  <c r="K654" i="4"/>
  <c r="K649" i="4" s="1"/>
  <c r="J654" i="4"/>
  <c r="J649" i="4" s="1"/>
  <c r="L654" i="4"/>
  <c r="L649" i="4" s="1"/>
  <c r="L758" i="4"/>
  <c r="L754" i="4" s="1"/>
  <c r="K603" i="4"/>
  <c r="K598" i="4" s="1"/>
  <c r="K1184" i="4"/>
  <c r="J603" i="4"/>
  <c r="J598" i="4" s="1"/>
  <c r="L603" i="4"/>
  <c r="L598" i="4" s="1"/>
  <c r="J502" i="4"/>
  <c r="J489" i="4" s="1"/>
  <c r="L512" i="4"/>
  <c r="I352" i="4"/>
  <c r="J363" i="4"/>
  <c r="J359" i="4" s="1"/>
  <c r="K49" i="4"/>
  <c r="K48" i="4" s="1"/>
  <c r="L108" i="4"/>
  <c r="K395" i="4"/>
  <c r="I564" i="4"/>
  <c r="I558" i="4" s="1"/>
  <c r="I557" i="4" s="1"/>
  <c r="I556" i="4" s="1"/>
  <c r="K1092" i="4"/>
  <c r="K1091" i="4" s="1"/>
  <c r="K1090" i="4" s="1"/>
  <c r="K1089" i="4" s="1"/>
  <c r="I1092" i="4"/>
  <c r="I1091" i="4" s="1"/>
  <c r="I1090" i="4" s="1"/>
  <c r="I1089" i="4" s="1"/>
  <c r="J1092" i="4"/>
  <c r="J1091" i="4" s="1"/>
  <c r="J1090" i="4" s="1"/>
  <c r="J1089" i="4" s="1"/>
  <c r="K108" i="4"/>
  <c r="J352" i="4"/>
  <c r="J330" i="4" s="1"/>
  <c r="L352" i="4"/>
  <c r="L330" i="4" s="1"/>
  <c r="I395" i="4"/>
  <c r="J108" i="4"/>
  <c r="J731" i="4"/>
  <c r="J730" i="4" s="1"/>
  <c r="K758" i="4"/>
  <c r="J758" i="4"/>
  <c r="L1084" i="4"/>
  <c r="L1083" i="4" s="1"/>
  <c r="L1082" i="4" s="1"/>
  <c r="L1081" i="4" s="1"/>
  <c r="J152" i="4"/>
  <c r="J476" i="4"/>
  <c r="J475" i="4" s="1"/>
  <c r="J512" i="4"/>
  <c r="J285" i="4"/>
  <c r="J284" i="4" s="1"/>
  <c r="L285" i="4"/>
  <c r="L284" i="4" s="1"/>
  <c r="K512" i="4"/>
  <c r="K38" i="4"/>
  <c r="J79" i="4"/>
  <c r="J1176" i="4" s="1"/>
  <c r="L79" i="4"/>
  <c r="L1176" i="4" s="1"/>
  <c r="I1184" i="4"/>
  <c r="J1184" i="4"/>
  <c r="L1184" i="4"/>
  <c r="L446" i="4"/>
  <c r="L445" i="4" s="1"/>
  <c r="J536" i="4"/>
  <c r="H38" i="3" s="1"/>
  <c r="H37" i="3" s="1"/>
  <c r="J537" i="4"/>
  <c r="K352" i="4"/>
  <c r="K330" i="4" s="1"/>
  <c r="J395" i="4"/>
  <c r="L395" i="4"/>
  <c r="K765" i="4"/>
  <c r="K764" i="4" s="1"/>
  <c r="K852" i="4"/>
  <c r="J1107" i="4"/>
  <c r="L1125" i="4"/>
  <c r="L1124" i="4" s="1"/>
  <c r="L1165" i="4" s="1"/>
  <c r="L765" i="4"/>
  <c r="L764" i="4" s="1"/>
  <c r="I859" i="4"/>
  <c r="I858" i="4" s="1"/>
  <c r="J859" i="4"/>
  <c r="J858" i="4" s="1"/>
  <c r="L859" i="4"/>
  <c r="L858" i="4" s="1"/>
  <c r="K859" i="4"/>
  <c r="K858" i="4" s="1"/>
  <c r="K880" i="4"/>
  <c r="K879" i="4" s="1"/>
  <c r="K874" i="4" s="1"/>
  <c r="K873" i="4" s="1"/>
  <c r="L956" i="4"/>
  <c r="K956" i="4"/>
  <c r="J956" i="4"/>
  <c r="K969" i="4"/>
  <c r="K968" i="4" s="1"/>
  <c r="K1026" i="4"/>
  <c r="K1025" i="4" s="1"/>
  <c r="K1084" i="4"/>
  <c r="K1083" i="4" s="1"/>
  <c r="K1082" i="4" s="1"/>
  <c r="K1081" i="4" s="1"/>
  <c r="I1107" i="4"/>
  <c r="L1107" i="4"/>
  <c r="K1125" i="4"/>
  <c r="K1124" i="4" s="1"/>
  <c r="K1165" i="4" s="1"/>
  <c r="J1125" i="4"/>
  <c r="J1124" i="4" s="1"/>
  <c r="J1165" i="4" s="1"/>
  <c r="K811" i="4"/>
  <c r="J852" i="4"/>
  <c r="L852" i="4"/>
  <c r="J1007" i="4"/>
  <c r="J1006" i="4" s="1"/>
  <c r="J1084" i="4"/>
  <c r="J1083" i="4" s="1"/>
  <c r="J1082" i="4" s="1"/>
  <c r="J1081" i="4" s="1"/>
  <c r="L564" i="4"/>
  <c r="L558" i="4" s="1"/>
  <c r="L557" i="4" s="1"/>
  <c r="L556" i="4" s="1"/>
  <c r="K564" i="4"/>
  <c r="K558" i="4" s="1"/>
  <c r="K557" i="4" s="1"/>
  <c r="K556" i="4" s="1"/>
  <c r="J564" i="4"/>
  <c r="J558" i="4" s="1"/>
  <c r="J557" i="4" s="1"/>
  <c r="J556" i="4" s="1"/>
  <c r="K1175" i="4"/>
  <c r="I1175" i="4"/>
  <c r="J1175" i="4"/>
  <c r="L1175" i="4"/>
  <c r="K152" i="4"/>
  <c r="J49" i="4"/>
  <c r="J48" i="4" s="1"/>
  <c r="L49" i="4"/>
  <c r="L48" i="4" s="1"/>
  <c r="J147" i="4"/>
  <c r="L152" i="4"/>
  <c r="J177" i="4"/>
  <c r="J170" i="4" s="1"/>
  <c r="K875" i="4"/>
  <c r="J446" i="4"/>
  <c r="J445" i="4" s="1"/>
  <c r="K1107" i="4"/>
  <c r="K446" i="4"/>
  <c r="K445" i="4" s="1"/>
  <c r="K285" i="4"/>
  <c r="K284" i="4" s="1"/>
  <c r="I285" i="4"/>
  <c r="I284" i="4" s="1"/>
  <c r="K147" i="4"/>
  <c r="L147" i="4"/>
  <c r="L36" i="4"/>
  <c r="G948" i="4"/>
  <c r="G940" i="4"/>
  <c r="M1142" i="4" l="1"/>
  <c r="O327" i="4"/>
  <c r="O1156" i="4" s="1"/>
  <c r="O1157" i="4" s="1"/>
  <c r="M1156" i="4"/>
  <c r="M1157" i="4" s="1"/>
  <c r="O821" i="4"/>
  <c r="O1162" i="4" s="1"/>
  <c r="O1163" i="4" s="1"/>
  <c r="M1162" i="4"/>
  <c r="M1163" i="4" s="1"/>
  <c r="O453" i="4"/>
  <c r="O1159" i="4" s="1"/>
  <c r="M242" i="4"/>
  <c r="O242" i="4" s="1"/>
  <c r="M1146" i="4"/>
  <c r="O167" i="4"/>
  <c r="O1146" i="4" s="1"/>
  <c r="O788" i="4"/>
  <c r="M781" i="4"/>
  <c r="O781" i="4" s="1"/>
  <c r="M1153" i="4"/>
  <c r="M1154" i="4" s="1"/>
  <c r="M1159" i="4"/>
  <c r="M527" i="4"/>
  <c r="O527" i="4" s="1"/>
  <c r="O556" i="4"/>
  <c r="O596" i="4"/>
  <c r="O1153" i="4" s="1"/>
  <c r="O1154" i="4" s="1"/>
  <c r="M577" i="4"/>
  <c r="O577" i="4" s="1"/>
  <c r="M753" i="3"/>
  <c r="K683" i="3"/>
  <c r="M1079" i="4"/>
  <c r="O1079" i="4" s="1"/>
  <c r="O1080" i="4"/>
  <c r="O1142" i="4" s="1"/>
  <c r="M492" i="3"/>
  <c r="I36" i="2"/>
  <c r="K36" i="2" s="1"/>
  <c r="K23" i="2"/>
  <c r="I22" i="2"/>
  <c r="K22" i="2" s="1"/>
  <c r="I51" i="2"/>
  <c r="K51" i="2" s="1"/>
  <c r="K52" i="2"/>
  <c r="I32" i="2"/>
  <c r="K32" i="2" s="1"/>
  <c r="M361" i="3"/>
  <c r="I25" i="2"/>
  <c r="K25" i="2" s="1"/>
  <c r="M233" i="3"/>
  <c r="K16" i="2"/>
  <c r="M441" i="3"/>
  <c r="K440" i="3"/>
  <c r="M440" i="3" s="1"/>
  <c r="I35" i="2"/>
  <c r="M941" i="3"/>
  <c r="K913" i="3"/>
  <c r="M913" i="3" s="1"/>
  <c r="I50" i="2"/>
  <c r="I45" i="2"/>
  <c r="M811" i="3"/>
  <c r="K804" i="3"/>
  <c r="M804" i="3" s="1"/>
  <c r="I42" i="2"/>
  <c r="K42" i="2" s="1"/>
  <c r="M774" i="3"/>
  <c r="M74" i="3"/>
  <c r="O74" i="3"/>
  <c r="O80" i="3" s="1"/>
  <c r="I19" i="2"/>
  <c r="K19" i="2" s="1"/>
  <c r="I37" i="2"/>
  <c r="K37" i="2" s="1"/>
  <c r="M569" i="3"/>
  <c r="L552" i="5"/>
  <c r="N552" i="5" s="1"/>
  <c r="N520" i="5"/>
  <c r="L73" i="5"/>
  <c r="N73" i="5" s="1"/>
  <c r="N67" i="5"/>
  <c r="L59" i="5"/>
  <c r="N59" i="5" s="1"/>
  <c r="N51" i="5"/>
  <c r="L43" i="5"/>
  <c r="N43" i="5" s="1"/>
  <c r="N37" i="5"/>
  <c r="N353" i="5"/>
  <c r="L361" i="5"/>
  <c r="N361" i="5" s="1"/>
  <c r="L300" i="5"/>
  <c r="N300" i="5" s="1"/>
  <c r="N22" i="5"/>
  <c r="L21" i="5"/>
  <c r="N21" i="5" s="1"/>
  <c r="L36" i="5"/>
  <c r="N36" i="5" s="1"/>
  <c r="L85" i="5"/>
  <c r="N85" i="5" s="1"/>
  <c r="N74" i="5"/>
  <c r="M28" i="4"/>
  <c r="O28" i="4" s="1"/>
  <c r="O185" i="4"/>
  <c r="L1183" i="4"/>
  <c r="I489" i="4"/>
  <c r="K440" i="4"/>
  <c r="K439" i="4" s="1"/>
  <c r="J990" i="4"/>
  <c r="J1180" i="4" s="1"/>
  <c r="G178" i="3"/>
  <c r="G144" i="3" s="1"/>
  <c r="H504" i="5"/>
  <c r="H510" i="5" s="1"/>
  <c r="J262" i="3"/>
  <c r="H28" i="2" s="1"/>
  <c r="I262" i="3"/>
  <c r="G28" i="2" s="1"/>
  <c r="G262" i="3"/>
  <c r="E28" i="2" s="1"/>
  <c r="H262" i="3"/>
  <c r="F28" i="2" s="1"/>
  <c r="I926" i="4"/>
  <c r="I1182" i="4" s="1"/>
  <c r="I915" i="4"/>
  <c r="I910" i="4" s="1"/>
  <c r="I909" i="4" s="1"/>
  <c r="I1181" i="4"/>
  <c r="G422" i="3"/>
  <c r="G421" i="3" s="1"/>
  <c r="E33" i="2" s="1"/>
  <c r="G774" i="3"/>
  <c r="E42" i="2" s="1"/>
  <c r="H577" i="5"/>
  <c r="H555" i="5"/>
  <c r="H554" i="5" s="1"/>
  <c r="H553" i="5" s="1"/>
  <c r="H576" i="5"/>
  <c r="K555" i="5"/>
  <c r="K554" i="5" s="1"/>
  <c r="K553" i="5" s="1"/>
  <c r="K576" i="5"/>
  <c r="I555" i="5"/>
  <c r="I554" i="5" s="1"/>
  <c r="I553" i="5" s="1"/>
  <c r="I576" i="5"/>
  <c r="J555" i="5"/>
  <c r="J554" i="5" s="1"/>
  <c r="J553" i="5" s="1"/>
  <c r="J576" i="5"/>
  <c r="K170" i="4"/>
  <c r="K169" i="4" s="1"/>
  <c r="K168" i="4" s="1"/>
  <c r="K167" i="4" s="1"/>
  <c r="K1146" i="4" s="1"/>
  <c r="G34" i="3"/>
  <c r="G33" i="3" s="1"/>
  <c r="G32" i="3" s="1"/>
  <c r="G31" i="3" s="1"/>
  <c r="E16" i="2" s="1"/>
  <c r="J579" i="4"/>
  <c r="J578" i="4" s="1"/>
  <c r="K579" i="4"/>
  <c r="K578" i="4" s="1"/>
  <c r="J107" i="4"/>
  <c r="I579" i="4"/>
  <c r="I578" i="4" s="1"/>
  <c r="L579" i="4"/>
  <c r="L578" i="4" s="1"/>
  <c r="K244" i="4"/>
  <c r="K243" i="4" s="1"/>
  <c r="L20" i="4"/>
  <c r="J63" i="3" s="1"/>
  <c r="J62" i="3" s="1"/>
  <c r="J59" i="3" s="1"/>
  <c r="J58" i="3" s="1"/>
  <c r="J57" i="3" s="1"/>
  <c r="J56" i="3" s="1"/>
  <c r="H17" i="2" s="1"/>
  <c r="L626" i="4"/>
  <c r="L625" i="4" s="1"/>
  <c r="L597" i="4" s="1"/>
  <c r="L244" i="4"/>
  <c r="L243" i="4" s="1"/>
  <c r="K749" i="4"/>
  <c r="K489" i="4"/>
  <c r="K455" i="4" s="1"/>
  <c r="L990" i="4"/>
  <c r="L1180" i="4" s="1"/>
  <c r="J243" i="4"/>
  <c r="I24" i="5"/>
  <c r="I23" i="5" s="1"/>
  <c r="I22" i="5" s="1"/>
  <c r="I36" i="5" s="1"/>
  <c r="L1025" i="4"/>
  <c r="K237" i="4"/>
  <c r="K236" i="4" s="1"/>
  <c r="K235" i="4" s="1"/>
  <c r="K234" i="4" s="1"/>
  <c r="K217" i="4" s="1"/>
  <c r="I528" i="4"/>
  <c r="I527" i="4" s="1"/>
  <c r="I749" i="4"/>
  <c r="I654" i="4"/>
  <c r="I649" i="4" s="1"/>
  <c r="K212" i="4"/>
  <c r="K208" i="4" s="1"/>
  <c r="K207" i="4" s="1"/>
  <c r="I824" i="4"/>
  <c r="I823" i="4" s="1"/>
  <c r="I822" i="4" s="1"/>
  <c r="I686" i="4"/>
  <c r="J754" i="4"/>
  <c r="J1183" i="4" s="1"/>
  <c r="J629" i="3"/>
  <c r="J628" i="3" s="1"/>
  <c r="J569" i="3" s="1"/>
  <c r="H37" i="2" s="1"/>
  <c r="I880" i="4"/>
  <c r="I879" i="4" s="1"/>
  <c r="I874" i="4" s="1"/>
  <c r="I873" i="4" s="1"/>
  <c r="I626" i="4"/>
  <c r="I625" i="4" s="1"/>
  <c r="J749" i="4"/>
  <c r="H629" i="3"/>
  <c r="H628" i="3" s="1"/>
  <c r="H569" i="3" s="1"/>
  <c r="F37" i="2" s="1"/>
  <c r="I330" i="4"/>
  <c r="L749" i="4"/>
  <c r="I438" i="4"/>
  <c r="I414" i="4" s="1"/>
  <c r="G629" i="3"/>
  <c r="G628" i="3" s="1"/>
  <c r="G569" i="3" s="1"/>
  <c r="E37" i="2" s="1"/>
  <c r="I718" i="4"/>
  <c r="I717" i="4" s="1"/>
  <c r="L33" i="4"/>
  <c r="I359" i="4"/>
  <c r="J237" i="4"/>
  <c r="J236" i="4" s="1"/>
  <c r="J235" i="4" s="1"/>
  <c r="J234" i="4" s="1"/>
  <c r="J217" i="4" s="1"/>
  <c r="J311" i="4"/>
  <c r="J310" i="4" s="1"/>
  <c r="J283" i="4" s="1"/>
  <c r="J282" i="4" s="1"/>
  <c r="K134" i="4"/>
  <c r="K990" i="4"/>
  <c r="K989" i="4" s="1"/>
  <c r="I990" i="4"/>
  <c r="I1180" i="4" s="1"/>
  <c r="K717" i="4"/>
  <c r="L237" i="4"/>
  <c r="L236" i="4" s="1"/>
  <c r="L235" i="4" s="1"/>
  <c r="L234" i="4" s="1"/>
  <c r="K19" i="4"/>
  <c r="K16" i="4" s="1"/>
  <c r="K15" i="4" s="1"/>
  <c r="K14" i="4" s="1"/>
  <c r="K13" i="4" s="1"/>
  <c r="K12" i="4" s="1"/>
  <c r="K686" i="4"/>
  <c r="K685" i="4" s="1"/>
  <c r="K648" i="4" s="1"/>
  <c r="K394" i="4"/>
  <c r="K1158" i="4" s="1"/>
  <c r="I67" i="4"/>
  <c r="I1174" i="4" s="1"/>
  <c r="I629" i="3"/>
  <c r="I628" i="3" s="1"/>
  <c r="I569" i="3" s="1"/>
  <c r="G37" i="2" s="1"/>
  <c r="H34" i="3"/>
  <c r="H33" i="3" s="1"/>
  <c r="H32" i="3" s="1"/>
  <c r="H31" i="3" s="1"/>
  <c r="F16" i="2" s="1"/>
  <c r="G941" i="3"/>
  <c r="E50" i="2" s="1"/>
  <c r="J441" i="3"/>
  <c r="H35" i="2" s="1"/>
  <c r="K107" i="4"/>
  <c r="G257" i="3"/>
  <c r="G256" i="3" s="1"/>
  <c r="G255" i="3" s="1"/>
  <c r="E27" i="2" s="1"/>
  <c r="G660" i="3"/>
  <c r="G650" i="3" s="1"/>
  <c r="E39" i="2" s="1"/>
  <c r="J492" i="3"/>
  <c r="H36" i="2" s="1"/>
  <c r="G442" i="3"/>
  <c r="G441" i="3" s="1"/>
  <c r="E35" i="2" s="1"/>
  <c r="I1025" i="4"/>
  <c r="J438" i="4"/>
  <c r="J414" i="4" s="1"/>
  <c r="L107" i="4"/>
  <c r="I107" i="4"/>
  <c r="I598" i="4"/>
  <c r="J1025" i="4"/>
  <c r="G685" i="3"/>
  <c r="G684" i="3" s="1"/>
  <c r="G683" i="3" s="1"/>
  <c r="J795" i="3"/>
  <c r="J794" i="3" s="1"/>
  <c r="J791" i="3" s="1"/>
  <c r="J790" i="3" s="1"/>
  <c r="J789" i="3" s="1"/>
  <c r="J774" i="3" s="1"/>
  <c r="L443" i="4"/>
  <c r="H421" i="5"/>
  <c r="H420" i="5" s="1"/>
  <c r="H419" i="5" s="1"/>
  <c r="H455" i="5" s="1"/>
  <c r="H396" i="5"/>
  <c r="H395" i="5" s="1"/>
  <c r="H394" i="5" s="1"/>
  <c r="H418" i="5" s="1"/>
  <c r="H365" i="5"/>
  <c r="H364" i="5" s="1"/>
  <c r="H363" i="5" s="1"/>
  <c r="H303" i="5"/>
  <c r="H302" i="5" s="1"/>
  <c r="H301" i="5" s="1"/>
  <c r="H328" i="5" s="1"/>
  <c r="H174" i="5"/>
  <c r="H173" i="5" s="1"/>
  <c r="H152" i="5" s="1"/>
  <c r="H199" i="5" s="1"/>
  <c r="H15" i="5"/>
  <c r="H14" i="5" s="1"/>
  <c r="H13" i="5" s="1"/>
  <c r="F29" i="2"/>
  <c r="G214" i="3"/>
  <c r="E23" i="2"/>
  <c r="E22" i="2" s="1"/>
  <c r="H913" i="3"/>
  <c r="F50" i="2"/>
  <c r="F48" i="2" s="1"/>
  <c r="J217" i="3"/>
  <c r="J216" i="3" s="1"/>
  <c r="J215" i="3" s="1"/>
  <c r="I682" i="3"/>
  <c r="G41" i="2"/>
  <c r="G40" i="2" s="1"/>
  <c r="H682" i="3"/>
  <c r="F41" i="2"/>
  <c r="F40" i="2" s="1"/>
  <c r="I214" i="3"/>
  <c r="G23" i="2"/>
  <c r="G22" i="2" s="1"/>
  <c r="H650" i="3"/>
  <c r="G79" i="3"/>
  <c r="J805" i="3"/>
  <c r="H44" i="2" s="1"/>
  <c r="J806" i="3"/>
  <c r="I1052" i="4"/>
  <c r="I1051" i="4" s="1"/>
  <c r="I17" i="5"/>
  <c r="I16" i="5" s="1"/>
  <c r="I15" i="5" s="1"/>
  <c r="H259" i="3"/>
  <c r="H258" i="3" s="1"/>
  <c r="H257" i="3" s="1"/>
  <c r="H256" i="3" s="1"/>
  <c r="H255" i="3" s="1"/>
  <c r="K754" i="4"/>
  <c r="K1183" i="4" s="1"/>
  <c r="J686" i="4"/>
  <c r="J685" i="4" s="1"/>
  <c r="J648" i="4" s="1"/>
  <c r="K311" i="4"/>
  <c r="K310" i="4" s="1"/>
  <c r="K283" i="4" s="1"/>
  <c r="K282" i="4" s="1"/>
  <c r="I262" i="5"/>
  <c r="I261" i="5" s="1"/>
  <c r="I258" i="5" s="1"/>
  <c r="I254" i="5" s="1"/>
  <c r="I253" i="5" s="1"/>
  <c r="I252" i="5" s="1"/>
  <c r="I270" i="5" s="1"/>
  <c r="H87" i="3"/>
  <c r="H86" i="3" s="1"/>
  <c r="H83" i="3" s="1"/>
  <c r="H79" i="3" s="1"/>
  <c r="H74" i="3" s="1"/>
  <c r="I765" i="4"/>
  <c r="I764" i="4" s="1"/>
  <c r="J626" i="4"/>
  <c r="J625" i="4" s="1"/>
  <c r="J597" i="4" s="1"/>
  <c r="L456" i="4"/>
  <c r="L455" i="4" s="1"/>
  <c r="L1171" i="4" s="1"/>
  <c r="I394" i="4"/>
  <c r="I1158" i="4" s="1"/>
  <c r="L311" i="4"/>
  <c r="L310" i="4" s="1"/>
  <c r="L283" i="4" s="1"/>
  <c r="L282" i="4" s="1"/>
  <c r="H522" i="5"/>
  <c r="H521" i="5" s="1"/>
  <c r="H520" i="5" s="1"/>
  <c r="H552" i="5" s="1"/>
  <c r="H333" i="5"/>
  <c r="H332" i="5" s="1"/>
  <c r="I813" i="3"/>
  <c r="I812" i="3" s="1"/>
  <c r="I811" i="3" s="1"/>
  <c r="H24" i="5"/>
  <c r="H23" i="5" s="1"/>
  <c r="H22" i="5" s="1"/>
  <c r="J813" i="3"/>
  <c r="J812" i="3" s="1"/>
  <c r="J811" i="3" s="1"/>
  <c r="H45" i="2" s="1"/>
  <c r="H813" i="3"/>
  <c r="H812" i="3" s="1"/>
  <c r="H811" i="3" s="1"/>
  <c r="G76" i="3"/>
  <c r="G75" i="3"/>
  <c r="M1053" i="4"/>
  <c r="K426" i="3"/>
  <c r="I754" i="4"/>
  <c r="I1183" i="4" s="1"/>
  <c r="L686" i="4"/>
  <c r="L685" i="4" s="1"/>
  <c r="L648" i="4" s="1"/>
  <c r="L394" i="4"/>
  <c r="L1158" i="4" s="1"/>
  <c r="I903" i="4"/>
  <c r="I902" i="4" s="1"/>
  <c r="I1170" i="4" s="1"/>
  <c r="K626" i="4"/>
  <c r="K625" i="4" s="1"/>
  <c r="K597" i="4" s="1"/>
  <c r="J456" i="4"/>
  <c r="J455" i="4" s="1"/>
  <c r="I456" i="4"/>
  <c r="I455" i="4" s="1"/>
  <c r="I1171" i="4" s="1"/>
  <c r="I237" i="4"/>
  <c r="I236" i="4" s="1"/>
  <c r="I235" i="4" s="1"/>
  <c r="I234" i="4" s="1"/>
  <c r="I217" i="4" s="1"/>
  <c r="I212" i="4"/>
  <c r="I208" i="4" s="1"/>
  <c r="I207" i="4" s="1"/>
  <c r="I134" i="4"/>
  <c r="H503" i="5"/>
  <c r="H467" i="5"/>
  <c r="H277" i="3"/>
  <c r="G298" i="3"/>
  <c r="G297" i="3" s="1"/>
  <c r="G917" i="3"/>
  <c r="G916" i="3"/>
  <c r="G915" i="3" s="1"/>
  <c r="G914" i="3" s="1"/>
  <c r="G498" i="3"/>
  <c r="G493" i="3" s="1"/>
  <c r="G492" i="3" s="1"/>
  <c r="E36" i="2" s="1"/>
  <c r="J24" i="5"/>
  <c r="J23" i="5" s="1"/>
  <c r="J22" i="5" s="1"/>
  <c r="G813" i="3"/>
  <c r="G812" i="3" s="1"/>
  <c r="G811" i="3" s="1"/>
  <c r="H254" i="5"/>
  <c r="H253" i="5" s="1"/>
  <c r="H252" i="5" s="1"/>
  <c r="H270" i="5" s="1"/>
  <c r="K173" i="5"/>
  <c r="K152" i="5" s="1"/>
  <c r="K199" i="5" s="1"/>
  <c r="K107" i="5"/>
  <c r="H133" i="5"/>
  <c r="H124" i="5"/>
  <c r="H123" i="5" s="1"/>
  <c r="H151" i="5" s="1"/>
  <c r="H109" i="5"/>
  <c r="H108" i="5" s="1"/>
  <c r="K24" i="5"/>
  <c r="K23" i="5" s="1"/>
  <c r="K22" i="5" s="1"/>
  <c r="H241" i="5"/>
  <c r="H240" i="5" s="1"/>
  <c r="H239" i="5" s="1"/>
  <c r="H245" i="5" s="1"/>
  <c r="K438" i="4"/>
  <c r="K414" i="4" s="1"/>
  <c r="L441" i="4"/>
  <c r="L222" i="4"/>
  <c r="L221" i="4" s="1"/>
  <c r="L220" i="4" s="1"/>
  <c r="L219" i="4" s="1"/>
  <c r="L218" i="4" s="1"/>
  <c r="L183" i="4"/>
  <c r="L182" i="4" s="1"/>
  <c r="K905" i="4"/>
  <c r="J904" i="4"/>
  <c r="J903" i="4" s="1"/>
  <c r="J902" i="4" s="1"/>
  <c r="I774" i="4"/>
  <c r="I770" i="4" s="1"/>
  <c r="I311" i="4"/>
  <c r="I310" i="4" s="1"/>
  <c r="I283" i="4" s="1"/>
  <c r="I282" i="4" s="1"/>
  <c r="L134" i="4"/>
  <c r="L717" i="4"/>
  <c r="L41" i="4"/>
  <c r="L40" i="4" s="1"/>
  <c r="L17" i="4"/>
  <c r="L212" i="4"/>
  <c r="L208" i="4" s="1"/>
  <c r="L207" i="4" s="1"/>
  <c r="J212" i="4"/>
  <c r="J208" i="4" s="1"/>
  <c r="J207" i="4" s="1"/>
  <c r="L533" i="4"/>
  <c r="L180" i="4"/>
  <c r="L177" i="4" s="1"/>
  <c r="K75" i="4"/>
  <c r="J74" i="4"/>
  <c r="J71" i="4" s="1"/>
  <c r="J67" i="4" s="1"/>
  <c r="J1174" i="4" s="1"/>
  <c r="I1063" i="4"/>
  <c r="I1059" i="4" s="1"/>
  <c r="I865" i="4"/>
  <c r="I864" i="4" s="1"/>
  <c r="I857" i="4" s="1"/>
  <c r="I849" i="4" s="1"/>
  <c r="I1117" i="4"/>
  <c r="I31" i="4"/>
  <c r="I30" i="4" s="1"/>
  <c r="J1117" i="4"/>
  <c r="J169" i="4"/>
  <c r="J168" i="4" s="1"/>
  <c r="J167" i="4" s="1"/>
  <c r="J1146" i="4" s="1"/>
  <c r="L1117" i="4"/>
  <c r="I170" i="4"/>
  <c r="I169" i="4" s="1"/>
  <c r="I168" i="4" s="1"/>
  <c r="I167" i="4" s="1"/>
  <c r="I1146" i="4" s="1"/>
  <c r="J810" i="4"/>
  <c r="J789" i="4" s="1"/>
  <c r="J788" i="4" s="1"/>
  <c r="L810" i="4"/>
  <c r="L789" i="4" s="1"/>
  <c r="L788" i="4" s="1"/>
  <c r="K511" i="4"/>
  <c r="K810" i="4"/>
  <c r="K789" i="4" s="1"/>
  <c r="K788" i="4" s="1"/>
  <c r="I810" i="4"/>
  <c r="I789" i="4" s="1"/>
  <c r="I788" i="4" s="1"/>
  <c r="J511" i="4"/>
  <c r="L511" i="4"/>
  <c r="K1056" i="4"/>
  <c r="I428" i="3" s="1"/>
  <c r="I427" i="3" s="1"/>
  <c r="I424" i="3" s="1"/>
  <c r="I423" i="3" s="1"/>
  <c r="I422" i="3" s="1"/>
  <c r="I421" i="3" s="1"/>
  <c r="J1055" i="4"/>
  <c r="J1052" i="4" s="1"/>
  <c r="J1051" i="4" s="1"/>
  <c r="J1050" i="4" s="1"/>
  <c r="K869" i="4"/>
  <c r="I961" i="3" s="1"/>
  <c r="I960" i="3" s="1"/>
  <c r="I957" i="3" s="1"/>
  <c r="I956" i="3" s="1"/>
  <c r="I949" i="3" s="1"/>
  <c r="I941" i="3" s="1"/>
  <c r="J868" i="4"/>
  <c r="J865" i="4" s="1"/>
  <c r="J864" i="4" s="1"/>
  <c r="J857" i="4" s="1"/>
  <c r="I1080" i="4"/>
  <c r="I1079" i="4" s="1"/>
  <c r="K1117" i="4"/>
  <c r="K329" i="4"/>
  <c r="L955" i="4"/>
  <c r="L925" i="4" s="1"/>
  <c r="L851" i="4"/>
  <c r="L850" i="4" s="1"/>
  <c r="L1177" i="4" s="1"/>
  <c r="K851" i="4"/>
  <c r="K850" i="4" s="1"/>
  <c r="K1177" i="4" s="1"/>
  <c r="J851" i="4"/>
  <c r="J850" i="4" s="1"/>
  <c r="L1080" i="4"/>
  <c r="L1079" i="4" s="1"/>
  <c r="L329" i="4"/>
  <c r="J134" i="4"/>
  <c r="J955" i="4"/>
  <c r="J925" i="4" s="1"/>
  <c r="J717" i="4"/>
  <c r="K778" i="4"/>
  <c r="I679" i="3" s="1"/>
  <c r="I678" i="3" s="1"/>
  <c r="I675" i="3" s="1"/>
  <c r="I671" i="3" s="1"/>
  <c r="I660" i="3" s="1"/>
  <c r="I650" i="3" s="1"/>
  <c r="J777" i="4"/>
  <c r="J774" i="4" s="1"/>
  <c r="J770" i="4" s="1"/>
  <c r="J763" i="4" s="1"/>
  <c r="J31" i="4"/>
  <c r="J30" i="4" s="1"/>
  <c r="K1172" i="4"/>
  <c r="J329" i="4"/>
  <c r="J1178" i="4" s="1"/>
  <c r="K1080" i="4"/>
  <c r="K1079" i="4" s="1"/>
  <c r="J1080" i="4"/>
  <c r="J1079" i="4" s="1"/>
  <c r="I955" i="4"/>
  <c r="J394" i="4"/>
  <c r="J1158" i="4" s="1"/>
  <c r="K955" i="4"/>
  <c r="K925" i="4" s="1"/>
  <c r="K536" i="4"/>
  <c r="I38" i="3" s="1"/>
  <c r="I37" i="3" s="1"/>
  <c r="I34" i="3" s="1"/>
  <c r="I33" i="3" s="1"/>
  <c r="I32" i="3" s="1"/>
  <c r="I31" i="3" s="1"/>
  <c r="G16" i="2" s="1"/>
  <c r="J535" i="4"/>
  <c r="J532" i="4" s="1"/>
  <c r="J531" i="4" s="1"/>
  <c r="J530" i="4" s="1"/>
  <c r="J529" i="4" s="1"/>
  <c r="J528" i="4" s="1"/>
  <c r="J527" i="4" s="1"/>
  <c r="J1172" i="4"/>
  <c r="L1172" i="4"/>
  <c r="F820" i="3"/>
  <c r="G1104" i="4"/>
  <c r="G971" i="4"/>
  <c r="G954" i="4"/>
  <c r="G485" i="11" s="1"/>
  <c r="G484" i="11" s="1"/>
  <c r="G483" i="11" s="1"/>
  <c r="G32" i="5"/>
  <c r="G31" i="5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461" i="4"/>
  <c r="G27" i="11" s="1"/>
  <c r="G26" i="11" s="1"/>
  <c r="G23" i="11" s="1"/>
  <c r="G51" i="4"/>
  <c r="G35" i="4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O1143" i="4" l="1"/>
  <c r="K682" i="3"/>
  <c r="M682" i="3" s="1"/>
  <c r="I41" i="2"/>
  <c r="M683" i="3"/>
  <c r="M1052" i="4"/>
  <c r="O1053" i="4"/>
  <c r="K425" i="3"/>
  <c r="M426" i="3"/>
  <c r="K45" i="2"/>
  <c r="I43" i="2"/>
  <c r="K43" i="2" s="1"/>
  <c r="I13" i="2"/>
  <c r="K13" i="2" s="1"/>
  <c r="K35" i="2"/>
  <c r="I34" i="2"/>
  <c r="K34" i="2" s="1"/>
  <c r="I48" i="2"/>
  <c r="K48" i="2" s="1"/>
  <c r="K50" i="2"/>
  <c r="M1051" i="4"/>
  <c r="O1052" i="4"/>
  <c r="G99" i="10"/>
  <c r="G310" i="10"/>
  <c r="G375" i="10"/>
  <c r="G374" i="10" s="1"/>
  <c r="G657" i="10"/>
  <c r="G656" i="10" s="1"/>
  <c r="G948" i="10"/>
  <c r="G947" i="10" s="1"/>
  <c r="G946" i="10" s="1"/>
  <c r="G945" i="10" s="1"/>
  <c r="G299" i="10"/>
  <c r="G280" i="10" s="1"/>
  <c r="G849" i="10"/>
  <c r="G408" i="10"/>
  <c r="G407" i="10" s="1"/>
  <c r="G434" i="10"/>
  <c r="G421" i="10" s="1"/>
  <c r="G792" i="10"/>
  <c r="G791" i="10" s="1"/>
  <c r="G786" i="10" s="1"/>
  <c r="G785" i="10" s="1"/>
  <c r="G344" i="10"/>
  <c r="G613" i="10"/>
  <c r="G838" i="10"/>
  <c r="G837" i="10" s="1"/>
  <c r="G116" i="10"/>
  <c r="G98" i="10" s="1"/>
  <c r="G339" i="10"/>
  <c r="G338" i="10" s="1"/>
  <c r="G337" i="10" s="1"/>
  <c r="G666" i="10"/>
  <c r="G662" i="10" s="1"/>
  <c r="G655" i="10" s="1"/>
  <c r="G1007" i="10"/>
  <c r="G756" i="10"/>
  <c r="G755" i="10" s="1"/>
  <c r="G750" i="10" s="1"/>
  <c r="G749" i="10" s="1"/>
  <c r="G396" i="11"/>
  <c r="G134" i="10"/>
  <c r="G51" i="10"/>
  <c r="G50" i="10" s="1"/>
  <c r="G49" i="10" s="1"/>
  <c r="G48" i="10" s="1"/>
  <c r="G65" i="10"/>
  <c r="G61" i="10" s="1"/>
  <c r="G997" i="10" s="1"/>
  <c r="G728" i="10"/>
  <c r="G727" i="10" s="1"/>
  <c r="G726" i="10" s="1"/>
  <c r="G860" i="10"/>
  <c r="G859" i="10" s="1"/>
  <c r="G261" i="10"/>
  <c r="G260" i="10" s="1"/>
  <c r="G236" i="10" s="1"/>
  <c r="G235" i="10" s="1"/>
  <c r="G741" i="10"/>
  <c r="G740" i="10" s="1"/>
  <c r="G827" i="10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91" i="10"/>
  <c r="G801" i="10"/>
  <c r="G1005" i="10" s="1"/>
  <c r="G938" i="10"/>
  <c r="G937" i="10" s="1"/>
  <c r="G936" i="10" s="1"/>
  <c r="G935" i="10" s="1"/>
  <c r="G779" i="10"/>
  <c r="G778" i="10" s="1"/>
  <c r="G993" i="10" s="1"/>
  <c r="G15" i="10"/>
  <c r="G14" i="10" s="1"/>
  <c r="G13" i="10" s="1"/>
  <c r="G12" i="10" s="1"/>
  <c r="G11" i="10" s="1"/>
  <c r="G10" i="10" s="1"/>
  <c r="G32" i="10"/>
  <c r="G31" i="10" s="1"/>
  <c r="G43" i="10"/>
  <c r="G42" i="10" s="1"/>
  <c r="G139" i="10"/>
  <c r="G215" i="10"/>
  <c r="G214" i="10" s="1"/>
  <c r="G213" i="10" s="1"/>
  <c r="G212" i="10" s="1"/>
  <c r="G650" i="10"/>
  <c r="G646" i="10" s="1"/>
  <c r="G359" i="10"/>
  <c r="G707" i="10"/>
  <c r="G706" i="10" s="1"/>
  <c r="G705" i="10" s="1"/>
  <c r="G306" i="10"/>
  <c r="G527" i="10"/>
  <c r="G526" i="10" s="1"/>
  <c r="G735" i="10"/>
  <c r="G734" i="10" s="1"/>
  <c r="G953" i="10"/>
  <c r="L19" i="4"/>
  <c r="L16" i="4" s="1"/>
  <c r="L15" i="4" s="1"/>
  <c r="L14" i="4" s="1"/>
  <c r="L13" i="4" s="1"/>
  <c r="L12" i="4" s="1"/>
  <c r="J202" i="4"/>
  <c r="J1149" i="4" s="1"/>
  <c r="L202" i="4"/>
  <c r="L1149" i="4" s="1"/>
  <c r="I202" i="4"/>
  <c r="I1149" i="4" s="1"/>
  <c r="K202" i="4"/>
  <c r="K1149" i="4" s="1"/>
  <c r="E24" i="2"/>
  <c r="I1143" i="4"/>
  <c r="J1143" i="4"/>
  <c r="K11" i="4"/>
  <c r="G74" i="3"/>
  <c r="G12" i="3" s="1"/>
  <c r="G232" i="3"/>
  <c r="I21" i="5"/>
  <c r="L989" i="4"/>
  <c r="I329" i="4"/>
  <c r="I1178" i="4" s="1"/>
  <c r="I1177" i="4"/>
  <c r="I821" i="4"/>
  <c r="I1162" i="4" s="1"/>
  <c r="I1163" i="4" s="1"/>
  <c r="L440" i="4"/>
  <c r="L439" i="4" s="1"/>
  <c r="L438" i="4" s="1"/>
  <c r="L414" i="4" s="1"/>
  <c r="K1161" i="4"/>
  <c r="I901" i="4"/>
  <c r="I894" i="4" s="1"/>
  <c r="I597" i="4"/>
  <c r="I1155" i="4"/>
  <c r="I685" i="4"/>
  <c r="I648" i="4" s="1"/>
  <c r="I763" i="4"/>
  <c r="I753" i="4" s="1"/>
  <c r="L32" i="4"/>
  <c r="L31" i="4" s="1"/>
  <c r="L30" i="4" s="1"/>
  <c r="I925" i="4"/>
  <c r="J1151" i="4"/>
  <c r="J1161" i="4"/>
  <c r="K1180" i="4"/>
  <c r="I1172" i="4"/>
  <c r="J1155" i="4"/>
  <c r="L217" i="4"/>
  <c r="J989" i="4"/>
  <c r="L170" i="4"/>
  <c r="L169" i="4" s="1"/>
  <c r="L168" i="4" s="1"/>
  <c r="L167" i="4" s="1"/>
  <c r="L1146" i="4" s="1"/>
  <c r="I989" i="4"/>
  <c r="I1050" i="4"/>
  <c r="I1049" i="4" s="1"/>
  <c r="L106" i="4"/>
  <c r="K393" i="4"/>
  <c r="K328" i="4" s="1"/>
  <c r="K327" i="4" s="1"/>
  <c r="K1156" i="4" s="1"/>
  <c r="K1157" i="4" s="1"/>
  <c r="I1161" i="4"/>
  <c r="L1161" i="4"/>
  <c r="I106" i="4"/>
  <c r="K106" i="4"/>
  <c r="K1138" i="4"/>
  <c r="L1138" i="4"/>
  <c r="L1155" i="4"/>
  <c r="K1155" i="4"/>
  <c r="J454" i="4"/>
  <c r="J453" i="4" s="1"/>
  <c r="J1159" i="4" s="1"/>
  <c r="L393" i="4"/>
  <c r="L328" i="4" s="1"/>
  <c r="I1138" i="4"/>
  <c r="I393" i="4"/>
  <c r="H42" i="2"/>
  <c r="H40" i="2" s="1"/>
  <c r="J682" i="3"/>
  <c r="H393" i="5"/>
  <c r="H362" i="5"/>
  <c r="H331" i="5"/>
  <c r="H330" i="5" s="1"/>
  <c r="H329" i="5" s="1"/>
  <c r="H20" i="5"/>
  <c r="H12" i="5"/>
  <c r="I440" i="3"/>
  <c r="G39" i="2"/>
  <c r="G34" i="2" s="1"/>
  <c r="G682" i="3"/>
  <c r="E41" i="2"/>
  <c r="E40" i="2" s="1"/>
  <c r="G913" i="3"/>
  <c r="E49" i="2"/>
  <c r="E48" i="2" s="1"/>
  <c r="G277" i="3"/>
  <c r="E31" i="2"/>
  <c r="E29" i="2" s="1"/>
  <c r="H804" i="3"/>
  <c r="F45" i="2"/>
  <c r="F43" i="2" s="1"/>
  <c r="E34" i="2"/>
  <c r="H232" i="3"/>
  <c r="F27" i="2"/>
  <c r="F24" i="2" s="1"/>
  <c r="H43" i="2"/>
  <c r="I913" i="3"/>
  <c r="G50" i="2"/>
  <c r="G48" i="2" s="1"/>
  <c r="I277" i="3"/>
  <c r="G33" i="2"/>
  <c r="G29" i="2" s="1"/>
  <c r="G804" i="3"/>
  <c r="E45" i="2"/>
  <c r="E43" i="2" s="1"/>
  <c r="J214" i="3"/>
  <c r="H23" i="2"/>
  <c r="H22" i="2" s="1"/>
  <c r="I804" i="3"/>
  <c r="G45" i="2"/>
  <c r="G43" i="2" s="1"/>
  <c r="H12" i="3"/>
  <c r="F19" i="2"/>
  <c r="F13" i="2" s="1"/>
  <c r="H440" i="3"/>
  <c r="F39" i="2"/>
  <c r="F34" i="2" s="1"/>
  <c r="J262" i="5"/>
  <c r="J261" i="5" s="1"/>
  <c r="J258" i="5" s="1"/>
  <c r="J254" i="5" s="1"/>
  <c r="J253" i="5" s="1"/>
  <c r="J252" i="5" s="1"/>
  <c r="J270" i="5" s="1"/>
  <c r="I87" i="3"/>
  <c r="I86" i="3" s="1"/>
  <c r="I83" i="3" s="1"/>
  <c r="I79" i="3" s="1"/>
  <c r="I74" i="3" s="1"/>
  <c r="J17" i="5"/>
  <c r="J16" i="5" s="1"/>
  <c r="J15" i="5" s="1"/>
  <c r="I259" i="3"/>
  <c r="I258" i="3" s="1"/>
  <c r="I257" i="3" s="1"/>
  <c r="I256" i="3" s="1"/>
  <c r="I255" i="3" s="1"/>
  <c r="H122" i="5"/>
  <c r="H107" i="5"/>
  <c r="G440" i="3"/>
  <c r="H21" i="5"/>
  <c r="H36" i="5"/>
  <c r="I20" i="5"/>
  <c r="I14" i="5"/>
  <c r="I13" i="5" s="1"/>
  <c r="I12" i="5"/>
  <c r="K36" i="5"/>
  <c r="K21" i="5"/>
  <c r="J21" i="5"/>
  <c r="J36" i="5"/>
  <c r="J804" i="3"/>
  <c r="L75" i="4"/>
  <c r="K74" i="4"/>
  <c r="K71" i="4" s="1"/>
  <c r="K67" i="4" s="1"/>
  <c r="K1174" i="4" s="1"/>
  <c r="J1170" i="4"/>
  <c r="J901" i="4"/>
  <c r="J894" i="4" s="1"/>
  <c r="L905" i="4"/>
  <c r="K904" i="4"/>
  <c r="K903" i="4" s="1"/>
  <c r="K902" i="4" s="1"/>
  <c r="J1160" i="4"/>
  <c r="J1138" i="4"/>
  <c r="J1171" i="4"/>
  <c r="I454" i="4"/>
  <c r="I453" i="4" s="1"/>
  <c r="I1160" i="4"/>
  <c r="K1160" i="4"/>
  <c r="L1160" i="4"/>
  <c r="L454" i="4"/>
  <c r="L453" i="4" s="1"/>
  <c r="J1049" i="4"/>
  <c r="K454" i="4"/>
  <c r="K453" i="4" s="1"/>
  <c r="K1159" i="4" s="1"/>
  <c r="K1171" i="4"/>
  <c r="K1178" i="4"/>
  <c r="J753" i="4"/>
  <c r="J596" i="4" s="1"/>
  <c r="J1153" i="4" s="1"/>
  <c r="J849" i="4"/>
  <c r="J821" i="4" s="1"/>
  <c r="J1162" i="4" s="1"/>
  <c r="J1163" i="4" s="1"/>
  <c r="L869" i="4"/>
  <c r="J961" i="3" s="1"/>
  <c r="J960" i="3" s="1"/>
  <c r="J957" i="3" s="1"/>
  <c r="J956" i="3" s="1"/>
  <c r="J949" i="3" s="1"/>
  <c r="J941" i="3" s="1"/>
  <c r="K868" i="4"/>
  <c r="K865" i="4" s="1"/>
  <c r="K864" i="4" s="1"/>
  <c r="K857" i="4" s="1"/>
  <c r="K849" i="4" s="1"/>
  <c r="K821" i="4" s="1"/>
  <c r="K1162" i="4" s="1"/>
  <c r="K1163" i="4" s="1"/>
  <c r="L1056" i="4"/>
  <c r="J428" i="3" s="1"/>
  <c r="J427" i="3" s="1"/>
  <c r="J424" i="3" s="1"/>
  <c r="J423" i="3" s="1"/>
  <c r="J422" i="3" s="1"/>
  <c r="J421" i="3" s="1"/>
  <c r="K1055" i="4"/>
  <c r="K1052" i="4" s="1"/>
  <c r="K1051" i="4" s="1"/>
  <c r="K1050" i="4" s="1"/>
  <c r="K1151" i="4" s="1"/>
  <c r="J106" i="4"/>
  <c r="J62" i="4" s="1"/>
  <c r="J29" i="4" s="1"/>
  <c r="J1142" i="4" s="1"/>
  <c r="L1178" i="4"/>
  <c r="J1177" i="4"/>
  <c r="L778" i="4"/>
  <c r="J679" i="3" s="1"/>
  <c r="J678" i="3" s="1"/>
  <c r="J675" i="3" s="1"/>
  <c r="J671" i="3" s="1"/>
  <c r="J660" i="3" s="1"/>
  <c r="J650" i="3" s="1"/>
  <c r="K777" i="4"/>
  <c r="K774" i="4" s="1"/>
  <c r="K770" i="4" s="1"/>
  <c r="K763" i="4" s="1"/>
  <c r="G513" i="11"/>
  <c r="G512" i="11" s="1"/>
  <c r="J393" i="4"/>
  <c r="J328" i="4" s="1"/>
  <c r="J327" i="4" s="1"/>
  <c r="J1156" i="4" s="1"/>
  <c r="L536" i="4"/>
  <c r="J38" i="3" s="1"/>
  <c r="J37" i="3" s="1"/>
  <c r="J34" i="3" s="1"/>
  <c r="J33" i="3" s="1"/>
  <c r="J32" i="3" s="1"/>
  <c r="J31" i="3" s="1"/>
  <c r="H16" i="2" s="1"/>
  <c r="K535" i="4"/>
  <c r="K532" i="4" s="1"/>
  <c r="K531" i="4" s="1"/>
  <c r="K530" i="4" s="1"/>
  <c r="K529" i="4" s="1"/>
  <c r="K528" i="4" s="1"/>
  <c r="K527" i="4" s="1"/>
  <c r="G493" i="1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I40" i="2" l="1"/>
  <c r="K40" i="2" s="1"/>
  <c r="K41" i="2"/>
  <c r="K424" i="3"/>
  <c r="M425" i="3"/>
  <c r="M1050" i="4"/>
  <c r="O1051" i="4"/>
  <c r="G373" i="10"/>
  <c r="G358" i="10" s="1"/>
  <c r="G963" i="10"/>
  <c r="G121" i="10"/>
  <c r="G97" i="10" s="1"/>
  <c r="G56" i="10" s="1"/>
  <c r="J185" i="4"/>
  <c r="J28" i="4" s="1"/>
  <c r="G848" i="10"/>
  <c r="G1003" i="10" s="1"/>
  <c r="G279" i="10"/>
  <c r="G1001" i="10" s="1"/>
  <c r="G612" i="10"/>
  <c r="G195" i="10"/>
  <c r="G826" i="10"/>
  <c r="G800" i="10" s="1"/>
  <c r="G30" i="10"/>
  <c r="G29" i="10" s="1"/>
  <c r="G733" i="10"/>
  <c r="G725" i="10" s="1"/>
  <c r="G704" i="10" s="1"/>
  <c r="G989" i="10" s="1"/>
  <c r="G926" i="10"/>
  <c r="G925" i="10" s="1"/>
  <c r="K185" i="4"/>
  <c r="G546" i="10"/>
  <c r="G390" i="10"/>
  <c r="G459" i="10"/>
  <c r="G777" i="10"/>
  <c r="G770" i="10" s="1"/>
  <c r="G984" i="10" s="1"/>
  <c r="I635" i="5"/>
  <c r="I185" i="4"/>
  <c r="I1147" i="4" s="1"/>
  <c r="I1148" i="4" s="1"/>
  <c r="L185" i="4"/>
  <c r="E19" i="2"/>
  <c r="E13" i="2" s="1"/>
  <c r="E53" i="2" s="1"/>
  <c r="L11" i="4"/>
  <c r="I62" i="4"/>
  <c r="I29" i="4" s="1"/>
  <c r="I1187" i="4"/>
  <c r="J1154" i="4"/>
  <c r="I328" i="4"/>
  <c r="I327" i="4" s="1"/>
  <c r="I1156" i="4" s="1"/>
  <c r="I1157" i="4" s="1"/>
  <c r="L327" i="4"/>
  <c r="L1156" i="4" s="1"/>
  <c r="L1157" i="4" s="1"/>
  <c r="I596" i="4"/>
  <c r="I1153" i="4" s="1"/>
  <c r="I1154" i="4" s="1"/>
  <c r="I781" i="4"/>
  <c r="L1159" i="4"/>
  <c r="I908" i="4"/>
  <c r="I1150" i="4" s="1"/>
  <c r="I1151" i="4"/>
  <c r="J908" i="4"/>
  <c r="J1150" i="4" s="1"/>
  <c r="J1152" i="4" s="1"/>
  <c r="G975" i="3"/>
  <c r="J242" i="4"/>
  <c r="K242" i="4"/>
  <c r="I1159" i="4"/>
  <c r="F53" i="2"/>
  <c r="H335" i="5"/>
  <c r="H300" i="5"/>
  <c r="H635" i="5" s="1"/>
  <c r="H352" i="5"/>
  <c r="J440" i="3"/>
  <c r="H39" i="2"/>
  <c r="H34" i="2" s="1"/>
  <c r="I232" i="3"/>
  <c r="G27" i="2"/>
  <c r="G24" i="2" s="1"/>
  <c r="I12" i="3"/>
  <c r="G19" i="2"/>
  <c r="G13" i="2" s="1"/>
  <c r="H975" i="3"/>
  <c r="J277" i="3"/>
  <c r="H33" i="2"/>
  <c r="H29" i="2" s="1"/>
  <c r="J913" i="3"/>
  <c r="H50" i="2"/>
  <c r="H48" i="2" s="1"/>
  <c r="K17" i="5"/>
  <c r="K16" i="5" s="1"/>
  <c r="K15" i="5" s="1"/>
  <c r="J259" i="3"/>
  <c r="J258" i="3" s="1"/>
  <c r="J257" i="3" s="1"/>
  <c r="J256" i="3" s="1"/>
  <c r="J255" i="3" s="1"/>
  <c r="K262" i="5"/>
  <c r="K261" i="5" s="1"/>
  <c r="K258" i="5" s="1"/>
  <c r="K254" i="5" s="1"/>
  <c r="K253" i="5" s="1"/>
  <c r="K252" i="5" s="1"/>
  <c r="K270" i="5" s="1"/>
  <c r="J87" i="3"/>
  <c r="J86" i="3" s="1"/>
  <c r="J83" i="3" s="1"/>
  <c r="J79" i="3" s="1"/>
  <c r="J74" i="3" s="1"/>
  <c r="J20" i="5"/>
  <c r="J12" i="5"/>
  <c r="J635" i="5" s="1"/>
  <c r="J14" i="5"/>
  <c r="J13" i="5" s="1"/>
  <c r="L535" i="4"/>
  <c r="L532" i="4" s="1"/>
  <c r="L531" i="4" s="1"/>
  <c r="L530" i="4" s="1"/>
  <c r="L529" i="4" s="1"/>
  <c r="L528" i="4" s="1"/>
  <c r="L527" i="4" s="1"/>
  <c r="L777" i="4"/>
  <c r="L774" i="4" s="1"/>
  <c r="L770" i="4" s="1"/>
  <c r="L763" i="4" s="1"/>
  <c r="L753" i="4" s="1"/>
  <c r="L596" i="4" s="1"/>
  <c r="L1153" i="4" s="1"/>
  <c r="L1055" i="4"/>
  <c r="L1052" i="4" s="1"/>
  <c r="L1051" i="4" s="1"/>
  <c r="L1050" i="4" s="1"/>
  <c r="L1151" i="4" s="1"/>
  <c r="L868" i="4"/>
  <c r="L865" i="4" s="1"/>
  <c r="L864" i="4" s="1"/>
  <c r="L857" i="4" s="1"/>
  <c r="L849" i="4" s="1"/>
  <c r="L821" i="4" s="1"/>
  <c r="L1162" i="4" s="1"/>
  <c r="L1163" i="4" s="1"/>
  <c r="K901" i="4"/>
  <c r="K894" i="4" s="1"/>
  <c r="K1170" i="4"/>
  <c r="K1187" i="4" s="1"/>
  <c r="L904" i="4"/>
  <c r="L903" i="4" s="1"/>
  <c r="L902" i="4" s="1"/>
  <c r="L74" i="4"/>
  <c r="L71" i="4" s="1"/>
  <c r="L67" i="4" s="1"/>
  <c r="K62" i="4"/>
  <c r="J1187" i="4"/>
  <c r="J1144" i="4"/>
  <c r="J1157" i="4"/>
  <c r="K1049" i="4"/>
  <c r="K908" i="4" s="1"/>
  <c r="K1150" i="4" s="1"/>
  <c r="K1152" i="4" s="1"/>
  <c r="J781" i="4"/>
  <c r="K753" i="4"/>
  <c r="K596" i="4" s="1"/>
  <c r="K1153" i="4" s="1"/>
  <c r="J577" i="4"/>
  <c r="K781" i="4"/>
  <c r="G511" i="11"/>
  <c r="G520" i="11" s="1"/>
  <c r="G900" i="10"/>
  <c r="G899" i="10" s="1"/>
  <c r="G675" i="10"/>
  <c r="G674" i="10" s="1"/>
  <c r="G1000" i="10"/>
  <c r="G645" i="10"/>
  <c r="G1006" i="10"/>
  <c r="G995" i="10"/>
  <c r="G507" i="10"/>
  <c r="G978" i="10"/>
  <c r="K423" i="3" l="1"/>
  <c r="M424" i="3"/>
  <c r="M1151" i="4"/>
  <c r="O1050" i="4"/>
  <c r="O1151" i="4" s="1"/>
  <c r="M1049" i="4"/>
  <c r="J1147" i="4"/>
  <c r="J1148" i="4" s="1"/>
  <c r="J1167" i="4" s="1"/>
  <c r="G28" i="10"/>
  <c r="G27" i="10" s="1"/>
  <c r="G278" i="10"/>
  <c r="G277" i="10" s="1"/>
  <c r="G987" i="10" s="1"/>
  <c r="G847" i="10"/>
  <c r="G784" i="10" s="1"/>
  <c r="G985" i="10" s="1"/>
  <c r="K1147" i="4"/>
  <c r="K1148" i="4" s="1"/>
  <c r="G994" i="10"/>
  <c r="G1009" i="10" s="1"/>
  <c r="G389" i="10"/>
  <c r="G388" i="10" s="1"/>
  <c r="G988" i="10" s="1"/>
  <c r="G506" i="10"/>
  <c r="G498" i="10" s="1"/>
  <c r="L242" i="4"/>
  <c r="L1143" i="4"/>
  <c r="I242" i="4"/>
  <c r="I1142" i="4"/>
  <c r="I1144" i="4" s="1"/>
  <c r="I28" i="4"/>
  <c r="F22" i="7"/>
  <c r="F23" i="7" s="1"/>
  <c r="G22" i="7"/>
  <c r="I577" i="4"/>
  <c r="I872" i="4"/>
  <c r="I1152" i="4"/>
  <c r="J872" i="4"/>
  <c r="J1135" i="4" s="1"/>
  <c r="F54" i="2" s="1"/>
  <c r="F55" i="2" s="1"/>
  <c r="I1167" i="4"/>
  <c r="L1049" i="4"/>
  <c r="L908" i="4" s="1"/>
  <c r="L1150" i="4" s="1"/>
  <c r="L1152" i="4" s="1"/>
  <c r="I975" i="3"/>
  <c r="G53" i="2"/>
  <c r="J12" i="3"/>
  <c r="H19" i="2"/>
  <c r="H13" i="2" s="1"/>
  <c r="J232" i="3"/>
  <c r="H27" i="2"/>
  <c r="H24" i="2" s="1"/>
  <c r="K14" i="5"/>
  <c r="K13" i="5" s="1"/>
  <c r="K12" i="5"/>
  <c r="K635" i="5" s="1"/>
  <c r="K20" i="5"/>
  <c r="L781" i="4"/>
  <c r="L1174" i="4"/>
  <c r="L62" i="4"/>
  <c r="L29" i="4" s="1"/>
  <c r="L901" i="4"/>
  <c r="L894" i="4" s="1"/>
  <c r="L1147" i="4" s="1"/>
  <c r="L1148" i="4" s="1"/>
  <c r="L1170" i="4"/>
  <c r="K1154" i="4"/>
  <c r="L1154" i="4"/>
  <c r="K872" i="4"/>
  <c r="K577" i="4"/>
  <c r="L577" i="4"/>
  <c r="G673" i="10"/>
  <c r="K422" i="3" l="1"/>
  <c r="M423" i="3"/>
  <c r="M908" i="4"/>
  <c r="O1049" i="4"/>
  <c r="G981" i="10"/>
  <c r="J1166" i="4"/>
  <c r="J1168" i="4" s="1"/>
  <c r="G748" i="10"/>
  <c r="G220" i="10"/>
  <c r="G986" i="10"/>
  <c r="G991" i="10" s="1"/>
  <c r="I1166" i="4"/>
  <c r="I1168" i="4" s="1"/>
  <c r="H22" i="7"/>
  <c r="I1135" i="4"/>
  <c r="L1187" i="4"/>
  <c r="J1137" i="4"/>
  <c r="H976" i="3"/>
  <c r="H977" i="3" s="1"/>
  <c r="L872" i="4"/>
  <c r="L1167" i="4"/>
  <c r="H53" i="2"/>
  <c r="J975" i="3"/>
  <c r="L1142" i="4"/>
  <c r="L28" i="4"/>
  <c r="K421" i="3" l="1"/>
  <c r="M422" i="3"/>
  <c r="M1150" i="4"/>
  <c r="O908" i="4"/>
  <c r="O1150" i="4" s="1"/>
  <c r="G975" i="10"/>
  <c r="G977" i="10" s="1"/>
  <c r="I1137" i="4"/>
  <c r="E54" i="2"/>
  <c r="E55" i="2" s="1"/>
  <c r="I22" i="7"/>
  <c r="L1135" i="4"/>
  <c r="L1144" i="4"/>
  <c r="L1166" i="4"/>
  <c r="L1168" i="4" s="1"/>
  <c r="G907" i="4"/>
  <c r="G17" i="11" s="1"/>
  <c r="G16" i="11" s="1"/>
  <c r="G905" i="4"/>
  <c r="M421" i="3" l="1"/>
  <c r="I33" i="2"/>
  <c r="K277" i="3"/>
  <c r="M277" i="3" s="1"/>
  <c r="L1137" i="4"/>
  <c r="H54" i="2"/>
  <c r="H55" i="2" s="1"/>
  <c r="J976" i="3"/>
  <c r="J977" i="3" s="1"/>
  <c r="G15" i="11"/>
  <c r="G14" i="11" s="1"/>
  <c r="G13" i="11" s="1"/>
  <c r="G18" i="11" s="1"/>
  <c r="G1067" i="4"/>
  <c r="K33" i="2" l="1"/>
  <c r="I29" i="2"/>
  <c r="K29" i="2" s="1"/>
  <c r="M904" i="4"/>
  <c r="L17" i="5"/>
  <c r="K259" i="3"/>
  <c r="G12" i="11"/>
  <c r="G11" i="11" s="1"/>
  <c r="G10" i="11"/>
  <c r="G609" i="4"/>
  <c r="G131" i="11" s="1"/>
  <c r="G130" i="11" s="1"/>
  <c r="M903" i="4" l="1"/>
  <c r="O904" i="4"/>
  <c r="K258" i="3"/>
  <c r="M259" i="3"/>
  <c r="L16" i="5"/>
  <c r="N17" i="5"/>
  <c r="G129" i="11"/>
  <c r="G120" i="11"/>
  <c r="G119" i="11" s="1"/>
  <c r="G118" i="11" s="1"/>
  <c r="G136" i="11" s="1"/>
  <c r="M902" i="4" l="1"/>
  <c r="O903" i="4"/>
  <c r="K257" i="3"/>
  <c r="M258" i="3"/>
  <c r="L15" i="5"/>
  <c r="N16" i="5"/>
  <c r="E15" i="7"/>
  <c r="E14" i="7" s="1"/>
  <c r="D14" i="7"/>
  <c r="D22" i="7"/>
  <c r="D23" i="7" s="1"/>
  <c r="O902" i="4" l="1"/>
  <c r="O1170" i="4" s="1"/>
  <c r="O1187" i="4" s="1"/>
  <c r="M901" i="4"/>
  <c r="M1170" i="4"/>
  <c r="M1187" i="4" s="1"/>
  <c r="K256" i="3"/>
  <c r="M257" i="3"/>
  <c r="N15" i="5"/>
  <c r="L20" i="5"/>
  <c r="N20" i="5" s="1"/>
  <c r="L14" i="5"/>
  <c r="L12" i="5"/>
  <c r="M894" i="4" l="1"/>
  <c r="O901" i="4"/>
  <c r="K255" i="3"/>
  <c r="M256" i="3"/>
  <c r="L635" i="5"/>
  <c r="N635" i="5" s="1"/>
  <c r="N12" i="5"/>
  <c r="L13" i="5"/>
  <c r="N13" i="5" s="1"/>
  <c r="N14" i="5"/>
  <c r="D18" i="7"/>
  <c r="D16" i="7"/>
  <c r="D13" i="7" s="1"/>
  <c r="G478" i="4"/>
  <c r="G51" i="11" s="1"/>
  <c r="G50" i="11" s="1"/>
  <c r="G49" i="11" s="1"/>
  <c r="G48" i="11" s="1"/>
  <c r="G47" i="11" s="1"/>
  <c r="G46" i="11" s="1"/>
  <c r="G54" i="11" s="1"/>
  <c r="O894" i="4" l="1"/>
  <c r="O1147" i="4" s="1"/>
  <c r="M872" i="4"/>
  <c r="M1147" i="4"/>
  <c r="M255" i="3"/>
  <c r="K232" i="3"/>
  <c r="I27" i="2"/>
  <c r="G1058" i="4"/>
  <c r="G945" i="4"/>
  <c r="G476" i="11" s="1"/>
  <c r="G475" i="11" s="1"/>
  <c r="G474" i="11" s="1"/>
  <c r="G935" i="4"/>
  <c r="G470" i="11" s="1"/>
  <c r="G469" i="11" s="1"/>
  <c r="G468" i="11" s="1"/>
  <c r="G882" i="4"/>
  <c r="G884" i="4"/>
  <c r="G773" i="4"/>
  <c r="M1166" i="4" l="1"/>
  <c r="M1148" i="4"/>
  <c r="M1167" i="4" s="1"/>
  <c r="M1135" i="4"/>
  <c r="O872" i="4"/>
  <c r="O1148" i="4"/>
  <c r="O1167" i="4" s="1"/>
  <c r="O1166" i="4"/>
  <c r="M232" i="3"/>
  <c r="K975" i="3"/>
  <c r="I24" i="2"/>
  <c r="K27" i="2"/>
  <c r="G460" i="11"/>
  <c r="G459" i="11" s="1"/>
  <c r="G458" i="11" s="1"/>
  <c r="G486" i="11" s="1"/>
  <c r="G552" i="4"/>
  <c r="O1168" i="4" l="1"/>
  <c r="O1135" i="4"/>
  <c r="K976" i="3"/>
  <c r="K977" i="3" s="1"/>
  <c r="I54" i="2"/>
  <c r="M1137" i="4"/>
  <c r="M1168" i="4"/>
  <c r="K24" i="2"/>
  <c r="I53" i="2"/>
  <c r="M975" i="3"/>
  <c r="F161" i="3"/>
  <c r="F160" i="3" s="1"/>
  <c r="F159" i="3" s="1"/>
  <c r="G273" i="4"/>
  <c r="M976" i="3" l="1"/>
  <c r="M977" i="3" s="1"/>
  <c r="O1137" i="4"/>
  <c r="K54" i="2"/>
  <c r="K53" i="2"/>
  <c r="J22" i="7"/>
  <c r="I57" i="2"/>
  <c r="I55" i="2"/>
  <c r="G272" i="4"/>
  <c r="G271" i="4" s="1"/>
  <c r="G270" i="4" s="1"/>
  <c r="G244" i="4" s="1"/>
  <c r="G243" i="4" s="1"/>
  <c r="G827" i="4"/>
  <c r="G299" i="11" s="1"/>
  <c r="F940" i="3"/>
  <c r="F939" i="3" s="1"/>
  <c r="F938" i="3" s="1"/>
  <c r="F937" i="3" s="1"/>
  <c r="F936" i="3" s="1"/>
  <c r="G830" i="4"/>
  <c r="G307" i="11" s="1"/>
  <c r="G306" i="11" s="1"/>
  <c r="G305" i="11" s="1"/>
  <c r="G847" i="4"/>
  <c r="G846" i="4"/>
  <c r="G845" i="4" s="1"/>
  <c r="K57" i="2" l="1"/>
  <c r="K55" i="2"/>
  <c r="G844" i="4"/>
  <c r="G1164" i="4"/>
  <c r="G308" i="11"/>
  <c r="G298" i="11"/>
  <c r="G297" i="11" s="1"/>
  <c r="G296" i="11" s="1"/>
  <c r="G295" i="11" s="1"/>
  <c r="G294" i="11" s="1"/>
  <c r="G300" i="11" s="1"/>
  <c r="F922" i="3"/>
  <c r="F921" i="3" s="1"/>
  <c r="F920" i="3" s="1"/>
  <c r="F456" i="3"/>
  <c r="F896" i="3"/>
  <c r="F895" i="3" s="1"/>
  <c r="F894" i="3" s="1"/>
  <c r="F271" i="3"/>
  <c r="F270" i="3" s="1"/>
  <c r="F269" i="3" s="1"/>
  <c r="G342" i="5" l="1"/>
  <c r="G135" i="5"/>
  <c r="G769" i="4"/>
  <c r="G767" i="4"/>
  <c r="G538" i="4"/>
  <c r="G536" i="4"/>
  <c r="G181" i="4"/>
  <c r="G173" i="4"/>
  <c r="G201" i="4"/>
  <c r="G53" i="4"/>
  <c r="G871" i="4" l="1"/>
  <c r="G869" i="4"/>
  <c r="G867" i="4"/>
  <c r="G448" i="4" l="1"/>
  <c r="G362" i="4"/>
  <c r="G379" i="11" s="1"/>
  <c r="G378" i="11" s="1"/>
  <c r="G377" i="11" s="1"/>
  <c r="G376" i="11" s="1"/>
  <c r="G375" i="11" s="1"/>
  <c r="G374" i="11" s="1"/>
  <c r="G404" i="11" s="1"/>
  <c r="I104" i="1" l="1"/>
  <c r="F231" i="3" l="1"/>
  <c r="G39" i="4"/>
  <c r="G37" i="4"/>
  <c r="G626" i="5"/>
  <c r="G625" i="5" s="1"/>
  <c r="G624" i="5" s="1"/>
  <c r="G623" i="5" s="1"/>
  <c r="G622" i="5" s="1"/>
  <c r="G621" i="5" s="1"/>
  <c r="G627" i="5" s="1"/>
  <c r="F396" i="3"/>
  <c r="F395" i="3" s="1"/>
  <c r="F394" i="3" s="1"/>
  <c r="F393" i="3" s="1"/>
  <c r="G1023" i="4"/>
  <c r="G1022" i="4" s="1"/>
  <c r="G1021" i="4" s="1"/>
  <c r="G1185" i="4" s="1"/>
  <c r="G881" i="4" l="1"/>
  <c r="G430" i="4" l="1"/>
  <c r="G509" i="11" s="1"/>
  <c r="G508" i="11" s="1"/>
  <c r="G507" i="11" s="1"/>
  <c r="G500" i="11" s="1"/>
  <c r="G499" i="11" s="1"/>
  <c r="G510" i="11" s="1"/>
  <c r="G757" i="4"/>
  <c r="G492" i="11" s="1"/>
  <c r="G491" i="11" s="1"/>
  <c r="G490" i="11" s="1"/>
  <c r="G498" i="11" l="1"/>
  <c r="G489" i="11"/>
  <c r="G488" i="11" s="1"/>
  <c r="G487" i="11" s="1"/>
  <c r="G601" i="5"/>
  <c r="G600" i="5" s="1"/>
  <c r="G599" i="5" s="1"/>
  <c r="F788" i="3"/>
  <c r="F787" i="3" s="1"/>
  <c r="F786" i="3" s="1"/>
  <c r="F785" i="3" s="1"/>
  <c r="G436" i="4"/>
  <c r="G435" i="4" s="1"/>
  <c r="G434" i="4" s="1"/>
  <c r="F130" i="3"/>
  <c r="F129" i="3" s="1"/>
  <c r="F128" i="3" s="1"/>
  <c r="F127" i="3" s="1"/>
  <c r="F136" i="3"/>
  <c r="F135" i="3" s="1"/>
  <c r="F134" i="3" s="1"/>
  <c r="G98" i="4"/>
  <c r="G97" i="4" s="1"/>
  <c r="G96" i="4" s="1"/>
  <c r="G195" i="5"/>
  <c r="G194" i="5" s="1"/>
  <c r="G193" i="5" s="1"/>
  <c r="F533" i="3"/>
  <c r="G1184" i="4" l="1"/>
  <c r="G598" i="5"/>
  <c r="F873" i="3"/>
  <c r="G597" i="5" l="1"/>
  <c r="G605" i="5" s="1"/>
  <c r="G95" i="4"/>
  <c r="G456" i="11" s="1"/>
  <c r="G455" i="11" s="1"/>
  <c r="G454" i="11" s="1"/>
  <c r="G453" i="11" s="1"/>
  <c r="G452" i="11" s="1"/>
  <c r="G451" i="11" s="1"/>
  <c r="G457" i="11" s="1"/>
  <c r="G596" i="5" l="1"/>
  <c r="F346" i="3" l="1"/>
  <c r="G1132" i="4" l="1"/>
  <c r="G794" i="4"/>
  <c r="G277" i="11" s="1"/>
  <c r="G276" i="11" s="1"/>
  <c r="G275" i="11" s="1"/>
  <c r="G274" i="11" s="1"/>
  <c r="G273" i="11" s="1"/>
  <c r="G722" i="4"/>
  <c r="G602" i="4"/>
  <c r="G653" i="4"/>
  <c r="G112" i="11" s="1"/>
  <c r="G111" i="11" s="1"/>
  <c r="G110" i="11" s="1"/>
  <c r="G109" i="11" s="1"/>
  <c r="G288" i="4"/>
  <c r="G332" i="11" s="1"/>
  <c r="G331" i="11" s="1"/>
  <c r="G330" i="11" s="1"/>
  <c r="G329" i="11" s="1"/>
  <c r="G328" i="11" s="1"/>
  <c r="G327" i="11" s="1"/>
  <c r="G333" i="4"/>
  <c r="G358" i="11" s="1"/>
  <c r="G357" i="11" s="1"/>
  <c r="G356" i="11" s="1"/>
  <c r="G450" i="4"/>
  <c r="G116" i="11" l="1"/>
  <c r="G115" i="11" s="1"/>
  <c r="G114" i="11" s="1"/>
  <c r="G113" i="11" s="1"/>
  <c r="G108" i="11"/>
  <c r="G107" i="11" s="1"/>
  <c r="G106" i="11" s="1"/>
  <c r="G105" i="11" s="1"/>
  <c r="G348" i="11"/>
  <c r="G272" i="11"/>
  <c r="G293" i="11" s="1"/>
  <c r="F202" i="3"/>
  <c r="F201" i="3" s="1"/>
  <c r="F204" i="3"/>
  <c r="F203" i="3" s="1"/>
  <c r="F206" i="3"/>
  <c r="F205" i="3" s="1"/>
  <c r="G885" i="4"/>
  <c r="G883" i="4"/>
  <c r="G104" i="11" l="1"/>
  <c r="G103" i="11" s="1"/>
  <c r="G117" i="11" s="1"/>
  <c r="G880" i="4"/>
  <c r="G879" i="4" s="1"/>
  <c r="F200" i="3"/>
  <c r="F199" i="3" s="1"/>
  <c r="G780" i="4"/>
  <c r="G778" i="4"/>
  <c r="G776" i="4"/>
  <c r="G342" i="4" l="1"/>
  <c r="G368" i="11" s="1"/>
  <c r="G367" i="11" s="1"/>
  <c r="G366" i="11" s="1"/>
  <c r="G355" i="11" s="1"/>
  <c r="G354" i="11" s="1"/>
  <c r="G353" i="11" s="1"/>
  <c r="F428" i="3"/>
  <c r="F283" i="3"/>
  <c r="F282" i="3" s="1"/>
  <c r="F198" i="3"/>
  <c r="G877" i="4"/>
  <c r="G876" i="4" s="1"/>
  <c r="G875" i="4" s="1"/>
  <c r="G369" i="11" l="1"/>
  <c r="G326" i="11"/>
  <c r="G874" i="4"/>
  <c r="G873" i="4" s="1"/>
  <c r="G672" i="4"/>
  <c r="G172" i="11" s="1"/>
  <c r="G171" i="11" s="1"/>
  <c r="G170" i="11" s="1"/>
  <c r="G410" i="4" l="1"/>
  <c r="G409" i="4" s="1"/>
  <c r="F691" i="3" l="1"/>
  <c r="G239" i="4" l="1"/>
  <c r="G241" i="4"/>
  <c r="G212" i="5"/>
  <c r="G725" i="4"/>
  <c r="G724" i="4" s="1"/>
  <c r="G723" i="4" s="1"/>
  <c r="F578" i="3" l="1"/>
  <c r="F577" i="3" s="1"/>
  <c r="F576" i="3" s="1"/>
  <c r="F575" i="3" s="1"/>
  <c r="G1009" i="4"/>
  <c r="G438" i="11" s="1"/>
  <c r="G437" i="11" s="1"/>
  <c r="G436" i="11" s="1"/>
  <c r="G435" i="11" s="1"/>
  <c r="G434" i="11" s="1"/>
  <c r="G433" i="11" s="1"/>
  <c r="G450" i="11" l="1"/>
  <c r="G419" i="11"/>
  <c r="F197" i="3"/>
  <c r="F196" i="3" s="1"/>
  <c r="G158" i="4"/>
  <c r="G157" i="4" s="1"/>
  <c r="G466" i="4" l="1"/>
  <c r="G30" i="11" s="1"/>
  <c r="G29" i="11" s="1"/>
  <c r="G28" i="11" s="1"/>
  <c r="G22" i="11" s="1"/>
  <c r="G21" i="11" s="1"/>
  <c r="G20" i="11" s="1"/>
  <c r="G186" i="5"/>
  <c r="G185" i="5" s="1"/>
  <c r="G184" i="5" s="1"/>
  <c r="G19" i="5"/>
  <c r="G18" i="5" s="1"/>
  <c r="F261" i="3"/>
  <c r="F260" i="3" s="1"/>
  <c r="F524" i="3"/>
  <c r="G906" i="4"/>
  <c r="G31" i="11" l="1"/>
  <c r="G1029" i="4"/>
  <c r="G233" i="4"/>
  <c r="I150" i="1" l="1"/>
  <c r="I147" i="1"/>
  <c r="K147" i="1" s="1"/>
  <c r="I138" i="1"/>
  <c r="I108" i="1"/>
  <c r="I106" i="1"/>
  <c r="I89" i="1"/>
  <c r="K89" i="1" s="1"/>
  <c r="I86" i="1"/>
  <c r="K86" i="1" s="1"/>
  <c r="I80" i="1"/>
  <c r="K80" i="1" s="1"/>
  <c r="I75" i="1"/>
  <c r="K75" i="1" s="1"/>
  <c r="I72" i="1"/>
  <c r="K72" i="1" s="1"/>
  <c r="I70" i="1"/>
  <c r="K70" i="1" s="1"/>
  <c r="I65" i="1"/>
  <c r="K65" i="1" s="1"/>
  <c r="I58" i="1"/>
  <c r="K58" i="1" s="1"/>
  <c r="I56" i="1"/>
  <c r="K56" i="1" s="1"/>
  <c r="I54" i="1"/>
  <c r="K54" i="1" s="1"/>
  <c r="I45" i="1"/>
  <c r="K45" i="1" s="1"/>
  <c r="I42" i="1"/>
  <c r="K42" i="1" s="1"/>
  <c r="I40" i="1"/>
  <c r="K40" i="1" s="1"/>
  <c r="I24" i="1"/>
  <c r="K24" i="1" s="1"/>
  <c r="I19" i="1"/>
  <c r="I130" i="1" l="1"/>
  <c r="K130" i="1" s="1"/>
  <c r="K138" i="1"/>
  <c r="I149" i="1"/>
  <c r="K149" i="1" s="1"/>
  <c r="K150" i="1"/>
  <c r="I18" i="1"/>
  <c r="K18" i="1" s="1"/>
  <c r="K19" i="1"/>
  <c r="I103" i="1"/>
  <c r="I74" i="1"/>
  <c r="K74" i="1" s="1"/>
  <c r="I53" i="1"/>
  <c r="I31" i="1"/>
  <c r="I39" i="1"/>
  <c r="K39" i="1" s="1"/>
  <c r="I69" i="1"/>
  <c r="K69" i="1" s="1"/>
  <c r="I129" i="1" l="1"/>
  <c r="I128" i="1" s="1"/>
  <c r="K128" i="1" s="1"/>
  <c r="K129" i="1"/>
  <c r="I52" i="1"/>
  <c r="K52" i="1" s="1"/>
  <c r="K53" i="1"/>
  <c r="I30" i="1"/>
  <c r="K30" i="1" s="1"/>
  <c r="L30" i="1" s="1"/>
  <c r="K31" i="1"/>
  <c r="G266" i="5"/>
  <c r="G265" i="5" s="1"/>
  <c r="G264" i="5" s="1"/>
  <c r="G269" i="5"/>
  <c r="G268" i="5" s="1"/>
  <c r="G267" i="5" s="1"/>
  <c r="G448" i="5"/>
  <c r="G447" i="5" s="1"/>
  <c r="G446" i="5" s="1"/>
  <c r="G84" i="5"/>
  <c r="G83" i="5" s="1"/>
  <c r="G82" i="5" s="1"/>
  <c r="F879" i="3"/>
  <c r="F878" i="3" s="1"/>
  <c r="F877" i="3" s="1"/>
  <c r="F773" i="3"/>
  <c r="F772" i="3" s="1"/>
  <c r="F771" i="3" s="1"/>
  <c r="F738" i="3"/>
  <c r="F737" i="3" s="1"/>
  <c r="F736" i="3" s="1"/>
  <c r="F410" i="3"/>
  <c r="F409" i="3" s="1"/>
  <c r="F408" i="3" s="1"/>
  <c r="F407" i="3"/>
  <c r="F404" i="3"/>
  <c r="F403" i="3" s="1"/>
  <c r="F402" i="3" s="1"/>
  <c r="F339" i="3"/>
  <c r="F338" i="3" s="1"/>
  <c r="F337" i="3" s="1"/>
  <c r="F334" i="3"/>
  <c r="I97" i="1" l="1"/>
  <c r="I96" i="1" s="1"/>
  <c r="I17" i="1"/>
  <c r="K17" i="1" s="1"/>
  <c r="M17" i="1" s="1"/>
  <c r="F164" i="3"/>
  <c r="F163" i="3" s="1"/>
  <c r="F162" i="3" s="1"/>
  <c r="F90" i="3"/>
  <c r="F89" i="3" s="1"/>
  <c r="F88" i="3" s="1"/>
  <c r="F93" i="3"/>
  <c r="F92" i="3" s="1"/>
  <c r="F91" i="3" s="1"/>
  <c r="I164" i="1" l="1"/>
  <c r="R164" i="1"/>
  <c r="J21" i="7"/>
  <c r="J23" i="7" s="1"/>
  <c r="J17" i="7" s="1"/>
  <c r="J16" i="7" s="1"/>
  <c r="J13" i="7" s="1"/>
  <c r="E21" i="7"/>
  <c r="G1115" i="4"/>
  <c r="G1114" i="4" s="1"/>
  <c r="G1113" i="4" s="1"/>
  <c r="G1112" i="4" s="1"/>
  <c r="G1110" i="4"/>
  <c r="G1109" i="4" s="1"/>
  <c r="G1108" i="4" s="1"/>
  <c r="G1037" i="4"/>
  <c r="G1036" i="4" s="1"/>
  <c r="G966" i="4"/>
  <c r="G965" i="4" s="1"/>
  <c r="G641" i="4"/>
  <c r="G492" i="4"/>
  <c r="G76" i="11" s="1"/>
  <c r="G75" i="11" s="1"/>
  <c r="G72" i="11" s="1"/>
  <c r="G71" i="11" s="1"/>
  <c r="G70" i="11" s="1"/>
  <c r="G69" i="11" s="1"/>
  <c r="G80" i="11" s="1"/>
  <c r="G412" i="4"/>
  <c r="G411" i="4" s="1"/>
  <c r="G369" i="4"/>
  <c r="G368" i="4" s="1"/>
  <c r="G77" i="4"/>
  <c r="G76" i="4" s="1"/>
  <c r="G75" i="4"/>
  <c r="G234" i="11" s="1"/>
  <c r="G233" i="11" s="1"/>
  <c r="G230" i="11" s="1"/>
  <c r="J18" i="7" l="1"/>
  <c r="G23" i="7"/>
  <c r="G1107" i="4"/>
  <c r="F974" i="3"/>
  <c r="F970" i="3"/>
  <c r="F963" i="3"/>
  <c r="F961" i="3"/>
  <c r="F959" i="3"/>
  <c r="F953" i="3"/>
  <c r="F946" i="3"/>
  <c r="F908" i="3"/>
  <c r="F876" i="3"/>
  <c r="F810" i="3"/>
  <c r="F803" i="3"/>
  <c r="F799" i="3"/>
  <c r="F793" i="3"/>
  <c r="F752" i="3"/>
  <c r="F724" i="3"/>
  <c r="F706" i="3"/>
  <c r="F703" i="3"/>
  <c r="F681" i="3"/>
  <c r="F679" i="3"/>
  <c r="F677" i="3"/>
  <c r="F666" i="3"/>
  <c r="F664" i="3"/>
  <c r="F659" i="3"/>
  <c r="F657" i="3"/>
  <c r="F654" i="3"/>
  <c r="F644" i="3"/>
  <c r="F618" i="3"/>
  <c r="F595" i="3"/>
  <c r="F574" i="3"/>
  <c r="F530" i="3"/>
  <c r="F518" i="3"/>
  <c r="F459" i="3"/>
  <c r="F437" i="3"/>
  <c r="F434" i="3"/>
  <c r="F430" i="3"/>
  <c r="F426" i="3"/>
  <c r="F414" i="3"/>
  <c r="F389" i="3"/>
  <c r="F386" i="3"/>
  <c r="F383" i="3"/>
  <c r="F381" i="3"/>
  <c r="F374" i="3"/>
  <c r="F369" i="3"/>
  <c r="F366" i="3"/>
  <c r="F326" i="3"/>
  <c r="F320" i="3"/>
  <c r="F304" i="3"/>
  <c r="F294" i="3"/>
  <c r="F259" i="3"/>
  <c r="F254" i="3"/>
  <c r="F248" i="3"/>
  <c r="F228" i="3"/>
  <c r="F65" i="3"/>
  <c r="F63" i="3"/>
  <c r="F44" i="3"/>
  <c r="F40" i="3"/>
  <c r="F28" i="3"/>
  <c r="F26" i="3"/>
  <c r="F18" i="3"/>
  <c r="F778" i="3"/>
  <c r="F781" i="3"/>
  <c r="F784" i="3"/>
  <c r="G558" i="5"/>
  <c r="G551" i="5"/>
  <c r="G545" i="5"/>
  <c r="G529" i="5"/>
  <c r="G509" i="5"/>
  <c r="G502" i="5"/>
  <c r="G499" i="5"/>
  <c r="G496" i="5"/>
  <c r="G493" i="5"/>
  <c r="G491" i="5"/>
  <c r="G481" i="5"/>
  <c r="G476" i="5"/>
  <c r="G473" i="5"/>
  <c r="G465" i="5"/>
  <c r="G445" i="5"/>
  <c r="G408" i="5"/>
  <c r="G405" i="5"/>
  <c r="G383" i="5"/>
  <c r="G358" i="5"/>
  <c r="G321" i="5"/>
  <c r="G298" i="5"/>
  <c r="G291" i="5"/>
  <c r="G284" i="5"/>
  <c r="G276" i="5"/>
  <c r="G262" i="5"/>
  <c r="G261" i="5" s="1"/>
  <c r="G260" i="5"/>
  <c r="G237" i="5"/>
  <c r="G192" i="5"/>
  <c r="G180" i="5"/>
  <c r="G138" i="5"/>
  <c r="G121" i="5"/>
  <c r="G81" i="5"/>
  <c r="G58" i="5"/>
  <c r="G49" i="5"/>
  <c r="G35" i="5"/>
  <c r="G17" i="5"/>
  <c r="H23" i="7" l="1"/>
  <c r="F87" i="3"/>
  <c r="F86" i="3" s="1"/>
  <c r="F85" i="3"/>
  <c r="F98" i="3"/>
  <c r="F102" i="3"/>
  <c r="F106" i="3"/>
  <c r="F110" i="3"/>
  <c r="F156" i="3"/>
  <c r="F170" i="3"/>
  <c r="F177" i="3"/>
  <c r="F181" i="3"/>
  <c r="F184" i="3"/>
  <c r="F823" i="3"/>
  <c r="F831" i="3"/>
  <c r="F837" i="3"/>
  <c r="F851" i="3"/>
  <c r="G484" i="4"/>
  <c r="G60" i="11" s="1"/>
  <c r="G59" i="11" s="1"/>
  <c r="G58" i="11" s="1"/>
  <c r="G57" i="11" s="1"/>
  <c r="G56" i="11" s="1"/>
  <c r="G55" i="11" s="1"/>
  <c r="G61" i="11" s="1"/>
  <c r="G479" i="4"/>
  <c r="G465" i="4"/>
  <c r="G464" i="4" s="1"/>
  <c r="G180" i="4"/>
  <c r="G175" i="4"/>
  <c r="G174" i="4" s="1"/>
  <c r="G132" i="4"/>
  <c r="G125" i="4"/>
  <c r="G124" i="4" s="1"/>
  <c r="G114" i="4"/>
  <c r="G113" i="4" s="1"/>
  <c r="G94" i="4"/>
  <c r="G93" i="4" s="1"/>
  <c r="G92" i="4" s="1"/>
  <c r="G1181" i="4" s="1"/>
  <c r="G86" i="4"/>
  <c r="G85" i="4" s="1"/>
  <c r="G82" i="4"/>
  <c r="G81" i="4" s="1"/>
  <c r="G80" i="4" s="1"/>
  <c r="G74" i="4"/>
  <c r="G72" i="4"/>
  <c r="I23" i="7" l="1"/>
  <c r="G71" i="4"/>
  <c r="G483" i="4"/>
  <c r="G482" i="4" s="1"/>
  <c r="G481" i="4" s="1"/>
  <c r="G65" i="5"/>
  <c r="F841" i="3"/>
  <c r="F848" i="3"/>
  <c r="C14" i="7" l="1"/>
  <c r="F14" i="7" s="1"/>
  <c r="G46" i="6"/>
  <c r="G42" i="6"/>
  <c r="G38" i="6"/>
  <c r="G34" i="6"/>
  <c r="G17" i="6"/>
  <c r="G16" i="6" s="1"/>
  <c r="G562" i="5"/>
  <c r="G560" i="5" s="1"/>
  <c r="G557" i="5" s="1"/>
  <c r="G556" i="5" s="1"/>
  <c r="G547" i="5"/>
  <c r="G546" i="5" s="1"/>
  <c r="G544" i="5" s="1"/>
  <c r="G543" i="5" s="1"/>
  <c r="G524" i="5"/>
  <c r="G523" i="5" s="1"/>
  <c r="G526" i="5" s="1"/>
  <c r="G508" i="5" s="1"/>
  <c r="G507" i="5" s="1"/>
  <c r="G506" i="5" s="1"/>
  <c r="G505" i="5" s="1"/>
  <c r="G464" i="5"/>
  <c r="G463" i="5" s="1"/>
  <c r="G462" i="5" s="1"/>
  <c r="G461" i="5" s="1"/>
  <c r="G460" i="5" s="1"/>
  <c r="G466" i="5" s="1"/>
  <c r="G459" i="5"/>
  <c r="G456" i="5"/>
  <c r="G444" i="5" s="1"/>
  <c r="G442" i="5" s="1"/>
  <c r="G438" i="5"/>
  <c r="G437" i="5" s="1"/>
  <c r="G440" i="5" s="1"/>
  <c r="G434" i="5"/>
  <c r="G433" i="5" s="1"/>
  <c r="G436" i="5" s="1"/>
  <c r="G430" i="5"/>
  <c r="G429" i="5" s="1"/>
  <c r="G432" i="5" s="1"/>
  <c r="G426" i="5"/>
  <c r="G425" i="5" s="1"/>
  <c r="G428" i="5" s="1"/>
  <c r="G410" i="5"/>
  <c r="G409" i="5" s="1"/>
  <c r="G407" i="5" s="1"/>
  <c r="G406" i="5" s="1"/>
  <c r="G404" i="5" s="1"/>
  <c r="G403" i="5" s="1"/>
  <c r="G401" i="5"/>
  <c r="G400" i="5" s="1"/>
  <c r="G385" i="5"/>
  <c r="G384" i="5" s="1"/>
  <c r="G382" i="5" s="1"/>
  <c r="G381" i="5" s="1"/>
  <c r="G378" i="5"/>
  <c r="G377" i="5" s="1"/>
  <c r="G374" i="5"/>
  <c r="G373" i="5" s="1"/>
  <c r="G370" i="5"/>
  <c r="G369" i="5" s="1"/>
  <c r="G347" i="5"/>
  <c r="G346" i="5" s="1"/>
  <c r="G344" i="5"/>
  <c r="G343" i="5" s="1"/>
  <c r="G341" i="5"/>
  <c r="G340" i="5" s="1"/>
  <c r="G339" i="5"/>
  <c r="G316" i="5"/>
  <c r="G315" i="5" s="1"/>
  <c r="G312" i="5"/>
  <c r="G311" i="5" s="1"/>
  <c r="G310" i="5"/>
  <c r="G309" i="5" s="1"/>
  <c r="G308" i="5" s="1"/>
  <c r="G307" i="5" s="1"/>
  <c r="G228" i="5"/>
  <c r="G227" i="5" s="1"/>
  <c r="G223" i="5"/>
  <c r="G222" i="5" s="1"/>
  <c r="G226" i="5" s="1"/>
  <c r="G220" i="5"/>
  <c r="G219" i="5" s="1"/>
  <c r="G218" i="5" s="1"/>
  <c r="G217" i="5"/>
  <c r="G211" i="5"/>
  <c r="G205" i="5"/>
  <c r="G204" i="5" s="1"/>
  <c r="G201" i="5"/>
  <c r="G200" i="5" s="1"/>
  <c r="G191" i="5" s="1"/>
  <c r="G190" i="5" s="1"/>
  <c r="G179" i="5" s="1"/>
  <c r="G178" i="5" s="1"/>
  <c r="G170" i="5"/>
  <c r="G169" i="5" s="1"/>
  <c r="G168" i="5"/>
  <c r="G166" i="5"/>
  <c r="G165" i="5" s="1"/>
  <c r="G162" i="5"/>
  <c r="G161" i="5" s="1"/>
  <c r="G164" i="5" s="1"/>
  <c r="G158" i="5"/>
  <c r="G157" i="5" s="1"/>
  <c r="G160" i="5" s="1"/>
  <c r="G154" i="5"/>
  <c r="G153" i="5" s="1"/>
  <c r="G140" i="5"/>
  <c r="G139" i="5" s="1"/>
  <c r="G137" i="5" s="1"/>
  <c r="G136" i="5" s="1"/>
  <c r="G134" i="5"/>
  <c r="G133" i="5" s="1"/>
  <c r="G131" i="5"/>
  <c r="G130" i="5" s="1"/>
  <c r="G127" i="5"/>
  <c r="G126" i="5" s="1"/>
  <c r="G120" i="5" s="1"/>
  <c r="G119" i="5" s="1"/>
  <c r="G118" i="5" s="1"/>
  <c r="G95" i="5"/>
  <c r="G94" i="5" s="1"/>
  <c r="G99" i="5" s="1"/>
  <c r="G91" i="5"/>
  <c r="G90" i="5" s="1"/>
  <c r="G93" i="5" s="1"/>
  <c r="G89" i="5"/>
  <c r="G87" i="5"/>
  <c r="G86" i="5" s="1"/>
  <c r="G80" i="5"/>
  <c r="G78" i="5"/>
  <c r="G64" i="5"/>
  <c r="G63" i="5" s="1"/>
  <c r="G62" i="5" s="1"/>
  <c r="G61" i="5" s="1"/>
  <c r="G60" i="5" s="1"/>
  <c r="G66" i="5" s="1"/>
  <c r="G57" i="5"/>
  <c r="G48" i="5"/>
  <c r="G47" i="5" s="1"/>
  <c r="G46" i="5" s="1"/>
  <c r="G45" i="5" s="1"/>
  <c r="G44" i="5" s="1"/>
  <c r="G50" i="5" s="1"/>
  <c r="G26" i="5"/>
  <c r="G16" i="5" s="1"/>
  <c r="G15" i="5" s="1"/>
  <c r="G45" i="6" l="1"/>
  <c r="I46" i="6"/>
  <c r="G37" i="6"/>
  <c r="I38" i="6"/>
  <c r="G41" i="6"/>
  <c r="I42" i="6"/>
  <c r="G33" i="6"/>
  <c r="I33" i="6" s="1"/>
  <c r="I34" i="6"/>
  <c r="G504" i="5"/>
  <c r="G510" i="5" s="1"/>
  <c r="G501" i="5" s="1"/>
  <c r="G500" i="5" s="1"/>
  <c r="G498" i="5" s="1"/>
  <c r="G497" i="5" s="1"/>
  <c r="G495" i="5" s="1"/>
  <c r="G494" i="5" s="1"/>
  <c r="G492" i="5" s="1"/>
  <c r="G490" i="5" s="1"/>
  <c r="G480" i="5" s="1"/>
  <c r="G479" i="5" s="1"/>
  <c r="G475" i="5" s="1"/>
  <c r="G474" i="5" s="1"/>
  <c r="G472" i="5" s="1"/>
  <c r="G471" i="5" s="1"/>
  <c r="G470" i="5" s="1"/>
  <c r="G469" i="5" s="1"/>
  <c r="G468" i="5" s="1"/>
  <c r="G485" i="5" s="1"/>
  <c r="G576" i="5"/>
  <c r="G550" i="5"/>
  <c r="G549" i="5" s="1"/>
  <c r="G210" i="5"/>
  <c r="G209" i="5" s="1"/>
  <c r="G208" i="5" s="1"/>
  <c r="G125" i="5"/>
  <c r="G124" i="5" s="1"/>
  <c r="G123" i="5" s="1"/>
  <c r="G151" i="5" s="1"/>
  <c r="G259" i="5"/>
  <c r="G14" i="6"/>
  <c r="G13" i="6" s="1"/>
  <c r="G12" i="6" s="1"/>
  <c r="G15" i="6"/>
  <c r="G590" i="5" s="1"/>
  <c r="G589" i="5" s="1"/>
  <c r="G587" i="5" s="1"/>
  <c r="G586" i="5" s="1"/>
  <c r="G584" i="5" s="1"/>
  <c r="G581" i="5" s="1"/>
  <c r="G595" i="5" s="1"/>
  <c r="G77" i="5"/>
  <c r="G441" i="5"/>
  <c r="G559" i="5"/>
  <c r="G555" i="5" s="1"/>
  <c r="G20" i="5"/>
  <c r="G14" i="5"/>
  <c r="G13" i="5" s="1"/>
  <c r="G12" i="5"/>
  <c r="G172" i="5"/>
  <c r="G338" i="5"/>
  <c r="G337" i="5" s="1"/>
  <c r="G336" i="5" s="1"/>
  <c r="F954" i="3"/>
  <c r="F952" i="3" s="1"/>
  <c r="F887" i="3"/>
  <c r="F886" i="3" s="1"/>
  <c r="F885" i="3" s="1"/>
  <c r="F881" i="3"/>
  <c r="F880" i="3" s="1"/>
  <c r="F875" i="3" s="1"/>
  <c r="F874" i="3" s="1"/>
  <c r="F872" i="3"/>
  <c r="F871" i="3" s="1"/>
  <c r="F867" i="3" s="1"/>
  <c r="F866" i="3" s="1"/>
  <c r="F865" i="3" s="1"/>
  <c r="F860" i="3"/>
  <c r="F859" i="3" s="1"/>
  <c r="F858" i="3" s="1"/>
  <c r="F856" i="3"/>
  <c r="F855" i="3" s="1"/>
  <c r="F853" i="3"/>
  <c r="F852" i="3" s="1"/>
  <c r="F850" i="3"/>
  <c r="F840" i="3"/>
  <c r="F839" i="3" s="1"/>
  <c r="F838" i="3" s="1"/>
  <c r="F836" i="3"/>
  <c r="F830" i="3"/>
  <c r="F829" i="3" s="1"/>
  <c r="F822" i="3"/>
  <c r="F821" i="3" s="1"/>
  <c r="F819" i="3" s="1"/>
  <c r="F809" i="3" s="1"/>
  <c r="F808" i="3" s="1"/>
  <c r="F807" i="3" s="1"/>
  <c r="F806" i="3" s="1"/>
  <c r="F802" i="3" s="1"/>
  <c r="F794" i="3"/>
  <c r="F792" i="3" s="1"/>
  <c r="F783" i="3" s="1"/>
  <c r="F782" i="3" s="1"/>
  <c r="F780" i="3" s="1"/>
  <c r="F779" i="3" s="1"/>
  <c r="F777" i="3" s="1"/>
  <c r="F776" i="3" s="1"/>
  <c r="F761" i="3"/>
  <c r="F758" i="3" s="1"/>
  <c r="F756" i="3" s="1"/>
  <c r="F751" i="3" s="1"/>
  <c r="F750" i="3" s="1"/>
  <c r="F749" i="3" s="1"/>
  <c r="F735" i="3" s="1"/>
  <c r="F734" i="3" s="1"/>
  <c r="F732" i="3"/>
  <c r="F731" i="3" s="1"/>
  <c r="F729" i="3"/>
  <c r="F728" i="3" s="1"/>
  <c r="F726" i="3"/>
  <c r="F725" i="3" s="1"/>
  <c r="F723" i="3"/>
  <c r="F721" i="3"/>
  <c r="F699" i="3"/>
  <c r="F698" i="3" s="1"/>
  <c r="F696" i="3"/>
  <c r="F695" i="3" s="1"/>
  <c r="F693" i="3"/>
  <c r="F692" i="3" s="1"/>
  <c r="F690" i="3"/>
  <c r="F689" i="3" s="1"/>
  <c r="F670" i="3"/>
  <c r="F669" i="3" s="1"/>
  <c r="F668" i="3" s="1"/>
  <c r="F667" i="3" s="1"/>
  <c r="F665" i="3" s="1"/>
  <c r="F663" i="3" s="1"/>
  <c r="F658" i="3"/>
  <c r="F656" i="3"/>
  <c r="F653" i="3" s="1"/>
  <c r="F652" i="3" s="1"/>
  <c r="F543" i="3"/>
  <c r="F542" i="3" s="1"/>
  <c r="F540" i="3"/>
  <c r="F539" i="3" s="1"/>
  <c r="F535" i="3"/>
  <c r="F534" i="3" s="1"/>
  <c r="F532" i="3"/>
  <c r="F531" i="3" s="1"/>
  <c r="F529" i="3" s="1"/>
  <c r="F528" i="3" s="1"/>
  <c r="F523" i="3"/>
  <c r="F522" i="3" s="1"/>
  <c r="F517" i="3" s="1"/>
  <c r="F516" i="3" s="1"/>
  <c r="F511" i="3"/>
  <c r="F510" i="3" s="1"/>
  <c r="F508" i="3"/>
  <c r="F507" i="3" s="1"/>
  <c r="F506" i="3" s="1"/>
  <c r="F504" i="3"/>
  <c r="F503" i="3" s="1"/>
  <c r="F501" i="3"/>
  <c r="F500" i="3" s="1"/>
  <c r="F499" i="3" s="1"/>
  <c r="F461" i="3"/>
  <c r="F460" i="3" s="1"/>
  <c r="F458" i="3" s="1"/>
  <c r="F457" i="3" s="1"/>
  <c r="F455" i="3"/>
  <c r="F454" i="3" s="1"/>
  <c r="F452" i="3"/>
  <c r="F451" i="3" s="1"/>
  <c r="F449" i="3"/>
  <c r="F448" i="3" s="1"/>
  <c r="F427" i="3"/>
  <c r="F425" i="3" s="1"/>
  <c r="F416" i="3"/>
  <c r="F415" i="3" s="1"/>
  <c r="F413" i="3" s="1"/>
  <c r="F412" i="3" s="1"/>
  <c r="F406" i="3"/>
  <c r="F405" i="3" s="1"/>
  <c r="F353" i="3"/>
  <c r="F352" i="3" s="1"/>
  <c r="F350" i="3" s="1"/>
  <c r="F347" i="3" s="1"/>
  <c r="F344" i="3" s="1"/>
  <c r="F333" i="3"/>
  <c r="F332" i="3" s="1"/>
  <c r="F322" i="3"/>
  <c r="F321" i="3" s="1"/>
  <c r="F319" i="3" s="1"/>
  <c r="F318" i="3" s="1"/>
  <c r="F300" i="3"/>
  <c r="F299" i="3" s="1"/>
  <c r="F230" i="3"/>
  <c r="F229" i="3" s="1"/>
  <c r="F227" i="3" s="1"/>
  <c r="F195" i="3"/>
  <c r="F183" i="3"/>
  <c r="F182" i="3" s="1"/>
  <c r="F180" i="3"/>
  <c r="F179" i="3" s="1"/>
  <c r="F176" i="3"/>
  <c r="F169" i="3"/>
  <c r="F168" i="3" s="1"/>
  <c r="F155" i="3"/>
  <c r="F154" i="3" s="1"/>
  <c r="F152" i="3"/>
  <c r="F150" i="3"/>
  <c r="F109" i="3"/>
  <c r="F108" i="3" s="1"/>
  <c r="F107" i="3" s="1"/>
  <c r="F105" i="3"/>
  <c r="F104" i="3" s="1"/>
  <c r="F103" i="3" s="1"/>
  <c r="F101" i="3"/>
  <c r="F100" i="3" s="1"/>
  <c r="F99" i="3" s="1"/>
  <c r="F97" i="3"/>
  <c r="F96" i="3" s="1"/>
  <c r="F95" i="3" s="1"/>
  <c r="F84" i="3"/>
  <c r="F72" i="3"/>
  <c r="F70" i="3"/>
  <c r="F64" i="3" s="1"/>
  <c r="F62" i="3" s="1"/>
  <c r="F29" i="3"/>
  <c r="F27" i="3" s="1"/>
  <c r="F25" i="3" s="1"/>
  <c r="F24" i="3" s="1"/>
  <c r="F23" i="3" s="1"/>
  <c r="F22" i="3" s="1"/>
  <c r="F21" i="3" s="1"/>
  <c r="D15" i="2" s="1"/>
  <c r="F19" i="3"/>
  <c r="F17" i="3" s="1"/>
  <c r="F16" i="3" s="1"/>
  <c r="G36" i="6" l="1"/>
  <c r="I37" i="6"/>
  <c r="G40" i="6"/>
  <c r="I40" i="6" s="1"/>
  <c r="I41" i="6"/>
  <c r="G44" i="6"/>
  <c r="I44" i="6" s="1"/>
  <c r="I45" i="6"/>
  <c r="G489" i="5"/>
  <c r="G488" i="5" s="1"/>
  <c r="G487" i="5" s="1"/>
  <c r="G486" i="5" s="1"/>
  <c r="G503" i="5" s="1"/>
  <c r="F973" i="3" s="1"/>
  <c r="G554" i="5"/>
  <c r="G553" i="5" s="1"/>
  <c r="F447" i="3"/>
  <c r="F15" i="3"/>
  <c r="F14" i="3" s="1"/>
  <c r="F13" i="3" s="1"/>
  <c r="D14" i="2" s="1"/>
  <c r="F870" i="3"/>
  <c r="F869" i="3" s="1"/>
  <c r="G11" i="6"/>
  <c r="G216" i="5"/>
  <c r="G76" i="5"/>
  <c r="G75" i="5" s="1"/>
  <c r="G74" i="5" s="1"/>
  <c r="G85" i="5" s="1"/>
  <c r="G577" i="5"/>
  <c r="G258" i="5"/>
  <c r="F83" i="3"/>
  <c r="F253" i="3"/>
  <c r="F252" i="3" s="1"/>
  <c r="F251" i="3" s="1"/>
  <c r="F250" i="3" s="1"/>
  <c r="F249" i="3" s="1"/>
  <c r="F720" i="3"/>
  <c r="F149" i="3"/>
  <c r="F655" i="3"/>
  <c r="F651" i="3" s="1"/>
  <c r="F69" i="3"/>
  <c r="F68" i="3" s="1"/>
  <c r="F67" i="3" s="1"/>
  <c r="F66" i="3" s="1"/>
  <c r="F411" i="3"/>
  <c r="F755" i="3"/>
  <c r="F791" i="3"/>
  <c r="F790" i="3" s="1"/>
  <c r="F828" i="3"/>
  <c r="F847" i="3"/>
  <c r="F846" i="3" s="1"/>
  <c r="F951" i="3"/>
  <c r="F950" i="3" s="1"/>
  <c r="F662" i="3"/>
  <c r="F661" i="3" s="1"/>
  <c r="F94" i="3"/>
  <c r="F775" i="3"/>
  <c r="F805" i="3"/>
  <c r="D44" i="2" s="1"/>
  <c r="G1133" i="4"/>
  <c r="G1129" i="4"/>
  <c r="G1105" i="4"/>
  <c r="G1103" i="4"/>
  <c r="G1097" i="4"/>
  <c r="G1095" i="4"/>
  <c r="G1093" i="4"/>
  <c r="G1087" i="4"/>
  <c r="G1084" i="4" s="1"/>
  <c r="G1083" i="4" s="1"/>
  <c r="G1082" i="4" s="1"/>
  <c r="G1081" i="4" s="1"/>
  <c r="G1073" i="4"/>
  <c r="G1072" i="4" s="1"/>
  <c r="G1071" i="4" s="1"/>
  <c r="G1070" i="4" s="1"/>
  <c r="G1069" i="4" s="1"/>
  <c r="G1064" i="4"/>
  <c r="G1061" i="4"/>
  <c r="G1060" i="4" s="1"/>
  <c r="G1057" i="4"/>
  <c r="G1055" i="4"/>
  <c r="G1053" i="4"/>
  <c r="G1044" i="4"/>
  <c r="G1043" i="4" s="1"/>
  <c r="G1041" i="4"/>
  <c r="G1040" i="4" s="1"/>
  <c r="G1034" i="4"/>
  <c r="G1033" i="4" s="1"/>
  <c r="G1031" i="4"/>
  <c r="G1030" i="4" s="1"/>
  <c r="G1019" i="4"/>
  <c r="G1018" i="4" s="1"/>
  <c r="G1016" i="4"/>
  <c r="G1015" i="4" s="1"/>
  <c r="G1013" i="4"/>
  <c r="G1012" i="4" s="1"/>
  <c r="G1010" i="4"/>
  <c r="G1008" i="4"/>
  <c r="G1001" i="4"/>
  <c r="G1000" i="4" s="1"/>
  <c r="G996" i="4"/>
  <c r="G995" i="4" s="1"/>
  <c r="G993" i="4"/>
  <c r="G992" i="4" s="1"/>
  <c r="G978" i="4"/>
  <c r="G975" i="4" s="1"/>
  <c r="G972" i="4"/>
  <c r="G961" i="4"/>
  <c r="G960" i="4" s="1"/>
  <c r="G959" i="4"/>
  <c r="G953" i="4"/>
  <c r="G952" i="4" s="1"/>
  <c r="G950" i="4"/>
  <c r="G949" i="4" s="1"/>
  <c r="G947" i="4"/>
  <c r="G946" i="4" s="1"/>
  <c r="G931" i="4"/>
  <c r="G930" i="4" s="1"/>
  <c r="G928" i="4"/>
  <c r="G927" i="4" s="1"/>
  <c r="G921" i="4"/>
  <c r="G918" i="4"/>
  <c r="F285" i="3" s="1"/>
  <c r="F284" i="3" s="1"/>
  <c r="F281" i="3" s="1"/>
  <c r="G923" i="4"/>
  <c r="G922" i="4" s="1"/>
  <c r="G913" i="4"/>
  <c r="G912" i="4" s="1"/>
  <c r="G911" i="4" s="1"/>
  <c r="G904" i="4"/>
  <c r="G899" i="4"/>
  <c r="G898" i="4" s="1"/>
  <c r="G897" i="4" s="1"/>
  <c r="G896" i="4" s="1"/>
  <c r="G895" i="4" s="1"/>
  <c r="G892" i="4"/>
  <c r="G891" i="4" s="1"/>
  <c r="G890" i="4" s="1"/>
  <c r="G889" i="4" s="1"/>
  <c r="G888" i="4" s="1"/>
  <c r="G887" i="4" s="1"/>
  <c r="G870" i="4"/>
  <c r="G868" i="4"/>
  <c r="G866" i="4"/>
  <c r="G862" i="4"/>
  <c r="G860" i="4"/>
  <c r="G856" i="4"/>
  <c r="G324" i="11" s="1"/>
  <c r="G323" i="11" s="1"/>
  <c r="G320" i="11" s="1"/>
  <c r="G319" i="11" s="1"/>
  <c r="G318" i="11" s="1"/>
  <c r="G317" i="11" s="1"/>
  <c r="G853" i="4"/>
  <c r="G832" i="4"/>
  <c r="G831" i="4" s="1"/>
  <c r="G829" i="4"/>
  <c r="G828" i="4" s="1"/>
  <c r="G820" i="4"/>
  <c r="G817" i="4"/>
  <c r="G813" i="4"/>
  <c r="G812" i="4" s="1"/>
  <c r="G805" i="4"/>
  <c r="G804" i="4" s="1"/>
  <c r="G802" i="4"/>
  <c r="G801" i="4" s="1"/>
  <c r="G799" i="4"/>
  <c r="G798" i="4" s="1"/>
  <c r="G796" i="4"/>
  <c r="G795" i="4" s="1"/>
  <c r="G779" i="4"/>
  <c r="G777" i="4"/>
  <c r="G775" i="4"/>
  <c r="G768" i="4"/>
  <c r="G766" i="4"/>
  <c r="G761" i="4"/>
  <c r="G759" i="4"/>
  <c r="G756" i="4"/>
  <c r="G755" i="4" s="1"/>
  <c r="G752" i="4"/>
  <c r="G745" i="4"/>
  <c r="G744" i="4" s="1"/>
  <c r="G743" i="4" s="1"/>
  <c r="G742" i="4" s="1"/>
  <c r="G739" i="4"/>
  <c r="G738" i="4" s="1"/>
  <c r="G736" i="4"/>
  <c r="G735" i="4" s="1"/>
  <c r="G733" i="4"/>
  <c r="G732" i="4" s="1"/>
  <c r="G721" i="4"/>
  <c r="G720" i="4" s="1"/>
  <c r="G719" i="4" s="1"/>
  <c r="G718" i="4" s="1"/>
  <c r="G716" i="4"/>
  <c r="G713" i="4"/>
  <c r="F565" i="3" s="1"/>
  <c r="G710" i="4"/>
  <c r="G707" i="4"/>
  <c r="F559" i="3" s="1"/>
  <c r="G704" i="4"/>
  <c r="F556" i="3" s="1"/>
  <c r="G701" i="4"/>
  <c r="G698" i="4"/>
  <c r="F550" i="3" s="1"/>
  <c r="G695" i="4"/>
  <c r="G694" i="4" s="1"/>
  <c r="G693" i="4" s="1"/>
  <c r="G691" i="4"/>
  <c r="G690" i="4" s="1"/>
  <c r="G688" i="4"/>
  <c r="G687" i="4" s="1"/>
  <c r="G680" i="4"/>
  <c r="G679" i="4" s="1"/>
  <c r="G677" i="4"/>
  <c r="G676" i="4" s="1"/>
  <c r="G674" i="4"/>
  <c r="G673" i="4" s="1"/>
  <c r="G671" i="4"/>
  <c r="G670" i="4" s="1"/>
  <c r="G668" i="4"/>
  <c r="G667" i="4" s="1"/>
  <c r="G665" i="4"/>
  <c r="G664" i="4" s="1"/>
  <c r="G663" i="4"/>
  <c r="G659" i="4"/>
  <c r="G658" i="4" s="1"/>
  <c r="G656" i="4"/>
  <c r="G655" i="4" s="1"/>
  <c r="G647" i="4"/>
  <c r="G646" i="4" s="1"/>
  <c r="G645" i="4" s="1"/>
  <c r="G644" i="4"/>
  <c r="G638" i="4"/>
  <c r="F482" i="3" s="1"/>
  <c r="G635" i="4"/>
  <c r="F479" i="3" s="1"/>
  <c r="G614" i="4"/>
  <c r="G613" i="4" s="1"/>
  <c r="G611" i="4"/>
  <c r="G610" i="4" s="1"/>
  <c r="G608" i="4"/>
  <c r="G607" i="4" s="1"/>
  <c r="G605" i="4"/>
  <c r="G604" i="4" s="1"/>
  <c r="G590" i="4"/>
  <c r="G589" i="4" s="1"/>
  <c r="G588" i="4" s="1"/>
  <c r="G576" i="4"/>
  <c r="G566" i="4"/>
  <c r="G565" i="4" s="1"/>
  <c r="G569" i="4"/>
  <c r="G568" i="4" s="1"/>
  <c r="G551" i="4"/>
  <c r="G550" i="4" s="1"/>
  <c r="G549" i="4" s="1"/>
  <c r="G544" i="4" s="1"/>
  <c r="G539" i="4" s="1"/>
  <c r="G537" i="4"/>
  <c r="G535" i="4"/>
  <c r="G533" i="4"/>
  <c r="G525" i="4"/>
  <c r="G524" i="4" s="1"/>
  <c r="G523" i="4" s="1"/>
  <c r="G517" i="4"/>
  <c r="G516" i="4" s="1"/>
  <c r="G514" i="4"/>
  <c r="G513" i="4" s="1"/>
  <c r="G510" i="4"/>
  <c r="G505" i="4"/>
  <c r="G503" i="4"/>
  <c r="G500" i="4"/>
  <c r="G499" i="4" s="1"/>
  <c r="G497" i="4"/>
  <c r="G496" i="4" s="1"/>
  <c r="G491" i="4"/>
  <c r="G490" i="4" s="1"/>
  <c r="G488" i="4"/>
  <c r="G56" i="5"/>
  <c r="G473" i="4"/>
  <c r="G472" i="4" s="1"/>
  <c r="G471" i="4" s="1"/>
  <c r="G470" i="4"/>
  <c r="G462" i="4"/>
  <c r="G29" i="5"/>
  <c r="G451" i="4"/>
  <c r="F801" i="3"/>
  <c r="F800" i="3" s="1"/>
  <c r="F798" i="3" s="1"/>
  <c r="F797" i="3" s="1"/>
  <c r="F796" i="3" s="1"/>
  <c r="G447" i="4"/>
  <c r="G443" i="4"/>
  <c r="G441" i="4"/>
  <c r="G429" i="4"/>
  <c r="G428" i="4" s="1"/>
  <c r="G423" i="4"/>
  <c r="G422" i="4" s="1"/>
  <c r="G417" i="4"/>
  <c r="G416" i="4" s="1"/>
  <c r="G407" i="4"/>
  <c r="F767" i="3" s="1"/>
  <c r="G404" i="4"/>
  <c r="F764" i="3" s="1"/>
  <c r="G401" i="4"/>
  <c r="G399" i="4"/>
  <c r="G397" i="4"/>
  <c r="G396" i="4" s="1"/>
  <c r="G391" i="4"/>
  <c r="G390" i="4" s="1"/>
  <c r="G389" i="4" s="1"/>
  <c r="G1179" i="4" s="1"/>
  <c r="G384" i="4"/>
  <c r="G383" i="4" s="1"/>
  <c r="G381" i="4"/>
  <c r="G380" i="4" s="1"/>
  <c r="G378" i="4"/>
  <c r="G377" i="4" s="1"/>
  <c r="G375" i="4"/>
  <c r="G374" i="4" s="1"/>
  <c r="G372" i="4"/>
  <c r="G371" i="4" s="1"/>
  <c r="G366" i="4"/>
  <c r="G364" i="4"/>
  <c r="G357" i="4"/>
  <c r="G355" i="4"/>
  <c r="G353" i="4"/>
  <c r="G347" i="4"/>
  <c r="G346" i="4" s="1"/>
  <c r="G344" i="4"/>
  <c r="G343" i="4" s="1"/>
  <c r="G341" i="4"/>
  <c r="G340" i="4" s="1"/>
  <c r="G338" i="4"/>
  <c r="G337" i="4" s="1"/>
  <c r="G335" i="4"/>
  <c r="G334" i="4" s="1"/>
  <c r="G325" i="4"/>
  <c r="G324" i="4" s="1"/>
  <c r="G323" i="4" s="1"/>
  <c r="G322" i="4" s="1"/>
  <c r="G321" i="4" s="1"/>
  <c r="G320" i="4"/>
  <c r="G317" i="4"/>
  <c r="G316" i="4" s="1"/>
  <c r="G315" i="4" s="1"/>
  <c r="G314" i="4"/>
  <c r="F632" i="3" s="1"/>
  <c r="G305" i="4"/>
  <c r="G304" i="4" s="1"/>
  <c r="G302" i="4"/>
  <c r="G301" i="4" s="1"/>
  <c r="G299" i="4"/>
  <c r="G298" i="4" s="1"/>
  <c r="G296" i="4"/>
  <c r="G295" i="4" s="1"/>
  <c r="G293" i="4"/>
  <c r="G292" i="4" s="1"/>
  <c r="G290" i="4"/>
  <c r="G289" i="4" s="1"/>
  <c r="F902" i="3"/>
  <c r="G232" i="4"/>
  <c r="G231" i="4" s="1"/>
  <c r="G230" i="4" s="1"/>
  <c r="G229" i="4" s="1"/>
  <c r="G227" i="4"/>
  <c r="G226" i="4" s="1"/>
  <c r="G225" i="4" s="1"/>
  <c r="G222" i="4"/>
  <c r="G221" i="4" s="1"/>
  <c r="G220" i="4" s="1"/>
  <c r="G219" i="4" s="1"/>
  <c r="G218" i="4" s="1"/>
  <c r="G216" i="4"/>
  <c r="G214" i="4"/>
  <c r="G200" i="4"/>
  <c r="G199" i="4" s="1"/>
  <c r="G195" i="4" s="1"/>
  <c r="G183" i="4"/>
  <c r="G182" i="4" s="1"/>
  <c r="G179" i="4"/>
  <c r="G165" i="4"/>
  <c r="G164" i="4" s="1"/>
  <c r="G163" i="4" s="1"/>
  <c r="G162" i="4" s="1"/>
  <c r="G161" i="4" s="1"/>
  <c r="G160" i="4" s="1"/>
  <c r="G156" i="4"/>
  <c r="G154" i="4"/>
  <c r="G151" i="4"/>
  <c r="G149" i="4"/>
  <c r="G145" i="4"/>
  <c r="G144" i="4" s="1"/>
  <c r="G142" i="4"/>
  <c r="G141" i="4" s="1"/>
  <c r="G139" i="4"/>
  <c r="G138" i="4" s="1"/>
  <c r="G136" i="4"/>
  <c r="G135" i="4" s="1"/>
  <c r="G131" i="4"/>
  <c r="G122" i="4"/>
  <c r="G121" i="4" s="1"/>
  <c r="G120" i="4"/>
  <c r="G111" i="4"/>
  <c r="G109" i="4"/>
  <c r="G90" i="4"/>
  <c r="G89" i="4" s="1"/>
  <c r="G88" i="4" s="1"/>
  <c r="G84" i="4"/>
  <c r="G70" i="4"/>
  <c r="G229" i="11" s="1"/>
  <c r="G228" i="11" s="1"/>
  <c r="G227" i="11" s="1"/>
  <c r="G226" i="11" s="1"/>
  <c r="G225" i="11" s="1"/>
  <c r="G224" i="11" s="1"/>
  <c r="G241" i="11" s="1"/>
  <c r="G66" i="4"/>
  <c r="G222" i="11" s="1"/>
  <c r="G221" i="11" s="1"/>
  <c r="G220" i="11" s="1"/>
  <c r="G60" i="4"/>
  <c r="G59" i="4"/>
  <c r="F61" i="3" s="1"/>
  <c r="F60" i="3" s="1"/>
  <c r="F59" i="3" s="1"/>
  <c r="F58" i="3" s="1"/>
  <c r="F57" i="3" s="1"/>
  <c r="F56" i="3" s="1"/>
  <c r="D17" i="2" s="1"/>
  <c r="F53" i="3"/>
  <c r="G41" i="4"/>
  <c r="G40" i="4" s="1"/>
  <c r="G38" i="4"/>
  <c r="F36" i="3"/>
  <c r="G26" i="4"/>
  <c r="G25" i="4" s="1"/>
  <c r="G24" i="4" s="1"/>
  <c r="G23" i="4" s="1"/>
  <c r="G21" i="4"/>
  <c r="G19" i="4"/>
  <c r="G17" i="4"/>
  <c r="I36" i="6" l="1"/>
  <c r="G32" i="6"/>
  <c r="G1102" i="4"/>
  <c r="G1101" i="4" s="1"/>
  <c r="G1100" i="4" s="1"/>
  <c r="G1099" i="4" s="1"/>
  <c r="G467" i="5"/>
  <c r="G79" i="4"/>
  <c r="G587" i="4"/>
  <c r="G1039" i="4"/>
  <c r="G415" i="4"/>
  <c r="G166" i="11"/>
  <c r="G165" i="11" s="1"/>
  <c r="G164" i="11" s="1"/>
  <c r="G163" i="11" s="1"/>
  <c r="G102" i="11" s="1"/>
  <c r="G1068" i="4"/>
  <c r="G603" i="4"/>
  <c r="G217" i="11"/>
  <c r="G223" i="11" s="1"/>
  <c r="G219" i="11"/>
  <c r="G218" i="11" s="1"/>
  <c r="G42" i="5"/>
  <c r="G41" i="5" s="1"/>
  <c r="G40" i="5" s="1"/>
  <c r="G39" i="5" s="1"/>
  <c r="G38" i="5" s="1"/>
  <c r="G37" i="5" s="1"/>
  <c r="G43" i="5" s="1"/>
  <c r="G34" i="5" s="1"/>
  <c r="G33" i="5" s="1"/>
  <c r="G37" i="11"/>
  <c r="G36" i="11" s="1"/>
  <c r="G35" i="11" s="1"/>
  <c r="G34" i="11" s="1"/>
  <c r="G33" i="11" s="1"/>
  <c r="G32" i="11" s="1"/>
  <c r="G72" i="5"/>
  <c r="G71" i="5" s="1"/>
  <c r="G70" i="5" s="1"/>
  <c r="G69" i="5" s="1"/>
  <c r="G68" i="5" s="1"/>
  <c r="G67" i="5" s="1"/>
  <c r="G73" i="5" s="1"/>
  <c r="G67" i="11"/>
  <c r="G66" i="11" s="1"/>
  <c r="G65" i="11" s="1"/>
  <c r="G64" i="11" s="1"/>
  <c r="G63" i="11" s="1"/>
  <c r="G62" i="11" s="1"/>
  <c r="G68" i="11" s="1"/>
  <c r="G105" i="5"/>
  <c r="G100" i="11"/>
  <c r="G99" i="11" s="1"/>
  <c r="G98" i="11" s="1"/>
  <c r="G97" i="11" s="1"/>
  <c r="G96" i="11" s="1"/>
  <c r="G95" i="11" s="1"/>
  <c r="G101" i="11" s="1"/>
  <c r="G325" i="11"/>
  <c r="G271" i="11"/>
  <c r="G194" i="4"/>
  <c r="G186" i="4" s="1"/>
  <c r="G1052" i="4"/>
  <c r="G1051" i="4" s="1"/>
  <c r="G903" i="4"/>
  <c r="G902" i="4" s="1"/>
  <c r="F638" i="3"/>
  <c r="F766" i="3"/>
  <c r="F765" i="3" s="1"/>
  <c r="F763" i="3" s="1"/>
  <c r="F760" i="3" s="1"/>
  <c r="G287" i="4"/>
  <c r="G286" i="4" s="1"/>
  <c r="F606" i="3"/>
  <c r="G368" i="5"/>
  <c r="G367" i="5" s="1"/>
  <c r="G366" i="5" s="1"/>
  <c r="G365" i="5" s="1"/>
  <c r="G65" i="4"/>
  <c r="G64" i="4" s="1"/>
  <c r="G63" i="4" s="1"/>
  <c r="G244" i="5"/>
  <c r="G243" i="5" s="1"/>
  <c r="G242" i="5" s="1"/>
  <c r="G241" i="5" s="1"/>
  <c r="G240" i="5" s="1"/>
  <c r="F78" i="3"/>
  <c r="F77" i="3" s="1"/>
  <c r="G178" i="4"/>
  <c r="G177" i="4" s="1"/>
  <c r="F226" i="3"/>
  <c r="F225" i="3" s="1"/>
  <c r="G652" i="4"/>
  <c r="G651" i="4" s="1"/>
  <c r="G650" i="4" s="1"/>
  <c r="G117" i="5"/>
  <c r="G116" i="5" s="1"/>
  <c r="G115" i="5" s="1"/>
  <c r="G114" i="5" s="1"/>
  <c r="F497" i="3"/>
  <c r="F496" i="3" s="1"/>
  <c r="F495" i="3" s="1"/>
  <c r="F494" i="3" s="1"/>
  <c r="F490" i="3" s="1"/>
  <c r="F489" i="3" s="1"/>
  <c r="F948" i="3"/>
  <c r="F947" i="3" s="1"/>
  <c r="G360" i="5"/>
  <c r="G939" i="4"/>
  <c r="G938" i="4" s="1"/>
  <c r="F312" i="3"/>
  <c r="G537" i="5"/>
  <c r="G36" i="4"/>
  <c r="F38" i="3"/>
  <c r="G257" i="5"/>
  <c r="G256" i="5" s="1"/>
  <c r="G255" i="5" s="1"/>
  <c r="F82" i="3"/>
  <c r="F81" i="3" s="1"/>
  <c r="F80" i="3" s="1"/>
  <c r="F79" i="3" s="1"/>
  <c r="G332" i="4"/>
  <c r="G331" i="4" s="1"/>
  <c r="F688" i="3"/>
  <c r="G399" i="5"/>
  <c r="G398" i="5" s="1"/>
  <c r="G397" i="5" s="1"/>
  <c r="G601" i="4"/>
  <c r="G600" i="4" s="1"/>
  <c r="G599" i="4" s="1"/>
  <c r="F446" i="3"/>
  <c r="F445" i="3" s="1"/>
  <c r="F444" i="3" s="1"/>
  <c r="F443" i="3" s="1"/>
  <c r="G113" i="5"/>
  <c r="G643" i="4"/>
  <c r="G642" i="4" s="1"/>
  <c r="F488" i="3"/>
  <c r="G700" i="4"/>
  <c r="G699" i="4" s="1"/>
  <c r="F553" i="3"/>
  <c r="G1028" i="4"/>
  <c r="G1027" i="4" s="1"/>
  <c r="G1026" i="4" s="1"/>
  <c r="F401" i="3"/>
  <c r="F400" i="3" s="1"/>
  <c r="F399" i="3" s="1"/>
  <c r="G172" i="4"/>
  <c r="G171" i="4" s="1"/>
  <c r="F220" i="3"/>
  <c r="G213" i="4"/>
  <c r="F274" i="3"/>
  <c r="G361" i="4"/>
  <c r="G360" i="4" s="1"/>
  <c r="F719" i="3"/>
  <c r="F718" i="3" s="1"/>
  <c r="F717" i="3" s="1"/>
  <c r="F716" i="3" s="1"/>
  <c r="G424" i="5"/>
  <c r="G423" i="5" s="1"/>
  <c r="G422" i="5" s="1"/>
  <c r="G421" i="5" s="1"/>
  <c r="F515" i="3"/>
  <c r="F514" i="3" s="1"/>
  <c r="F513" i="3" s="1"/>
  <c r="G177" i="5"/>
  <c r="G176" i="5" s="1"/>
  <c r="G175" i="5" s="1"/>
  <c r="G174" i="5" s="1"/>
  <c r="G715" i="4"/>
  <c r="G714" i="4" s="1"/>
  <c r="F568" i="3"/>
  <c r="G772" i="4"/>
  <c r="G771" i="4" s="1"/>
  <c r="F674" i="3"/>
  <c r="G793" i="4"/>
  <c r="G792" i="4" s="1"/>
  <c r="G306" i="5"/>
  <c r="G305" i="5" s="1"/>
  <c r="G304" i="5" s="1"/>
  <c r="F586" i="3"/>
  <c r="G826" i="4"/>
  <c r="G825" i="4" s="1"/>
  <c r="G824" i="4" s="1"/>
  <c r="F919" i="3"/>
  <c r="G334" i="5"/>
  <c r="G917" i="4"/>
  <c r="G916" i="4" s="1"/>
  <c r="G934" i="4"/>
  <c r="G933" i="4" s="1"/>
  <c r="F307" i="3"/>
  <c r="G532" i="5"/>
  <c r="G970" i="4"/>
  <c r="F343" i="3"/>
  <c r="F342" i="3" s="1"/>
  <c r="G215" i="4"/>
  <c r="F276" i="3"/>
  <c r="G920" i="4"/>
  <c r="G919" i="4" s="1"/>
  <c r="G915" i="4" s="1"/>
  <c r="F288" i="3"/>
  <c r="G1066" i="4"/>
  <c r="G1063" i="4" s="1"/>
  <c r="G1059" i="4" s="1"/>
  <c r="F439" i="3"/>
  <c r="G52" i="4"/>
  <c r="F55" i="3"/>
  <c r="F54" i="3" s="1"/>
  <c r="F52" i="3" s="1"/>
  <c r="G240" i="4"/>
  <c r="F904" i="3"/>
  <c r="G640" i="4"/>
  <c r="G639" i="4" s="1"/>
  <c r="F485" i="3"/>
  <c r="G709" i="4"/>
  <c r="G708" i="4" s="1"/>
  <c r="F562" i="3"/>
  <c r="G751" i="4"/>
  <c r="G750" i="4" s="1"/>
  <c r="G748" i="4" s="1"/>
  <c r="G747" i="4" s="1"/>
  <c r="G741" i="4" s="1"/>
  <c r="F649" i="3"/>
  <c r="F648" i="3" s="1"/>
  <c r="F647" i="3" s="1"/>
  <c r="F646" i="3" s="1"/>
  <c r="F645" i="3" s="1"/>
  <c r="F643" i="3" s="1"/>
  <c r="F635" i="3"/>
  <c r="G944" i="4"/>
  <c r="G943" i="4" s="1"/>
  <c r="F317" i="3"/>
  <c r="F316" i="3" s="1"/>
  <c r="F315" i="3" s="1"/>
  <c r="G542" i="5"/>
  <c r="G541" i="5" s="1"/>
  <c r="G540" i="5" s="1"/>
  <c r="G958" i="4"/>
  <c r="G957" i="4" s="1"/>
  <c r="G956" i="4" s="1"/>
  <c r="F331" i="3"/>
  <c r="F330" i="3" s="1"/>
  <c r="F329" i="3" s="1"/>
  <c r="F328" i="3" s="1"/>
  <c r="G1131" i="4"/>
  <c r="G1128" i="4" s="1"/>
  <c r="G1127" i="4" s="1"/>
  <c r="G1126" i="4" s="1"/>
  <c r="G1125" i="4" s="1"/>
  <c r="G1124" i="4" s="1"/>
  <c r="F972" i="3"/>
  <c r="F971" i="3" s="1"/>
  <c r="F969" i="3" s="1"/>
  <c r="F247" i="3"/>
  <c r="F246" i="3" s="1"/>
  <c r="F242" i="3" s="1"/>
  <c r="F241" i="3" s="1"/>
  <c r="D26" i="2"/>
  <c r="G148" i="4"/>
  <c r="F187" i="3"/>
  <c r="F186" i="3" s="1"/>
  <c r="G509" i="4"/>
  <c r="G508" i="4" s="1"/>
  <c r="G507" i="4" s="1"/>
  <c r="F864" i="3"/>
  <c r="F863" i="3" s="1"/>
  <c r="F862" i="3" s="1"/>
  <c r="F861" i="3" s="1"/>
  <c r="G130" i="4"/>
  <c r="G129" i="4" s="1"/>
  <c r="F175" i="3"/>
  <c r="F174" i="3" s="1"/>
  <c r="F173" i="3" s="1"/>
  <c r="G155" i="4"/>
  <c r="F194" i="3"/>
  <c r="F193" i="3" s="1"/>
  <c r="G119" i="4"/>
  <c r="G118" i="4" s="1"/>
  <c r="G107" i="4" s="1"/>
  <c r="F167" i="3"/>
  <c r="F166" i="3" s="1"/>
  <c r="F165" i="3" s="1"/>
  <c r="F145" i="3" s="1"/>
  <c r="G150" i="4"/>
  <c r="F189" i="3"/>
  <c r="F188" i="3" s="1"/>
  <c r="G28" i="5"/>
  <c r="G25" i="5" s="1"/>
  <c r="F818" i="3"/>
  <c r="F817" i="3" s="1"/>
  <c r="F814" i="3" s="1"/>
  <c r="F813" i="3" s="1"/>
  <c r="G477" i="4"/>
  <c r="G476" i="4" s="1"/>
  <c r="G475" i="4" s="1"/>
  <c r="G55" i="5"/>
  <c r="G54" i="5" s="1"/>
  <c r="G53" i="5" s="1"/>
  <c r="G52" i="5" s="1"/>
  <c r="G51" i="5" s="1"/>
  <c r="G59" i="5" s="1"/>
  <c r="F835" i="3"/>
  <c r="F834" i="3" s="1"/>
  <c r="F833" i="3" s="1"/>
  <c r="F832" i="3" s="1"/>
  <c r="F827" i="3"/>
  <c r="F826" i="3" s="1"/>
  <c r="F825" i="3" s="1"/>
  <c r="F824" i="3" s="1"/>
  <c r="G153" i="4"/>
  <c r="F192" i="3"/>
  <c r="F191" i="3" s="1"/>
  <c r="G487" i="4"/>
  <c r="G486" i="4" s="1"/>
  <c r="G485" i="4" s="1"/>
  <c r="F845" i="3"/>
  <c r="F844" i="3" s="1"/>
  <c r="F843" i="3" s="1"/>
  <c r="F842" i="3" s="1"/>
  <c r="G460" i="4"/>
  <c r="G456" i="4" s="1"/>
  <c r="G564" i="4"/>
  <c r="G440" i="4"/>
  <c r="G439" i="4" s="1"/>
  <c r="G532" i="4"/>
  <c r="G531" i="4" s="1"/>
  <c r="G530" i="4" s="1"/>
  <c r="G529" i="4" s="1"/>
  <c r="G528" i="4" s="1"/>
  <c r="G69" i="4"/>
  <c r="G68" i="4" s="1"/>
  <c r="G67" i="4" s="1"/>
  <c r="G1174" i="4" s="1"/>
  <c r="G1176" i="4"/>
  <c r="F789" i="3"/>
  <c r="G865" i="4"/>
  <c r="G864" i="4" s="1"/>
  <c r="G1092" i="4"/>
  <c r="G1091" i="4" s="1"/>
  <c r="G1090" i="4" s="1"/>
  <c r="G1089" i="4" s="1"/>
  <c r="G108" i="4"/>
  <c r="G859" i="4"/>
  <c r="G858" i="4" s="1"/>
  <c r="G1145" i="4"/>
  <c r="G313" i="4"/>
  <c r="G312" i="4" s="1"/>
  <c r="G403" i="4"/>
  <c r="G400" i="4" s="1"/>
  <c r="G731" i="4"/>
  <c r="G730" i="4" s="1"/>
  <c r="G717" i="4" s="1"/>
  <c r="G352" i="4"/>
  <c r="G363" i="4"/>
  <c r="G469" i="4"/>
  <c r="G468" i="4" s="1"/>
  <c r="G467" i="4" s="1"/>
  <c r="G502" i="4"/>
  <c r="G489" i="4" s="1"/>
  <c r="G765" i="4"/>
  <c r="G764" i="4" s="1"/>
  <c r="G712" i="4"/>
  <c r="G711" i="4" s="1"/>
  <c r="G58" i="4"/>
  <c r="G57" i="4" s="1"/>
  <c r="G56" i="4" s="1"/>
  <c r="G55" i="4" s="1"/>
  <c r="G54" i="4" s="1"/>
  <c r="G210" i="4"/>
  <c r="G209" i="4" s="1"/>
  <c r="G238" i="4"/>
  <c r="G50" i="4"/>
  <c r="G408" i="4"/>
  <c r="F770" i="3" s="1"/>
  <c r="F769" i="3" s="1"/>
  <c r="F768" i="3" s="1"/>
  <c r="F754" i="3" s="1"/>
  <c r="F753" i="3" s="1"/>
  <c r="G855" i="4"/>
  <c r="G852" i="4" s="1"/>
  <c r="G851" i="4" s="1"/>
  <c r="G850" i="4" s="1"/>
  <c r="G631" i="4"/>
  <c r="G630" i="4" s="1"/>
  <c r="G703" i="4"/>
  <c r="G702" i="4" s="1"/>
  <c r="G816" i="4"/>
  <c r="G815" i="4" s="1"/>
  <c r="G16" i="4"/>
  <c r="G15" i="4" s="1"/>
  <c r="G14" i="4" s="1"/>
  <c r="G13" i="4" s="1"/>
  <c r="G12" i="4" s="1"/>
  <c r="G449" i="4"/>
  <c r="G446" i="4" s="1"/>
  <c r="G445" i="4" s="1"/>
  <c r="G634" i="4"/>
  <c r="G633" i="4" s="1"/>
  <c r="G774" i="4"/>
  <c r="G758" i="4"/>
  <c r="G754" i="4" s="1"/>
  <c r="G1007" i="4"/>
  <c r="G1006" i="4" s="1"/>
  <c r="G398" i="4"/>
  <c r="G395" i="4" s="1"/>
  <c r="G34" i="4"/>
  <c r="G1175" i="4"/>
  <c r="G224" i="4"/>
  <c r="G520" i="4"/>
  <c r="G519" i="4" s="1"/>
  <c r="G512" i="4" s="1"/>
  <c r="G319" i="4"/>
  <c r="G318" i="4" s="1"/>
  <c r="G406" i="4"/>
  <c r="G405" i="4" s="1"/>
  <c r="G697" i="4"/>
  <c r="G696" i="4" s="1"/>
  <c r="G637" i="4"/>
  <c r="G636" i="4" s="1"/>
  <c r="G706" i="4"/>
  <c r="G705" i="4" s="1"/>
  <c r="G562" i="4"/>
  <c r="G561" i="4" s="1"/>
  <c r="G560" i="4" s="1"/>
  <c r="G559" i="4" s="1"/>
  <c r="G575" i="4"/>
  <c r="G574" i="4" s="1"/>
  <c r="G573" i="4" s="1"/>
  <c r="G572" i="4" s="1"/>
  <c r="G571" i="4" s="1"/>
  <c r="G662" i="4"/>
  <c r="G661" i="4" s="1"/>
  <c r="G654" i="4" s="1"/>
  <c r="G819" i="4"/>
  <c r="G818" i="4" s="1"/>
  <c r="G991" i="4"/>
  <c r="G31" i="6" l="1"/>
  <c r="I32" i="6"/>
  <c r="G1080" i="4"/>
  <c r="G236" i="5"/>
  <c r="G235" i="5" s="1"/>
  <c r="G234" i="5" s="1"/>
  <c r="G233" i="5" s="1"/>
  <c r="G232" i="5" s="1"/>
  <c r="G238" i="5" s="1"/>
  <c r="G239" i="5"/>
  <c r="G245" i="5" s="1"/>
  <c r="F233" i="3"/>
  <c r="D25" i="2" s="1"/>
  <c r="G926" i="4"/>
  <c r="F498" i="3"/>
  <c r="F493" i="3" s="1"/>
  <c r="F687" i="3"/>
  <c r="F686" i="3" s="1"/>
  <c r="G579" i="4"/>
  <c r="G578" i="4" s="1"/>
  <c r="G162" i="11"/>
  <c r="G141" i="11" s="1"/>
  <c r="G179" i="11" s="1"/>
  <c r="G170" i="4"/>
  <c r="G169" i="4" s="1"/>
  <c r="G168" i="4" s="1"/>
  <c r="G167" i="4" s="1"/>
  <c r="G1146" i="4" s="1"/>
  <c r="G330" i="4"/>
  <c r="G396" i="5"/>
  <c r="G395" i="5" s="1"/>
  <c r="G394" i="5" s="1"/>
  <c r="G418" i="5" s="1"/>
  <c r="G359" i="4"/>
  <c r="G791" i="4"/>
  <c r="G790" i="4" s="1"/>
  <c r="G38" i="11"/>
  <c r="G19" i="11"/>
  <c r="G534" i="11" s="1"/>
  <c r="G285" i="4"/>
  <c r="G284" i="4" s="1"/>
  <c r="G24" i="5"/>
  <c r="G23" i="5" s="1"/>
  <c r="G22" i="5" s="1"/>
  <c r="G36" i="5" s="1"/>
  <c r="G857" i="4"/>
  <c r="G849" i="4" s="1"/>
  <c r="G511" i="4"/>
  <c r="G333" i="5"/>
  <c r="G332" i="5" s="1"/>
  <c r="G823" i="4"/>
  <c r="G822" i="4" s="1"/>
  <c r="G1173" i="4"/>
  <c r="F774" i="3"/>
  <c r="D42" i="2" s="1"/>
  <c r="G969" i="4"/>
  <c r="G968" i="4" s="1"/>
  <c r="G955" i="4" s="1"/>
  <c r="F341" i="3"/>
  <c r="F340" i="3" s="1"/>
  <c r="F327" i="3" s="1"/>
  <c r="G811" i="4"/>
  <c r="G394" i="4"/>
  <c r="G598" i="4"/>
  <c r="G152" i="4"/>
  <c r="G910" i="4"/>
  <c r="G909" i="4" s="1"/>
  <c r="G1050" i="4"/>
  <c r="G1049" i="4" s="1"/>
  <c r="G1170" i="4"/>
  <c r="G901" i="4"/>
  <c r="G894" i="4" s="1"/>
  <c r="G173" i="5"/>
  <c r="G152" i="5" s="1"/>
  <c r="G199" i="5" s="1"/>
  <c r="G254" i="5"/>
  <c r="G253" i="5" s="1"/>
  <c r="G252" i="5" s="1"/>
  <c r="G270" i="5" s="1"/>
  <c r="G237" i="4"/>
  <c r="G236" i="4" s="1"/>
  <c r="G235" i="4" s="1"/>
  <c r="G234" i="4" s="1"/>
  <c r="G217" i="4" s="1"/>
  <c r="G11" i="4"/>
  <c r="G420" i="5"/>
  <c r="G419" i="5" s="1"/>
  <c r="G455" i="5" s="1"/>
  <c r="F391" i="3"/>
  <c r="F390" i="3" s="1"/>
  <c r="F388" i="3" s="1"/>
  <c r="F387" i="3" s="1"/>
  <c r="F385" i="3" s="1"/>
  <c r="F384" i="3" s="1"/>
  <c r="F382" i="3" s="1"/>
  <c r="F380" i="3" s="1"/>
  <c r="F379" i="3" s="1"/>
  <c r="F378" i="3" s="1"/>
  <c r="F398" i="3"/>
  <c r="F397" i="3" s="1"/>
  <c r="G1025" i="4"/>
  <c r="G649" i="4"/>
  <c r="G33" i="4"/>
  <c r="G32" i="4" s="1"/>
  <c r="G147" i="4"/>
  <c r="G49" i="4"/>
  <c r="G48" i="4" s="1"/>
  <c r="G770" i="4"/>
  <c r="G763" i="4" s="1"/>
  <c r="G753" i="4" s="1"/>
  <c r="G212" i="4"/>
  <c r="F311" i="3"/>
  <c r="F310" i="3" s="1"/>
  <c r="G536" i="5"/>
  <c r="G535" i="5" s="1"/>
  <c r="G531" i="5" s="1"/>
  <c r="G530" i="5" s="1"/>
  <c r="G528" i="5" s="1"/>
  <c r="G527" i="5" s="1"/>
  <c r="G522" i="5" s="1"/>
  <c r="G521" i="5" s="1"/>
  <c r="G520" i="5" s="1"/>
  <c r="G552" i="5" s="1"/>
  <c r="F43" i="3"/>
  <c r="F42" i="3" s="1"/>
  <c r="F41" i="3" s="1"/>
  <c r="F39" i="3" s="1"/>
  <c r="F37" i="3" s="1"/>
  <c r="F35" i="3" s="1"/>
  <c r="F34" i="3" s="1"/>
  <c r="F33" i="3" s="1"/>
  <c r="F51" i="3"/>
  <c r="F50" i="3" s="1"/>
  <c r="F962" i="3"/>
  <c r="F960" i="3" s="1"/>
  <c r="F958" i="3" s="1"/>
  <c r="F957" i="3" s="1"/>
  <c r="F956" i="3" s="1"/>
  <c r="F949" i="3" s="1"/>
  <c r="F968" i="3"/>
  <c r="F967" i="3" s="1"/>
  <c r="F966" i="3" s="1"/>
  <c r="F965" i="3" s="1"/>
  <c r="F642" i="3"/>
  <c r="F637" i="3" s="1"/>
  <c r="F636" i="3" s="1"/>
  <c r="F634" i="3" s="1"/>
  <c r="F633" i="3" s="1"/>
  <c r="F631" i="3" s="1"/>
  <c r="F630" i="3" s="1"/>
  <c r="F641" i="3"/>
  <c r="F640" i="3" s="1"/>
  <c r="F639" i="3" s="1"/>
  <c r="D38" i="2" s="1"/>
  <c r="G320" i="5"/>
  <c r="G319" i="5" s="1"/>
  <c r="G297" i="5"/>
  <c r="G296" i="5" s="1"/>
  <c r="G295" i="5" s="1"/>
  <c r="G294" i="5" s="1"/>
  <c r="G293" i="5" s="1"/>
  <c r="G299" i="5" s="1"/>
  <c r="G290" i="5" s="1"/>
  <c r="G289" i="5" s="1"/>
  <c r="G288" i="5" s="1"/>
  <c r="G287" i="5" s="1"/>
  <c r="G286" i="5" s="1"/>
  <c r="G292" i="5" s="1"/>
  <c r="G283" i="5" s="1"/>
  <c r="G282" i="5" s="1"/>
  <c r="G281" i="5" s="1"/>
  <c r="G280" i="5" s="1"/>
  <c r="G279" i="5" s="1"/>
  <c r="F373" i="3"/>
  <c r="F372" i="3" s="1"/>
  <c r="F368" i="3" s="1"/>
  <c r="F367" i="3" s="1"/>
  <c r="F945" i="3"/>
  <c r="F918" i="3" s="1"/>
  <c r="F916" i="3" s="1"/>
  <c r="F219" i="3"/>
  <c r="F218" i="3" s="1"/>
  <c r="F224" i="3"/>
  <c r="F306" i="3"/>
  <c r="F305" i="3" s="1"/>
  <c r="F303" i="3" s="1"/>
  <c r="F302" i="3" s="1"/>
  <c r="F705" i="3"/>
  <c r="F704" i="3" s="1"/>
  <c r="F702" i="3" s="1"/>
  <c r="F701" i="3" s="1"/>
  <c r="G749" i="4"/>
  <c r="F190" i="3"/>
  <c r="F438" i="3"/>
  <c r="F436" i="3" s="1"/>
  <c r="G359" i="5"/>
  <c r="G364" i="5"/>
  <c r="G363" i="5" s="1"/>
  <c r="G393" i="5" s="1"/>
  <c r="F812" i="3"/>
  <c r="F811" i="3" s="1"/>
  <c r="D45" i="2" s="1"/>
  <c r="F487" i="3"/>
  <c r="F486" i="3" s="1"/>
  <c r="F484" i="3" s="1"/>
  <c r="F483" i="3" s="1"/>
  <c r="F481" i="3" s="1"/>
  <c r="F480" i="3" s="1"/>
  <c r="F478" i="3" s="1"/>
  <c r="F477" i="3" s="1"/>
  <c r="F473" i="3" s="1"/>
  <c r="F472" i="3" s="1"/>
  <c r="F325" i="3"/>
  <c r="F324" i="3" s="1"/>
  <c r="F293" i="3"/>
  <c r="F287" i="3" s="1"/>
  <c r="F286" i="3" s="1"/>
  <c r="F275" i="3" s="1"/>
  <c r="F273" i="3" s="1"/>
  <c r="F680" i="3"/>
  <c r="F678" i="3" s="1"/>
  <c r="F676" i="3" s="1"/>
  <c r="G112" i="5"/>
  <c r="G111" i="5" s="1"/>
  <c r="G110" i="5" s="1"/>
  <c r="F442" i="3"/>
  <c r="F75" i="3"/>
  <c r="F76" i="3"/>
  <c r="F185" i="3"/>
  <c r="G558" i="4"/>
  <c r="G557" i="4" s="1"/>
  <c r="G455" i="4"/>
  <c r="G1160" i="4" s="1"/>
  <c r="G438" i="4"/>
  <c r="G414" i="4" s="1"/>
  <c r="G311" i="4"/>
  <c r="G310" i="4" s="1"/>
  <c r="G626" i="4"/>
  <c r="G625" i="4" s="1"/>
  <c r="G990" i="4"/>
  <c r="G686" i="4"/>
  <c r="G685" i="4" s="1"/>
  <c r="G1165" i="4"/>
  <c r="G1117" i="4"/>
  <c r="G1183" i="4"/>
  <c r="G30" i="6" l="1"/>
  <c r="I31" i="6"/>
  <c r="G134" i="4"/>
  <c r="G106" i="4" s="1"/>
  <c r="G62" i="4" s="1"/>
  <c r="F685" i="3"/>
  <c r="F684" i="3" s="1"/>
  <c r="F683" i="3" s="1"/>
  <c r="D41" i="2" s="1"/>
  <c r="D40" i="2" s="1"/>
  <c r="F217" i="3"/>
  <c r="F216" i="3" s="1"/>
  <c r="F215" i="3" s="1"/>
  <c r="G331" i="5"/>
  <c r="G330" i="5" s="1"/>
  <c r="G329" i="5" s="1"/>
  <c r="G303" i="5"/>
  <c r="G302" i="5" s="1"/>
  <c r="G301" i="5" s="1"/>
  <c r="G328" i="5" s="1"/>
  <c r="G556" i="4"/>
  <c r="G527" i="4" s="1"/>
  <c r="G1151" i="4"/>
  <c r="G1171" i="4"/>
  <c r="F178" i="3"/>
  <c r="F144" i="3" s="1"/>
  <c r="F74" i="3" s="1"/>
  <c r="G810" i="4"/>
  <c r="G789" i="4" s="1"/>
  <c r="G788" i="4" s="1"/>
  <c r="G1155" i="4"/>
  <c r="G393" i="4"/>
  <c r="G1158" i="4"/>
  <c r="G1161" i="4"/>
  <c r="G283" i="4"/>
  <c r="G282" i="4" s="1"/>
  <c r="G1079" i="4"/>
  <c r="G208" i="4"/>
  <c r="G1138" i="4" s="1"/>
  <c r="G821" i="4"/>
  <c r="G1162" i="4" s="1"/>
  <c r="G1163" i="4" s="1"/>
  <c r="G1177" i="4"/>
  <c r="G1180" i="4"/>
  <c r="G989" i="4"/>
  <c r="G597" i="4"/>
  <c r="G1182" i="4"/>
  <c r="G31" i="4"/>
  <c r="G30" i="4" s="1"/>
  <c r="G1172" i="4"/>
  <c r="G329" i="4"/>
  <c r="G1178" i="4" s="1"/>
  <c r="G925" i="4"/>
  <c r="F292" i="3"/>
  <c r="F298" i="3"/>
  <c r="F944" i="3"/>
  <c r="F943" i="3" s="1"/>
  <c r="F942" i="3" s="1"/>
  <c r="F941" i="3" s="1"/>
  <c r="D50" i="2" s="1"/>
  <c r="F441" i="3"/>
  <c r="D35" i="2" s="1"/>
  <c r="G357" i="5"/>
  <c r="G356" i="5" s="1"/>
  <c r="G355" i="5" s="1"/>
  <c r="G354" i="5" s="1"/>
  <c r="G353" i="5" s="1"/>
  <c r="G361" i="5" s="1"/>
  <c r="F365" i="3"/>
  <c r="F364" i="3" s="1"/>
  <c r="F363" i="3" s="1"/>
  <c r="F362" i="3" s="1"/>
  <c r="G104" i="5"/>
  <c r="G103" i="5" s="1"/>
  <c r="G102" i="5" s="1"/>
  <c r="G101" i="5" s="1"/>
  <c r="G100" i="5" s="1"/>
  <c r="G106" i="5" s="1"/>
  <c r="G109" i="5"/>
  <c r="G108" i="5" s="1"/>
  <c r="G107" i="5" s="1"/>
  <c r="F258" i="3"/>
  <c r="F272" i="3"/>
  <c r="F433" i="3"/>
  <c r="F432" i="3" s="1"/>
  <c r="F435" i="3"/>
  <c r="G275" i="5"/>
  <c r="G274" i="5" s="1"/>
  <c r="G273" i="5" s="1"/>
  <c r="G272" i="5" s="1"/>
  <c r="G271" i="5" s="1"/>
  <c r="G277" i="5" s="1"/>
  <c r="G278" i="5"/>
  <c r="G285" i="5"/>
  <c r="F617" i="3"/>
  <c r="F616" i="3" s="1"/>
  <c r="F605" i="3" s="1"/>
  <c r="F604" i="3" s="1"/>
  <c r="F603" i="3" s="1"/>
  <c r="F629" i="3"/>
  <c r="F628" i="3" s="1"/>
  <c r="F32" i="3"/>
  <c r="F31" i="3" s="1"/>
  <c r="D16" i="2" s="1"/>
  <c r="F673" i="3"/>
  <c r="F672" i="3" s="1"/>
  <c r="F675" i="3"/>
  <c r="G362" i="5"/>
  <c r="F964" i="3"/>
  <c r="D52" i="2"/>
  <c r="D51" i="2" s="1"/>
  <c r="I990" i="10" s="1"/>
  <c r="F907" i="3"/>
  <c r="F906" i="3" s="1"/>
  <c r="F905" i="3" s="1"/>
  <c r="F903" i="3" s="1"/>
  <c r="F901" i="3" s="1"/>
  <c r="F917" i="3"/>
  <c r="F915" i="3"/>
  <c r="F914" i="3" s="1"/>
  <c r="G648" i="4"/>
  <c r="G454" i="4"/>
  <c r="G453" i="4" s="1"/>
  <c r="G1159" i="4" s="1"/>
  <c r="I30" i="6" l="1"/>
  <c r="G28" i="6"/>
  <c r="G29" i="6"/>
  <c r="I29" i="6" s="1"/>
  <c r="G1143" i="4"/>
  <c r="I987" i="10"/>
  <c r="G335" i="5"/>
  <c r="G352" i="5"/>
  <c r="G207" i="4"/>
  <c r="G29" i="4"/>
  <c r="G596" i="4"/>
  <c r="G577" i="4" s="1"/>
  <c r="F268" i="3"/>
  <c r="F267" i="3" s="1"/>
  <c r="G1187" i="4"/>
  <c r="F361" i="3"/>
  <c r="D32" i="2" s="1"/>
  <c r="D19" i="2"/>
  <c r="D13" i="2" s="1"/>
  <c r="F431" i="3"/>
  <c r="F429" i="3"/>
  <c r="F424" i="3" s="1"/>
  <c r="F423" i="3" s="1"/>
  <c r="F280" i="3"/>
  <c r="G328" i="4"/>
  <c r="G327" i="4" s="1"/>
  <c r="G242" i="4" s="1"/>
  <c r="F297" i="3"/>
  <c r="D31" i="2" s="1"/>
  <c r="F257" i="3"/>
  <c r="F256" i="3" s="1"/>
  <c r="F255" i="3" s="1"/>
  <c r="F682" i="3"/>
  <c r="F671" i="3"/>
  <c r="F660" i="3" s="1"/>
  <c r="F650" i="3" s="1"/>
  <c r="D39" i="2" s="1"/>
  <c r="G21" i="5"/>
  <c r="F594" i="3"/>
  <c r="F593" i="3" s="1"/>
  <c r="F585" i="3" s="1"/>
  <c r="F584" i="3" s="1"/>
  <c r="F583" i="3" s="1"/>
  <c r="F602" i="3"/>
  <c r="D23" i="2"/>
  <c r="D22" i="2" s="1"/>
  <c r="I983" i="10" s="1"/>
  <c r="F214" i="3"/>
  <c r="G122" i="5"/>
  <c r="F892" i="3"/>
  <c r="F891" i="3" s="1"/>
  <c r="F890" i="3" s="1"/>
  <c r="F889" i="3" s="1"/>
  <c r="F900" i="3"/>
  <c r="F899" i="3" s="1"/>
  <c r="D49" i="2"/>
  <c r="D48" i="2" s="1"/>
  <c r="I989" i="10" s="1"/>
  <c r="F913" i="3"/>
  <c r="G300" i="5"/>
  <c r="G908" i="4"/>
  <c r="G781" i="4"/>
  <c r="G48" i="6" l="1"/>
  <c r="I48" i="6" s="1"/>
  <c r="I28" i="6"/>
  <c r="G635" i="5"/>
  <c r="G202" i="4"/>
  <c r="G1149" i="4" s="1"/>
  <c r="F262" i="3"/>
  <c r="D28" i="2" s="1"/>
  <c r="F898" i="3"/>
  <c r="F897" i="3" s="1"/>
  <c r="D47" i="2" s="1"/>
  <c r="D43" i="2" s="1"/>
  <c r="I988" i="10" s="1"/>
  <c r="F279" i="3"/>
  <c r="F278" i="3" s="1"/>
  <c r="D30" i="2" s="1"/>
  <c r="G1142" i="4"/>
  <c r="G1144" i="4" s="1"/>
  <c r="I981" i="10"/>
  <c r="G1156" i="4"/>
  <c r="G1157" i="4" s="1"/>
  <c r="G1153" i="4"/>
  <c r="G1154" i="4" s="1"/>
  <c r="F12" i="3"/>
  <c r="G872" i="4"/>
  <c r="G1150" i="4"/>
  <c r="G1152" i="4" s="1"/>
  <c r="F422" i="3"/>
  <c r="F421" i="3" s="1"/>
  <c r="D33" i="2" s="1"/>
  <c r="D27" i="2"/>
  <c r="D20" i="2"/>
  <c r="F573" i="3"/>
  <c r="F572" i="3" s="1"/>
  <c r="F571" i="3" s="1"/>
  <c r="F570" i="3" s="1"/>
  <c r="F582" i="3"/>
  <c r="G185" i="4" l="1"/>
  <c r="G1147" i="4" s="1"/>
  <c r="G1148" i="4" s="1"/>
  <c r="G1167" i="4" s="1"/>
  <c r="F232" i="3"/>
  <c r="D24" i="2"/>
  <c r="I984" i="10" s="1"/>
  <c r="F804" i="3"/>
  <c r="D29" i="2"/>
  <c r="I985" i="10" s="1"/>
  <c r="F277" i="3"/>
  <c r="F567" i="3"/>
  <c r="F566" i="3" s="1"/>
  <c r="F564" i="3" s="1"/>
  <c r="F563" i="3" s="1"/>
  <c r="F561" i="3" s="1"/>
  <c r="F560" i="3" s="1"/>
  <c r="F558" i="3" s="1"/>
  <c r="F557" i="3" s="1"/>
  <c r="F555" i="3" s="1"/>
  <c r="F554" i="3" s="1"/>
  <c r="F552" i="3" s="1"/>
  <c r="F551" i="3" s="1"/>
  <c r="F549" i="3" s="1"/>
  <c r="F548" i="3" s="1"/>
  <c r="F546" i="3" s="1"/>
  <c r="F545" i="3" s="1"/>
  <c r="F538" i="3" s="1"/>
  <c r="F537" i="3" s="1"/>
  <c r="F492" i="3" s="1"/>
  <c r="F569" i="3"/>
  <c r="D37" i="2" s="1"/>
  <c r="G1166" i="4" l="1"/>
  <c r="G1168" i="4" s="1"/>
  <c r="G28" i="4"/>
  <c r="G1135" i="4" s="1"/>
  <c r="D54" i="2" s="1"/>
  <c r="D36" i="2"/>
  <c r="D34" i="2" s="1"/>
  <c r="F440" i="3"/>
  <c r="F975" i="3" s="1"/>
  <c r="G1137" i="4" l="1"/>
  <c r="G1169" i="4" s="1"/>
  <c r="I986" i="10"/>
  <c r="D53" i="2"/>
  <c r="C22" i="7" l="1"/>
  <c r="C23" i="7" s="1"/>
  <c r="D55" i="2"/>
  <c r="I991" i="10"/>
  <c r="K36" i="4"/>
  <c r="K33" i="4" s="1"/>
  <c r="K32" i="4" s="1"/>
  <c r="K31" i="4" s="1"/>
  <c r="K30" i="4" s="1"/>
  <c r="K1143" i="4" l="1"/>
  <c r="K1167" i="4" s="1"/>
  <c r="E22" i="7"/>
  <c r="E23" i="7" s="1"/>
  <c r="E17" i="7" s="1"/>
  <c r="E16" i="7" s="1"/>
  <c r="E13" i="7" s="1"/>
  <c r="C17" i="7"/>
  <c r="K29" i="4"/>
  <c r="K1142" i="4" s="1"/>
  <c r="E18" i="7" l="1"/>
  <c r="C18" i="7"/>
  <c r="F18" i="7" s="1"/>
  <c r="C16" i="7"/>
  <c r="F17" i="7"/>
  <c r="K1144" i="4"/>
  <c r="K1166" i="4"/>
  <c r="K1168" i="4" s="1"/>
  <c r="K28" i="4"/>
  <c r="K1135" i="4" s="1"/>
  <c r="G54" i="2" s="1"/>
  <c r="G55" i="2" s="1"/>
  <c r="K1137" i="4" l="1"/>
  <c r="I976" i="3"/>
  <c r="I977" i="3" s="1"/>
  <c r="C13" i="7"/>
  <c r="F13" i="7" s="1"/>
  <c r="F16" i="7"/>
  <c r="K99" i="1" l="1"/>
  <c r="K104" i="1"/>
  <c r="K105" i="1"/>
  <c r="K107" i="1"/>
  <c r="K103" i="1"/>
  <c r="K106" i="1"/>
  <c r="K101" i="1"/>
  <c r="K108" i="1"/>
  <c r="K102" i="1"/>
  <c r="K98" i="1"/>
  <c r="K100" i="1"/>
  <c r="K97" i="1"/>
  <c r="K96" i="1"/>
  <c r="J164" i="1"/>
  <c r="K164" i="1" l="1"/>
  <c r="K21" i="7"/>
  <c r="K23" i="7" s="1"/>
  <c r="K17" i="7" s="1"/>
  <c r="K16" i="7" l="1"/>
  <c r="K13" i="7" s="1"/>
  <c r="K18" i="7"/>
  <c r="L18" i="7" s="1"/>
</calcChain>
</file>

<file path=xl/sharedStrings.xml><?xml version="1.0" encoding="utf-8"?>
<sst xmlns="http://schemas.openxmlformats.org/spreadsheetml/2006/main" count="19129" uniqueCount="1055">
  <si>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</si>
  <si>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</si>
  <si>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</si>
  <si>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</si>
  <si>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</si>
  <si>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</si>
  <si>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</si>
  <si>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</si>
  <si>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</si>
  <si>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</si>
  <si>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</si>
  <si>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</si>
  <si>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</si>
  <si>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</si>
  <si>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</si>
  <si>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</si>
  <si>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</si>
  <si>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</si>
  <si>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</si>
  <si>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</si>
  <si>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</si>
  <si>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</si>
  <si>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</si>
  <si>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</si>
  <si>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</si>
  <si>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</si>
  <si>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</si>
  <si>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</si>
  <si>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</si>
  <si>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</si>
  <si>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</si>
  <si>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</si>
  <si>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</si>
  <si>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</si>
  <si>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</si>
  <si>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</si>
  <si>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</si>
  <si>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</si>
  <si>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</si>
  <si>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</si>
  <si>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</si>
  <si>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</si>
  <si>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</si>
  <si>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</si>
  <si>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</si>
  <si>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</si>
  <si>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</si>
  <si>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</si>
  <si>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</si>
  <si>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</si>
  <si>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</si>
  <si>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</si>
  <si>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</si>
  <si>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</si>
  <si>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</si>
  <si>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</si>
  <si>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</si>
  <si>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</si>
  <si>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</si>
  <si>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</si>
  <si>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</si>
  <si>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</si>
  <si>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</si>
  <si>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</si>
  <si>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</si>
  <si>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</si>
  <si>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</si>
  <si>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</si>
  <si>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</si>
  <si>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</si>
  <si>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</si>
  <si>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</si>
  <si>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</si>
  <si>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</si>
  <si>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</si>
  <si>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</si>
  <si>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</si>
  <si>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</si>
  <si>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</si>
  <si>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</si>
  <si>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</si>
  <si>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</si>
  <si>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</si>
  <si>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</si>
  <si>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</si>
  <si>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</si>
  <si>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</si>
  <si>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</si>
  <si>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</si>
  <si>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</si>
  <si>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</si>
  <si>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</si>
  <si>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</si>
  <si>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</si>
  <si>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</si>
  <si>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</si>
  <si>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</si>
  <si>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</si>
  <si>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</si>
  <si>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</si>
  <si>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</si>
  <si>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</si>
  <si>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</si>
  <si>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</si>
  <si>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</si>
  <si>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</si>
  <si>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</si>
  <si>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</si>
  <si>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</si>
  <si>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</si>
  <si>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</si>
  <si>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</si>
  <si>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</si>
  <si>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</si>
  <si>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</si>
  <si>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</si>
  <si>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</si>
  <si>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</si>
  <si>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</si>
  <si>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</si>
  <si>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</si>
  <si>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</si>
  <si>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</si>
  <si>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</si>
  <si>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</si>
  <si>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</si>
  <si>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</si>
  <si>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</si>
  <si>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</si>
  <si>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</si>
  <si>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</si>
  <si>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</si>
  <si>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</si>
  <si>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</si>
  <si>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</si>
  <si>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</si>
  <si>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</si>
  <si>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</si>
  <si>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</si>
  <si>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</si>
  <si>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</si>
  <si>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</si>
  <si>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</si>
  <si>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</si>
  <si>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</si>
  <si>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</si>
  <si>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</si>
  <si>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</si>
  <si>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</si>
  <si>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</si>
  <si>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</si>
  <si>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</si>
  <si>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</si>
  <si>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</si>
  <si>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</si>
  <si>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</si>
  <si>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</si>
  <si>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</si>
  <si>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</si>
  <si>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</si>
  <si>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</si>
  <si>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</si>
  <si>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</si>
  <si>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</si>
  <si>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</si>
  <si>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</si>
  <si>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</si>
  <si>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</si>
  <si>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</si>
  <si>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</si>
  <si>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</si>
  <si>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</si>
  <si>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</si>
  <si>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</si>
  <si>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</si>
  <si>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</si>
  <si>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</si>
  <si>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</si>
  <si>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</si>
  <si>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</si>
  <si>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</si>
  <si>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</si>
  <si>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</si>
  <si>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</si>
  <si>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</si>
  <si>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</si>
  <si>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</si>
  <si>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</si>
  <si>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</si>
  <si>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</si>
  <si>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</si>
  <si>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</si>
  <si>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</si>
  <si>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</si>
  <si>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</si>
  <si>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</si>
  <si>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</si>
  <si>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</si>
  <si>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</si>
  <si>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</si>
  <si>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</si>
  <si>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</si>
  <si>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</si>
  <si>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</si>
  <si>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</si>
  <si>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</si>
  <si>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</si>
  <si>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</si>
  <si>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</si>
  <si>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</si>
  <si>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</si>
  <si>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</si>
  <si>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</si>
  <si>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</si>
  <si>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</si>
  <si>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</si>
  <si>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</si>
  <si>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</si>
  <si>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</si>
  <si>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</si>
  <si>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</si>
  <si>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</si>
  <si>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</si>
  <si>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</si>
  <si>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</si>
  <si>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</si>
  <si>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</si>
  <si>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</si>
  <si>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</si>
  <si>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</si>
  <si>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</si>
  <si>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</si>
  <si>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</si>
  <si>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</si>
  <si>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</si>
  <si>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</si>
  <si>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</si>
  <si>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</si>
  <si>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</si>
  <si>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</si>
  <si>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</si>
  <si>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</si>
  <si>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</si>
  <si>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</si>
  <si>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</si>
  <si>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</si>
  <si>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</si>
  <si>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</si>
  <si>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</si>
  <si>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</si>
  <si>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</si>
  <si>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</si>
  <si>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</si>
  <si>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</si>
  <si>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</si>
  <si>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</si>
  <si>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</si>
  <si>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</si>
  <si>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</si>
  <si>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</si>
  <si>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</si>
  <si>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</si>
  <si>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</si>
  <si>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</si>
  <si>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</si>
  <si>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</si>
  <si>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</si>
  <si>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</si>
  <si>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</si>
  <si>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</si>
  <si>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</si>
  <si>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</si>
  <si>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</si>
  <si>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</si>
  <si>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</si>
  <si>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</si>
  <si>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</si>
  <si>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</si>
  <si>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</si>
  <si>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</si>
  <si>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</si>
  <si>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</si>
  <si>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</si>
  <si>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</si>
  <si>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</si>
  <si>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</si>
  <si>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</si>
  <si>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</si>
  <si>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</si>
  <si>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</si>
  <si>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</si>
  <si>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</si>
  <si>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</si>
  <si>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</si>
  <si>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</si>
  <si>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</si>
  <si>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</si>
  <si>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</si>
  <si>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</si>
  <si>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</si>
  <si>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</si>
  <si>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</si>
  <si>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</si>
  <si>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</si>
  <si>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</si>
  <si>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</si>
  <si>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</si>
  <si>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</si>
  <si>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</si>
  <si>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</si>
  <si>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</si>
  <si>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</si>
  <si>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</si>
  <si>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</si>
  <si>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</si>
  <si>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</si>
  <si>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</si>
  <si>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</si>
  <si>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</si>
  <si>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</si>
  <si>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</si>
  <si>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</si>
  <si>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</si>
  <si>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</si>
  <si>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</si>
  <si>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</si>
  <si>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</si>
  <si>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</si>
  <si>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</si>
  <si>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</si>
  <si>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</si>
  <si>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</si>
  <si>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</si>
  <si>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</si>
  <si>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</si>
  <si>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</si>
  <si>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</si>
  <si>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</si>
  <si>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</si>
  <si>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</si>
  <si>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</si>
  <si>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</si>
  <si>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</si>
  <si>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</si>
  <si>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</si>
  <si>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</si>
  <si>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</si>
  <si>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</si>
  <si>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</si>
  <si>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</si>
  <si>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</si>
  <si>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</si>
  <si>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</si>
  <si>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</si>
  <si>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</si>
  <si>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</si>
  <si>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</si>
  <si>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</si>
  <si>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</si>
  <si>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</si>
  <si>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</si>
  <si>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</si>
  <si>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</si>
  <si>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</si>
  <si>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</si>
  <si>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</si>
  <si>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</si>
  <si>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</si>
  <si>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</si>
  <si>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</si>
  <si>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</si>
  <si>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</si>
  <si>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</si>
  <si>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</si>
  <si>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</si>
  <si>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</si>
  <si>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</si>
  <si>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</si>
  <si>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</si>
  <si>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</si>
  <si>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</si>
  <si>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</si>
  <si>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</si>
  <si>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</si>
  <si>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</si>
  <si>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</si>
  <si>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</si>
  <si>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</si>
  <si>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</si>
  <si>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</si>
  <si>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</si>
  <si>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</si>
  <si>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</si>
  <si>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</si>
  <si>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</si>
  <si>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</si>
  <si>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</si>
  <si>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</si>
  <si>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</si>
  <si>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</si>
  <si>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</si>
  <si>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</si>
  <si>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</si>
  <si>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</si>
  <si>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</si>
  <si>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</si>
  <si>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</si>
  <si>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</si>
  <si>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</si>
  <si>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</si>
  <si>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</si>
  <si>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</si>
  <si>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</si>
  <si>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</si>
  <si>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</si>
  <si>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</si>
  <si>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</si>
  <si>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</si>
  <si>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</si>
  <si>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</si>
  <si>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</si>
  <si>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</si>
  <si>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</si>
  <si>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</si>
  <si>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</si>
  <si>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</si>
  <si>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</si>
  <si>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</si>
  <si>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</si>
  <si>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</si>
  <si>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</si>
  <si>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</si>
  <si>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</si>
  <si>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</si>
  <si>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</si>
  <si>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</si>
  <si>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</si>
  <si>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</si>
  <si>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</si>
  <si>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</si>
  <si>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</si>
  <si>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</si>
  <si>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</si>
  <si>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</si>
  <si>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</si>
  <si>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</si>
  <si>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</si>
  <si>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</si>
  <si>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</si>
  <si>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</si>
  <si>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</si>
  <si>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</si>
  <si>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</si>
  <si>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</si>
  <si>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</si>
  <si>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</si>
  <si>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</si>
  <si>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</si>
  <si>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</si>
  <si>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</si>
  <si>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</si>
  <si>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</si>
  <si>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</si>
  <si>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</si>
  <si>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</si>
  <si>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</si>
  <si>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</si>
  <si>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</si>
  <si>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</si>
  <si>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</si>
  <si>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</si>
  <si>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</si>
  <si>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</si>
  <si>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</si>
  <si>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</si>
  <si>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</si>
  <si>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</si>
  <si>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</si>
  <si>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</si>
  <si>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</si>
  <si>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</si>
  <si>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</si>
  <si>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</si>
  <si>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</si>
  <si>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</si>
  <si>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</si>
  <si>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</si>
  <si>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</si>
  <si>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</si>
  <si>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</si>
  <si>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</si>
  <si>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</si>
  <si>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</si>
  <si>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</si>
  <si>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</si>
  <si>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</si>
  <si>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</si>
  <si>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</si>
  <si>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</si>
  <si>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</si>
  <si>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</si>
  <si>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</si>
  <si>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</si>
  <si>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</si>
  <si>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</si>
  <si>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</si>
  <si>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</si>
  <si>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</si>
  <si>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</si>
  <si>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</si>
  <si>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</si>
  <si>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</si>
  <si>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</si>
  <si>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</si>
  <si>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</si>
  <si>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</si>
  <si>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</si>
  <si>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</si>
  <si>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</si>
  <si>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</si>
  <si>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</si>
  <si>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</si>
  <si>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</si>
  <si>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</si>
  <si>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</si>
  <si>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</si>
  <si>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</si>
  <si>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</si>
  <si>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</si>
  <si>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</si>
  <si>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</si>
  <si>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</si>
  <si>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</si>
  <si>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</si>
  <si>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</si>
  <si>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</si>
  <si>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</si>
  <si>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</si>
  <si>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</si>
  <si>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</si>
  <si>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</si>
  <si>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</si>
  <si>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</si>
  <si>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</si>
  <si>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</si>
  <si>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</si>
  <si>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</si>
  <si>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</si>
  <si>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</si>
  <si>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</si>
  <si>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</si>
  <si>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</si>
  <si>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</si>
  <si>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</si>
  <si>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</si>
  <si>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</si>
  <si>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</si>
  <si>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</si>
  <si>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</si>
  <si>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</si>
  <si>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</si>
  <si>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</si>
  <si>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</si>
  <si>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</si>
  <si>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</si>
  <si>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</si>
  <si>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</si>
  <si>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</si>
  <si>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</si>
  <si>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</si>
  <si>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</si>
  <si>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</si>
  <si>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</si>
  <si>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</si>
  <si>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</si>
  <si>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</si>
  <si>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</si>
  <si>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</si>
  <si>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</si>
  <si>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</si>
  <si>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</si>
  <si>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</si>
  <si>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</si>
  <si>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</si>
  <si>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</si>
  <si>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</si>
  <si>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</si>
  <si>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</si>
  <si>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</si>
  <si>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</si>
  <si>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</si>
  <si>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</si>
  <si>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</si>
  <si>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</si>
  <si>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</si>
  <si>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</si>
  <si>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</si>
  <si>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</si>
  <si>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</si>
  <si>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</si>
  <si>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</si>
  <si>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</si>
  <si>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</si>
  <si>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</si>
  <si>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</si>
  <si>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</si>
  <si>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</si>
  <si>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</si>
  <si>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</si>
  <si>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</si>
  <si>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</si>
  <si>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</si>
  <si>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</si>
  <si>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</si>
  <si>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</si>
  <si>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</si>
  <si>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</si>
  <si>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</si>
  <si>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</si>
  <si>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</si>
  <si>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</si>
  <si>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</si>
  <si>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</si>
  <si>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</si>
  <si>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</si>
  <si>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</si>
  <si>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</si>
  <si>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</si>
  <si>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</si>
  <si>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</si>
  <si>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</si>
  <si>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</si>
  <si>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</si>
  <si>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</si>
  <si>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</si>
  <si>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</si>
  <si>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</si>
  <si>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</si>
  <si>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</si>
  <si>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</si>
  <si>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</si>
  <si>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</si>
  <si>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</si>
  <si>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</si>
  <si>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</si>
  <si>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</si>
  <si>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</si>
  <si>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</si>
  <si>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</si>
  <si>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</si>
  <si>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</si>
  <si>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</si>
  <si>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</si>
  <si>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Организация и проведение областных унивесальных совместных ярмарок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</si>
  <si>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</si>
  <si>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</si>
  <si>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</si>
  <si>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</si>
  <si>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</si>
  <si>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</si>
  <si>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</si>
  <si>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</si>
  <si>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</si>
  <si>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</si>
  <si>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</si>
  <si>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</si>
  <si>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</si>
  <si>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</si>
  <si>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</si>
  <si>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</si>
  <si>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</si>
  <si>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</si>
  <si>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</si>
  <si>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</si>
  <si>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</si>
  <si>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</si>
  <si>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</si>
  <si>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</si>
  <si>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</si>
  <si>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</si>
  <si>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</si>
  <si>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</si>
  <si>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</si>
  <si>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</si>
  <si>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</si>
  <si>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</si>
  <si>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</si>
  <si>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</si>
  <si>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</si>
  <si>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</si>
  <si>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</si>
  <si>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</si>
  <si>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</si>
  <si>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</si>
  <si>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</si>
  <si>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</si>
  <si>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</si>
  <si>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</si>
  <si>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</si>
  <si>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</si>
  <si>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</si>
  <si>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</si>
  <si>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</si>
  <si>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</si>
  <si>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</si>
  <si>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</si>
  <si>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</si>
  <si>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</si>
  <si>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</si>
  <si>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</si>
  <si>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</si>
  <si>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</si>
  <si>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</si>
  <si>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</si>
  <si>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</si>
  <si>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</si>
  <si>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</si>
  <si>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</si>
  <si>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</si>
  <si>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</si>
  <si>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</si>
  <si>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</si>
  <si>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</si>
  <si>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</si>
  <si>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</si>
  <si>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</si>
  <si>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</si>
  <si>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</si>
  <si>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</si>
  <si>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</si>
  <si>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</si>
  <si>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</si>
  <si>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</si>
  <si>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</si>
  <si>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</si>
  <si>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</si>
  <si>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</si>
  <si>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</si>
  <si>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</si>
  <si>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</si>
  <si>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</si>
  <si>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</si>
  <si>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</si>
  <si>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</si>
  <si>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</si>
  <si>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</si>
  <si>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</si>
  <si>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</si>
  <si>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</si>
  <si>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</si>
  <si>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</si>
  <si>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</si>
  <si>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</si>
  <si>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</si>
  <si>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бюджета Омсукчанского городского округа по разделам и подразделам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</si>
  <si>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</si>
  <si>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</si>
  <si>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</si>
  <si>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</si>
  <si>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</si>
  <si>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</si>
  <si>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</si>
  <si>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</si>
  <si>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</si>
  <si>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</si>
  <si>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</si>
  <si>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</si>
  <si>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</si>
  <si>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</si>
  <si>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</si>
  <si>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</si>
  <si>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</si>
  <si>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</si>
  <si>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</si>
  <si>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</si>
  <si>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</si>
  <si>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</si>
  <si>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</si>
  <si>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</si>
  <si>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</si>
  <si>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</si>
  <si>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</si>
  <si>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</si>
  <si>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</si>
  <si>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</si>
  <si>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</si>
  <si>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</si>
  <si>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</si>
  <si>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</si>
  <si>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</si>
  <si>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</si>
  <si>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</si>
  <si>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</si>
  <si>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</si>
  <si>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</si>
  <si>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</si>
  <si>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</si>
  <si>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</si>
  <si>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</si>
  <si>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</si>
  <si>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</si>
  <si>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</si>
  <si>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</si>
  <si>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</si>
  <si>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</si>
  <si>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</si>
  <si>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</si>
  <si>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</si>
  <si>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</si>
  <si>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</si>
  <si>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</si>
  <si>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</si>
  <si>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</si>
  <si>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</si>
  <si>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</si>
  <si>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</si>
  <si>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</si>
  <si>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</si>
  <si>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</si>
  <si>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</si>
  <si>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</si>
  <si>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</si>
  <si>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</si>
  <si>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</si>
  <si>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</si>
  <si>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</si>
  <si>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</si>
  <si>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</si>
  <si>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</si>
  <si>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</si>
  <si>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</si>
  <si>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</si>
  <si>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</si>
  <si>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</si>
  <si>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</si>
  <si>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</si>
  <si>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</si>
  <si>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</si>
  <si>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</si>
  <si>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</si>
  <si>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</si>
  <si>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</si>
  <si>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</si>
  <si>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</si>
  <si>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</si>
  <si>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</si>
  <si>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</si>
  <si>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</si>
  <si>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</si>
  <si>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</si>
  <si>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</si>
  <si>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</si>
  <si>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</si>
  <si>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</si>
  <si>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</si>
  <si>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</si>
  <si>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</si>
  <si>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</si>
  <si>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</si>
  <si>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</si>
  <si>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Ожидаемое исполнение за 2017 год</t>
  </si>
  <si>
    <t>Целевые субсидии муниципальным учреждениям на оплату проезда к месту отдыха и обратно</t>
  </si>
  <si>
    <t>52 4 00 20140</t>
  </si>
  <si>
    <t>52 3 00 20140</t>
  </si>
  <si>
    <t>52 2 00 20140</t>
  </si>
  <si>
    <t>52 2 00 20150</t>
  </si>
  <si>
    <t>58 1 00 20140</t>
  </si>
  <si>
    <t>58 3 00 20140</t>
  </si>
  <si>
    <t>57 2 00 20140</t>
  </si>
  <si>
    <t>57 1 00 20140</t>
  </si>
  <si>
    <t>Целевые субсидии муниципальным учреждениям на оплату северных надбавок к заработной плате вновь прибывшим работникам</t>
  </si>
  <si>
    <t>Проект бюджета  на 2018 год</t>
  </si>
  <si>
    <t>Проект бюджета  на 2019 год</t>
  </si>
  <si>
    <t>Проект бюджета  на 2020 год</t>
  </si>
  <si>
    <t>58 2 00 20140</t>
  </si>
  <si>
    <t>Целевые субсидии муниципальным учреждениям на обследование здания</t>
  </si>
  <si>
    <t>ожидаемое исполнение за 2017 год</t>
  </si>
  <si>
    <t>Проект на 2019 год</t>
  </si>
  <si>
    <t>Проект на 2020 год</t>
  </si>
  <si>
    <t>Сумма на 2017 год</t>
  </si>
  <si>
    <t>Проект на 2018 год</t>
  </si>
  <si>
    <t>Исполнено на 01.10.2017 года</t>
  </si>
  <si>
    <t xml:space="preserve">Прочие доходы от компенсации затрат бюджетов городских округов </t>
  </si>
  <si>
    <t xml:space="preserve"> 1 13 02994 04 0000 130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</si>
  <si>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</si>
  <si>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</si>
  <si>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</si>
  <si>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
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</si>
  <si>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</si>
  <si>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</si>
  <si>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1 09 00000 00 0000 000</t>
  </si>
  <si>
    <t>ЗАДОЛЖЕННОСТЬ И ПЕРЕРАСЧЕТЫ ПО ОТМЕНЕННЫМ НАЛОГАМ, СБОРАМ И ИНЫМ ОБЯЗАТЕЛЬНЫМ ПЛАТЕЖАМ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</si>
  <si>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</si>
  <si>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</si>
  <si>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</si>
  <si>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</si>
  <si>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1 13 02994 04 0000 130</t>
  </si>
  <si>
    <t xml:space="preserve"> Прочие доходы от компенсации затрат государства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</si>
  <si>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</si>
  <si>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</si>
  <si>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</si>
  <si>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</si>
  <si>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</si>
  <si>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</si>
  <si>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</si>
  <si>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</si>
  <si>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</si>
  <si>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</si>
  <si>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</si>
  <si>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</si>
  <si>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</si>
  <si>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</si>
  <si>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</si>
  <si>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</si>
  <si>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</si>
  <si>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</si>
  <si>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Решение Собрания представителей Омсукчанского городского округа от 11.03.2016 года №22 "Об утверждении порядка пенсионного обеспечения за выслугу лет муниципальных служащих и лиц, замещающих муниципальные должности в Омсукчанском городском округе"</t>
  </si>
  <si>
    <t>63 0 00 01600</t>
  </si>
  <si>
    <t>63 0 00 01630</t>
  </si>
  <si>
    <t>Адаптация муниципальных учреждений для доступности инвалидам и МГН, приобретение средств реабилитации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</si>
  <si>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</si>
  <si>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</si>
  <si>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63 0 00 01610</t>
  </si>
  <si>
    <t>63 0 00 01620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</si>
  <si>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</si>
  <si>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</si>
  <si>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</si>
  <si>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64 0 00 01640</t>
  </si>
  <si>
    <t>Организационные и пропагандистские мероприятия по профилактике экстремизма и терроризма</t>
  </si>
  <si>
    <t>64 0 00 01660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</si>
  <si>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</si>
  <si>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</si>
  <si>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64 0 00 01650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</si>
  <si>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2018 год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</si>
  <si>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2018  год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</si>
  <si>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</si>
  <si>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2018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</si>
  <si>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на 2018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</si>
  <si>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2018 год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</si>
  <si>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</si>
  <si>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</si>
  <si>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</si>
  <si>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</si>
  <si>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государственных полномочий по составлению (изменению) списков кандидатов в присяжные заседатели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</si>
  <si>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</si>
  <si>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 xml:space="preserve">Целевые субсидии на мероприятия по антитеррористической защищенности муниципальных учреждений </t>
  </si>
  <si>
    <t>64 0 00 20160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</si>
  <si>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на 2018 год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</si>
  <si>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</si>
  <si>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66 0 00 01150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</si>
  <si>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</si>
  <si>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68 2 00 R0820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</si>
  <si>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</si>
  <si>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</si>
  <si>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</si>
  <si>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</si>
  <si>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</si>
  <si>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</si>
  <si>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</si>
  <si>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2 07 04050 04 0000 180</t>
  </si>
  <si>
    <t>68 1 00 01210</t>
  </si>
  <si>
    <t xml:space="preserve"> 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</si>
  <si>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68 3 00 01670</t>
  </si>
  <si>
    <t xml:space="preserve">68 3 00 01670 </t>
  </si>
  <si>
    <t>Ожидаемое исполнение за 2018 год</t>
  </si>
  <si>
    <t>Приложение № 3</t>
  </si>
  <si>
    <t>Мероприятия по модернизации и реконструкции объектов инженерной и коммунальной инфраструктуры за счет средств внебюджетного фонда социально-экономического развития Магаданской области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</si>
  <si>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</t>
  </si>
  <si>
    <t>Организация и проведение гастрономического фестиваля "Колымское братство"</t>
  </si>
  <si>
    <t>68 2 00 73Б01</t>
  </si>
  <si>
    <t>61 0 00 S3Б01</t>
  </si>
  <si>
    <t>Субсидии из областного бюджета на софинасирование расходов по возмещению затрат, связанных с организацией и проведением мероприятия «Организация и проведение гастрономического фестиваля «Колымское братство», раздела VII государственной программы Магаданской области «Развитие сельского хозяйства Магаданской области на 2014-2020 годы»</t>
  </si>
  <si>
    <t>60 1 00 62010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</si>
  <si>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</si>
  <si>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</si>
  <si>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</si>
  <si>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2018 год</t>
  </si>
  <si>
    <t xml:space="preserve">Субсидии бюджетам городских округов, предоставляемых в рамках реализации подпрограммы «Развитие библиотечного дела Магаданской области» на 2014-2020 годы» государственной программы Магаданской области «Развитие культуры и туризма Магаданской области» на 2014-2020 годы» на 2018 год 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</si>
  <si>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</si>
  <si>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</si>
  <si>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Субсидии бюджетам городских округов, предоставляемых на проведение комплексных кадастровых работ на территории Магаданской области на 2018 год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</si>
  <si>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на 2014 - 2020 годы» государственной программы Магаданской области «Обеспечение доступным и комфортным жильем жителей Магаданской области на 2014-2020 годы», для последующего предоставления молодым семьям - участникам Подпрограммы социальной выплаты на приобретение (строительство) жилья</t>
  </si>
  <si>
    <t>68 2 00 R4970</t>
  </si>
  <si>
    <t>Предоставление молодым семьям социальной выплаты на приобретение (строительство) жилья</t>
  </si>
  <si>
    <t>Проведение комплексных кадастровых работ на территории Магаданской области</t>
  </si>
  <si>
    <t>68 2 00 12070</t>
  </si>
  <si>
    <t xml:space="preserve"> Модернизация квартальной котельной котельной в пос.Омсукчан за счет средств внебюджетного фонда социально-экономического развития Магаданской области</t>
  </si>
  <si>
    <t>68 3 00 01680</t>
  </si>
  <si>
    <t xml:space="preserve">68 3 00 01680 </t>
  </si>
  <si>
    <t>Муниципальная программа "Развитие транспортной инфраструктуры  Омсукчанского городского округа" на 2018-2022 годы"</t>
  </si>
  <si>
    <t>Целевые субсидии муниципальным учреждениям на оплату контейнера</t>
  </si>
  <si>
    <t>Прочие безвозмездные поступления в бюджеты городских округов на реализацию мероприятия "Развитие дворовой инфраструктуры муниципальных образований, расположенных на территории Магаданской области" программы развития Особой экономической зоны в Магаданской области на 2018 год</t>
  </si>
  <si>
    <t>Прочие безвозмездные поступления в бюджеты городских округов на реализацию Подпрограммы "Развитие и модернизация коммунальной инфраструктуры на территории Магаданской области" на 2016-2020 годы" государственной программы Магаданской области "Содействие муниципальным образованиям Магаданской области в реализации муниципальных программ комплексного развития коммунальной инфраструктуры" на 2014-2020 годы"</t>
  </si>
  <si>
    <t>Прочие безвозмездные поступления в бюджеты городских округов на реализацию мероприятия "Модернизация квартальной котельной в пос. Омсукчан" программы развития Особой экономической зоны в Магаданской области на 2018 год</t>
  </si>
  <si>
    <t xml:space="preserve">Развитие дворовой инфраструктуры муниципальных образований за счет средств внебюджетного фонда социально-экономического развития Магаданской области </t>
  </si>
  <si>
    <t>68 3 00 01690</t>
  </si>
  <si>
    <t>2 02 25497 04 0000 151</t>
  </si>
  <si>
    <t>Муниципальная программа  "Развитие транспортной инфраструктуры Омсукчанского городского округа на 2018-2022 гг."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</si>
  <si>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</si>
  <si>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</si>
  <si>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</si>
  <si>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</si>
  <si>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</si>
  <si>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</si>
  <si>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</si>
  <si>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Модернизация и укрепление материально-технической базы в области физической культуры и спорта</t>
  </si>
  <si>
    <t>68 2 00 Z2150</t>
  </si>
  <si>
    <t>68 2 00 73С20</t>
  </si>
  <si>
    <t>Реконструкция инженерных сетей в пос.Дукат и технологическое присоединение к сетям строящейся угольной котельной за счет средств внебюджетного фонда социально-экономического развития Магаданской области</t>
  </si>
  <si>
    <t>68 3 00 01700</t>
  </si>
  <si>
    <t xml:space="preserve">68 3 00 01700 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</si>
  <si>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</si>
  <si>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</si>
  <si>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</si>
  <si>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</si>
  <si>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Субсидии бюджетам городских округов, предоставляемых на модернизацию и укрепление материально-технической базы в области физической культуры и спорта в рамках реализации государственной программы Магаданской области «Развитие физической культуры и спорта Магаданской области» на 2014-2020 годы» на 2018 год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</si>
  <si>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</si>
  <si>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Приложение № 2</t>
  </si>
  <si>
    <t>Субсидия бюджетам городских округов на поддержку отрасли культуры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</si>
  <si>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2018 год</t>
  </si>
  <si>
    <t>Субсидии бюджетам городских округов, на реализацию мероприятий поддержки развития малого и среднего предпринимательства в 2018 году</t>
  </si>
  <si>
    <t>68 4 00 01140</t>
  </si>
  <si>
    <t>52 2 00 S3С20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</si>
  <si>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</si>
  <si>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</si>
  <si>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</si>
  <si>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Процент исполнения, %</t>
  </si>
  <si>
    <t>План на 2018 год, тыс.руб.</t>
  </si>
  <si>
    <t xml:space="preserve">Исполнено     за 9 месяцев 2018 года, тыс.руб. </t>
  </si>
  <si>
    <t xml:space="preserve"> Исполнение распределения бюджетных ассигнований, направляемых на реализацию муниципальных программ  из бюджета Омсукчанского городского округа  за 9 месяцев 2018 года</t>
  </si>
  <si>
    <t xml:space="preserve">Исполнение распределения расходов </t>
  </si>
  <si>
    <t xml:space="preserve"> классификации расходов бюджетов Российской Федерации за 9 месяцев 2018 года</t>
  </si>
  <si>
    <t xml:space="preserve">Исполнено за 9 месяцев 2018 года, тыс.руб. </t>
  </si>
  <si>
    <t>Исполнение распределения ассигнований, направляемых на исполнение публичных нормативных обязательств из бюджета Омсукчанского городского округа за 9 месяцев 2018 года</t>
  </si>
  <si>
    <t>Исполнение плана по источникам внутреннего финансирования дефицита</t>
  </si>
  <si>
    <t>бюджета Омсукчанского городского округа  за 9 месяцев  2018 года</t>
  </si>
  <si>
    <t>Приложение № 7</t>
  </si>
  <si>
    <t>Исполнение распределения ассигнований из бюджета Омсукчанского городского округа 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9 месяцев 2018 года</t>
  </si>
  <si>
    <t xml:space="preserve">Исполнение плана поступления доходов в </t>
  </si>
  <si>
    <t>бюджет Омсукчанского городского огруга</t>
  </si>
  <si>
    <t>-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</si>
  <si>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</si>
  <si>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</si>
  <si>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</si>
  <si>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</si>
  <si>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219 00000 00 0000 000</t>
  </si>
  <si>
    <t>219 00000 04 0000 151</t>
  </si>
  <si>
    <t>219 60010 04 0000 151</t>
  </si>
  <si>
    <t>Приложение № 1</t>
  </si>
  <si>
    <t>за 9 месяцев 2018 года</t>
  </si>
  <si>
    <t xml:space="preserve">к постановлению </t>
  </si>
  <si>
    <t>городского округа</t>
  </si>
  <si>
    <t>администрации</t>
  </si>
  <si>
    <t>от 24.10.2018г. № 548</t>
  </si>
  <si>
    <t xml:space="preserve">Исполнение ведомственной  структуры расходов бюджета Омсукчанского городского округа                                                                                                                                            за 9 месяцев  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</si>
</sst>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00"/>
  </numFmts>
  <fonts count="4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0" fillId="0" borderId="0"/>
    <xf numFmtId="0" fontId="41" fillId="0" borderId="16">
      <alignment horizontal="left" wrapText="1" indent="2"/>
    </xf>
  </cellStyleXfs>
  <cellXfs count="346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49" fontId="30" fillId="0" borderId="2" xfId="1" applyNumberFormat="1" applyFont="1" applyFill="1" applyBorder="1" applyAlignment="1">
      <alignment horizontal="center" vertical="center"/>
    </xf>
    <xf numFmtId="0" fontId="19" fillId="0" borderId="2" xfId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 wrapText="1"/>
    </xf>
    <xf numFmtId="0" fontId="19" fillId="0" borderId="13" xfId="1" applyFont="1" applyFill="1" applyBorder="1" applyAlignment="1">
      <alignment horizontal="center" vertical="center" wrapText="1"/>
    </xf>
    <xf numFmtId="0" fontId="19" fillId="0" borderId="2" xfId="1" applyNumberFormat="1" applyFont="1" applyFill="1" applyBorder="1" applyAlignment="1">
      <alignment horizontal="center" vertical="center"/>
    </xf>
    <xf numFmtId="0" fontId="30" fillId="0" borderId="2" xfId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>
      <alignment vertical="center" wrapText="1"/>
    </xf>
    <xf numFmtId="4" fontId="8" fillId="0" borderId="0" xfId="1" applyNumberFormat="1" applyFont="1" applyFill="1"/>
    <xf numFmtId="0" fontId="1" fillId="3" borderId="8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/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/>
    </xf>
    <xf numFmtId="165" fontId="32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165" fontId="33" fillId="0" borderId="2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65" fontId="34" fillId="0" borderId="2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/>
    </xf>
    <xf numFmtId="0" fontId="34" fillId="0" borderId="2" xfId="0" applyNumberFormat="1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1" fontId="1" fillId="0" borderId="2" xfId="3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/>
    </xf>
    <xf numFmtId="165" fontId="12" fillId="0" borderId="15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/>
    </xf>
    <xf numFmtId="165" fontId="37" fillId="0" borderId="2" xfId="0" applyNumberFormat="1" applyFont="1" applyFill="1" applyBorder="1" applyAlignment="1">
      <alignment horizontal="center"/>
    </xf>
    <xf numFmtId="0" fontId="37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vertical="top" wrapText="1"/>
    </xf>
    <xf numFmtId="0" fontId="38" fillId="0" borderId="0" xfId="0" applyFont="1"/>
    <xf numFmtId="165" fontId="32" fillId="0" borderId="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wrapText="1"/>
    </xf>
    <xf numFmtId="0" fontId="1" fillId="0" borderId="3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8" fillId="0" borderId="0" xfId="0" applyNumberFormat="1" applyFont="1" applyFill="1"/>
    <xf numFmtId="165" fontId="38" fillId="0" borderId="0" xfId="0" applyNumberFormat="1" applyFont="1" applyFill="1"/>
    <xf numFmtId="165" fontId="13" fillId="0" borderId="2" xfId="1" applyNumberFormat="1" applyFont="1" applyFill="1" applyBorder="1" applyAlignment="1">
      <alignment horizontal="center" vertical="center"/>
    </xf>
    <xf numFmtId="0" fontId="39" fillId="0" borderId="0" xfId="0" applyNumberFormat="1" applyFont="1" applyFill="1"/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2" fillId="0" borderId="2" xfId="1" applyNumberFormat="1" applyFont="1" applyFill="1" applyBorder="1" applyAlignment="1">
      <alignment horizontal="center" vertical="center"/>
    </xf>
    <xf numFmtId="0" fontId="0" fillId="10" borderId="0" xfId="0" applyFill="1" applyBorder="1"/>
    <xf numFmtId="165" fontId="1" fillId="2" borderId="9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left"/>
    </xf>
    <xf numFmtId="0" fontId="1" fillId="3" borderId="8" xfId="0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left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0" fontId="24" fillId="0" borderId="0" xfId="0" applyFont="1" applyFill="1" applyAlignment="1"/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1" fillId="0" borderId="11" xfId="1" applyNumberFormat="1" applyFont="1" applyFill="1" applyBorder="1" applyAlignment="1">
      <alignment horizontal="center" vertical="center" wrapText="1"/>
    </xf>
    <xf numFmtId="167" fontId="0" fillId="0" borderId="0" xfId="0" applyNumberFormat="1" applyFill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/>
    </xf>
  </cellXfs>
  <cellStyles count="6">
    <cellStyle name="xl31" xfId="5"/>
    <cellStyle name="xl32" xfId="4"/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7"/>
  <sheetViews>
    <sheetView view="pageBreakPreview" topLeftCell="A5" zoomScale="90" zoomScaleNormal="95" zoomScaleSheetLayoutView="90" workbookViewId="0">
      <selection activeCell="A11" sqref="A11:K11"/>
    </sheetView>
  </sheetViews>
  <sheetFormatPr defaultRowHeight="15" x14ac:dyDescent="0.25"/>
  <cols>
    <col min="1" max="1" width="25.140625" style="157" customWidth="1"/>
    <col min="2" max="2" width="77.5703125" style="157" customWidth="1"/>
    <col min="3" max="8" width="15.42578125" style="157" hidden="1" customWidth="1"/>
    <col min="9" max="9" width="12.7109375" style="157" customWidth="1"/>
    <col min="10" max="10" width="14.85546875" style="157" customWidth="1"/>
    <col min="11" max="11" width="13.7109375" style="157" customWidth="1"/>
    <col min="12" max="12" width="11.85546875" style="157" customWidth="1"/>
    <col min="13" max="13" width="12.5703125" style="157" customWidth="1"/>
    <col min="14" max="14" width="11.85546875" style="157" customWidth="1"/>
    <col min="15" max="15" width="15" style="157" customWidth="1"/>
    <col min="16" max="16" width="15.85546875" style="157" customWidth="1"/>
    <col min="17" max="17" width="9.140625" style="157"/>
    <col min="18" max="18" width="17" style="157" customWidth="1"/>
    <col min="19" max="16384" width="9.140625" style="157"/>
  </cols>
  <sheetData>
    <row r="1" spans="1:11" ht="18.75" hidden="1" x14ac:dyDescent="0.3">
      <c r="H1" s="234"/>
      <c r="I1" s="275"/>
      <c r="J1" s="275"/>
      <c r="K1" s="275"/>
    </row>
    <row r="2" spans="1:11" ht="18.75" hidden="1" x14ac:dyDescent="0.3">
      <c r="H2" s="234"/>
      <c r="I2" s="275"/>
      <c r="J2" s="275"/>
      <c r="K2" s="275"/>
    </row>
    <row r="3" spans="1:11" ht="18.75" hidden="1" x14ac:dyDescent="0.3">
      <c r="H3" s="234"/>
      <c r="I3" s="275"/>
      <c r="J3" s="275"/>
      <c r="K3" s="275"/>
    </row>
    <row r="4" spans="1:11" ht="15.75" hidden="1" x14ac:dyDescent="0.25">
      <c r="B4" s="159"/>
      <c r="C4" s="159"/>
      <c r="D4" s="159"/>
      <c r="E4" s="159"/>
      <c r="F4" s="159"/>
      <c r="G4" s="159"/>
      <c r="H4" s="159"/>
      <c r="I4" s="159"/>
      <c r="J4" s="159"/>
      <c r="K4" s="159"/>
    </row>
    <row r="5" spans="1:11" ht="17.25" customHeight="1" x14ac:dyDescent="0.3">
      <c r="B5" s="159"/>
      <c r="C5" s="159"/>
      <c r="D5" s="159"/>
      <c r="E5" s="159"/>
      <c r="F5" s="159"/>
      <c r="G5" s="159"/>
      <c r="H5" s="159"/>
      <c r="J5" s="303" t="s">
        <v>1048</v>
      </c>
    </row>
    <row r="6" spans="1:11" ht="17.25" customHeight="1" x14ac:dyDescent="0.3">
      <c r="B6" s="159"/>
      <c r="C6" s="159"/>
      <c r="D6" s="159"/>
      <c r="E6" s="159"/>
      <c r="F6" s="159"/>
      <c r="G6" s="159"/>
      <c r="H6" s="159"/>
      <c r="J6" s="303" t="s">
        <v>1050</v>
      </c>
    </row>
    <row r="7" spans="1:11" ht="17.25" customHeight="1" x14ac:dyDescent="0.3">
      <c r="B7" s="159"/>
      <c r="C7" s="159"/>
      <c r="D7" s="159"/>
      <c r="E7" s="159"/>
      <c r="F7" s="159"/>
      <c r="G7" s="159"/>
      <c r="H7" s="159"/>
      <c r="J7" s="303" t="s">
        <v>1052</v>
      </c>
    </row>
    <row r="8" spans="1:11" ht="17.25" customHeight="1" x14ac:dyDescent="0.3">
      <c r="B8" s="159"/>
      <c r="C8" s="159"/>
      <c r="D8" s="159"/>
      <c r="E8" s="159"/>
      <c r="F8" s="159"/>
      <c r="G8" s="159"/>
      <c r="H8" s="159"/>
      <c r="J8" s="303" t="s">
        <v>1051</v>
      </c>
    </row>
    <row r="9" spans="1:11" ht="17.25" customHeight="1" x14ac:dyDescent="0.3">
      <c r="B9" s="159"/>
      <c r="C9" s="159"/>
      <c r="D9" s="159"/>
      <c r="E9" s="159"/>
      <c r="F9" s="159"/>
      <c r="G9" s="159"/>
      <c r="H9" s="159"/>
      <c r="J9" s="303" t="s">
        <v>1053</v>
      </c>
    </row>
    <row r="10" spans="1:11" ht="16.5" x14ac:dyDescent="0.25">
      <c r="B10" s="159"/>
      <c r="C10" s="159"/>
      <c r="D10" s="159"/>
      <c r="E10" s="159"/>
      <c r="F10" s="159"/>
      <c r="G10" s="159"/>
      <c r="H10" s="159"/>
      <c r="K10" s="316"/>
    </row>
    <row r="11" spans="1:11" ht="16.5" x14ac:dyDescent="0.25">
      <c r="A11" s="325" t="s">
        <v>1038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</row>
    <row r="12" spans="1:11" ht="16.5" x14ac:dyDescent="0.25">
      <c r="A12" s="325" t="s">
        <v>1039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</row>
    <row r="13" spans="1:11" ht="16.5" x14ac:dyDescent="0.25">
      <c r="A13" s="325" t="s">
        <v>1049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</row>
    <row r="14" spans="1:11" ht="15.75" x14ac:dyDescent="0.25">
      <c r="A14" s="160"/>
      <c r="B14" s="160"/>
      <c r="C14" s="232"/>
      <c r="D14" s="232"/>
      <c r="E14" s="232"/>
      <c r="F14" s="232"/>
      <c r="G14" s="232"/>
      <c r="H14" s="232"/>
      <c r="I14" s="158"/>
      <c r="J14" s="158"/>
      <c r="K14" s="158"/>
    </row>
    <row r="15" spans="1:11" ht="63" x14ac:dyDescent="0.25">
      <c r="A15" s="161" t="s">
        <v>2</v>
      </c>
      <c r="B15" s="162" t="s">
        <v>3</v>
      </c>
      <c r="C15" s="233" t="s">
        <v>4</v>
      </c>
      <c r="D15" s="233" t="s">
        <v>881</v>
      </c>
      <c r="E15" s="233" t="s">
        <v>860</v>
      </c>
      <c r="F15" s="233" t="s">
        <v>880</v>
      </c>
      <c r="G15" s="233" t="s">
        <v>877</v>
      </c>
      <c r="H15" s="233" t="s">
        <v>878</v>
      </c>
      <c r="I15" s="314" t="s">
        <v>1027</v>
      </c>
      <c r="J15" s="314" t="s">
        <v>1032</v>
      </c>
      <c r="K15" s="314" t="s">
        <v>1026</v>
      </c>
    </row>
    <row r="16" spans="1:11" ht="15.75" x14ac:dyDescent="0.25">
      <c r="A16" s="161">
        <v>1</v>
      </c>
      <c r="B16" s="162">
        <v>2</v>
      </c>
      <c r="C16" s="162">
        <v>3</v>
      </c>
      <c r="D16" s="162">
        <v>4</v>
      </c>
      <c r="E16" s="162">
        <v>5</v>
      </c>
      <c r="F16" s="162">
        <v>6</v>
      </c>
      <c r="G16" s="162">
        <v>7</v>
      </c>
      <c r="H16" s="162">
        <v>8</v>
      </c>
      <c r="I16" s="304">
        <v>3</v>
      </c>
      <c r="J16" s="304">
        <v>3</v>
      </c>
      <c r="K16" s="304">
        <v>3</v>
      </c>
    </row>
    <row r="17" spans="1:16" ht="18.75" x14ac:dyDescent="0.25">
      <c r="A17" s="163" t="s">
        <v>5</v>
      </c>
      <c r="B17" s="164" t="s">
        <v>6</v>
      </c>
      <c r="C17" s="247">
        <f t="shared" ref="C17:J17" si="0">C18+C24+C30+C39+C45+C52+C58+C64+C69+C74+C49+C91</f>
        <v>272834.3</v>
      </c>
      <c r="D17" s="247">
        <f t="shared" si="0"/>
        <v>208904.64299999998</v>
      </c>
      <c r="E17" s="247">
        <f t="shared" si="0"/>
        <v>264413.03333333333</v>
      </c>
      <c r="F17" s="247">
        <f t="shared" si="0"/>
        <v>294509.2</v>
      </c>
      <c r="G17" s="247">
        <f t="shared" si="0"/>
        <v>307411.89999999997</v>
      </c>
      <c r="H17" s="247">
        <f t="shared" si="0"/>
        <v>320557.25</v>
      </c>
      <c r="I17" s="247">
        <f t="shared" si="0"/>
        <v>273316.40000000002</v>
      </c>
      <c r="J17" s="247">
        <f t="shared" si="0"/>
        <v>207584.83362000005</v>
      </c>
      <c r="K17" s="247">
        <f t="shared" ref="K17:K19" si="1">SUM(J17/I17)*100</f>
        <v>75.950376055004398</v>
      </c>
      <c r="L17" s="157">
        <v>460322.4</v>
      </c>
      <c r="M17" s="142">
        <f>K17-L17</f>
        <v>-460246.44962394499</v>
      </c>
      <c r="P17" s="142"/>
    </row>
    <row r="18" spans="1:16" ht="18.75" x14ac:dyDescent="0.25">
      <c r="A18" s="165" t="s">
        <v>7</v>
      </c>
      <c r="B18" s="164" t="s">
        <v>8</v>
      </c>
      <c r="C18" s="247">
        <f>C19</f>
        <v>207151</v>
      </c>
      <c r="D18" s="247">
        <f t="shared" ref="D18" si="2">D19</f>
        <v>150019.49999999997</v>
      </c>
      <c r="E18" s="247">
        <f>E19</f>
        <v>200105.63333333333</v>
      </c>
      <c r="F18" s="247">
        <f>F19</f>
        <v>231677</v>
      </c>
      <c r="G18" s="247">
        <f t="shared" ref="G18:H18" si="3">G19</f>
        <v>243260.4</v>
      </c>
      <c r="H18" s="247">
        <f t="shared" si="3"/>
        <v>255423.75</v>
      </c>
      <c r="I18" s="247">
        <f>I19</f>
        <v>231654.7</v>
      </c>
      <c r="J18" s="247">
        <f t="shared" ref="J18" si="4">J19</f>
        <v>153128.08724000002</v>
      </c>
      <c r="K18" s="247">
        <f t="shared" si="1"/>
        <v>66.101869394404702</v>
      </c>
      <c r="L18" s="142"/>
      <c r="M18" s="142"/>
      <c r="N18" s="142"/>
      <c r="O18" s="142"/>
      <c r="P18" s="142"/>
    </row>
    <row r="19" spans="1:16" ht="18.75" x14ac:dyDescent="0.25">
      <c r="A19" s="166" t="s">
        <v>9</v>
      </c>
      <c r="B19" s="167" t="s">
        <v>10</v>
      </c>
      <c r="C19" s="247">
        <f>SUM(C20:C23)</f>
        <v>207151</v>
      </c>
      <c r="D19" s="247">
        <f t="shared" ref="D19" si="5">SUM(D20:D23)</f>
        <v>150019.49999999997</v>
      </c>
      <c r="E19" s="247">
        <f>SUM(E20:E23)</f>
        <v>200105.63333333333</v>
      </c>
      <c r="F19" s="247">
        <f>SUM(F20:F23)</f>
        <v>231677</v>
      </c>
      <c r="G19" s="247">
        <f t="shared" ref="G19:H19" si="6">SUM(G20:G23)</f>
        <v>243260.4</v>
      </c>
      <c r="H19" s="247">
        <f t="shared" si="6"/>
        <v>255423.75</v>
      </c>
      <c r="I19" s="247">
        <f>SUM(I20:I23)</f>
        <v>231654.7</v>
      </c>
      <c r="J19" s="247">
        <f t="shared" ref="J19" si="7">SUM(J20:J23)</f>
        <v>153128.08724000002</v>
      </c>
      <c r="K19" s="247">
        <f t="shared" si="1"/>
        <v>66.101869394404702</v>
      </c>
      <c r="L19" s="142"/>
      <c r="M19" s="142"/>
      <c r="N19" s="142"/>
      <c r="O19" s="142"/>
      <c r="P19" s="142"/>
    </row>
    <row r="20" spans="1:16" ht="63" x14ac:dyDescent="0.25">
      <c r="A20" s="304" t="s">
        <v>11</v>
      </c>
      <c r="B20" s="168" t="s">
        <v>12</v>
      </c>
      <c r="C20" s="248">
        <f>216801-10000</f>
        <v>206801</v>
      </c>
      <c r="D20" s="248">
        <v>149524.9</v>
      </c>
      <c r="E20" s="248">
        <f>D20/9*12</f>
        <v>199366.53333333333</v>
      </c>
      <c r="F20" s="248">
        <v>231300</v>
      </c>
      <c r="G20" s="248">
        <f>F20*1.05</f>
        <v>242865</v>
      </c>
      <c r="H20" s="248">
        <f>G20*1.05</f>
        <v>255008.25</v>
      </c>
      <c r="I20" s="248">
        <v>231277.7</v>
      </c>
      <c r="J20" s="248">
        <v>152471.52918000001</v>
      </c>
      <c r="K20" s="248">
        <f t="shared" ref="K20:K47" si="8">SUM(J20/I20)*100</f>
        <v>65.925737405724803</v>
      </c>
    </row>
    <row r="21" spans="1:16" ht="94.5" x14ac:dyDescent="0.25">
      <c r="A21" s="304" t="s">
        <v>13</v>
      </c>
      <c r="B21" s="170" t="s">
        <v>14</v>
      </c>
      <c r="C21" s="248">
        <v>2</v>
      </c>
      <c r="D21" s="248">
        <v>0.3</v>
      </c>
      <c r="E21" s="248">
        <v>0.5</v>
      </c>
      <c r="F21" s="248">
        <v>2</v>
      </c>
      <c r="G21" s="248">
        <v>2</v>
      </c>
      <c r="H21" s="248">
        <v>2</v>
      </c>
      <c r="I21" s="248">
        <v>2</v>
      </c>
      <c r="J21" s="248">
        <v>26.640830000000001</v>
      </c>
      <c r="K21" s="248">
        <f t="shared" si="8"/>
        <v>1332.0415</v>
      </c>
    </row>
    <row r="22" spans="1:16" ht="47.25" x14ac:dyDescent="0.25">
      <c r="A22" s="304" t="s">
        <v>15</v>
      </c>
      <c r="B22" s="170" t="s">
        <v>16</v>
      </c>
      <c r="C22" s="248">
        <v>337</v>
      </c>
      <c r="D22" s="248">
        <v>494.3</v>
      </c>
      <c r="E22" s="248">
        <v>738.6</v>
      </c>
      <c r="F22" s="248">
        <v>369</v>
      </c>
      <c r="G22" s="248">
        <v>387.4</v>
      </c>
      <c r="H22" s="248">
        <v>407</v>
      </c>
      <c r="I22" s="248">
        <v>369</v>
      </c>
      <c r="J22" s="248">
        <v>590.68173000000002</v>
      </c>
      <c r="K22" s="248">
        <f t="shared" si="8"/>
        <v>160.07634959349593</v>
      </c>
    </row>
    <row r="23" spans="1:16" ht="78.75" x14ac:dyDescent="0.25">
      <c r="A23" s="304" t="s">
        <v>17</v>
      </c>
      <c r="B23" s="170" t="s">
        <v>18</v>
      </c>
      <c r="C23" s="248">
        <v>11</v>
      </c>
      <c r="D23" s="248">
        <v>0</v>
      </c>
      <c r="E23" s="248">
        <v>0</v>
      </c>
      <c r="F23" s="248">
        <v>6</v>
      </c>
      <c r="G23" s="248">
        <v>6</v>
      </c>
      <c r="H23" s="248">
        <v>6.5</v>
      </c>
      <c r="I23" s="248">
        <v>6</v>
      </c>
      <c r="J23" s="248">
        <v>39.235500000000002</v>
      </c>
      <c r="K23" s="248">
        <f t="shared" si="8"/>
        <v>653.92499999999995</v>
      </c>
    </row>
    <row r="24" spans="1:16" ht="31.5" x14ac:dyDescent="0.25">
      <c r="A24" s="171" t="s">
        <v>19</v>
      </c>
      <c r="B24" s="172" t="s">
        <v>20</v>
      </c>
      <c r="C24" s="247">
        <f>C25</f>
        <v>3358</v>
      </c>
      <c r="D24" s="247">
        <f>D25</f>
        <v>2843.5889999999999</v>
      </c>
      <c r="E24" s="247">
        <f>E25</f>
        <v>3120</v>
      </c>
      <c r="F24" s="247">
        <f>F25</f>
        <v>3510</v>
      </c>
      <c r="G24" s="247">
        <f t="shared" ref="G24:H24" si="9">G25</f>
        <v>3951.3</v>
      </c>
      <c r="H24" s="247">
        <f t="shared" si="9"/>
        <v>3951.3</v>
      </c>
      <c r="I24" s="247">
        <f>I25</f>
        <v>3825.5</v>
      </c>
      <c r="J24" s="247">
        <f t="shared" ref="J24" si="10">J25</f>
        <v>3007.50659</v>
      </c>
      <c r="K24" s="247">
        <f t="shared" si="8"/>
        <v>78.617346490654811</v>
      </c>
    </row>
    <row r="25" spans="1:16" ht="31.5" x14ac:dyDescent="0.25">
      <c r="A25" s="243" t="s">
        <v>21</v>
      </c>
      <c r="B25" s="244" t="s">
        <v>22</v>
      </c>
      <c r="C25" s="247">
        <f>SUM(C26:C29)</f>
        <v>3358</v>
      </c>
      <c r="D25" s="247">
        <f t="shared" ref="D25:I25" si="11">SUM(D26:D29)</f>
        <v>2843.5889999999999</v>
      </c>
      <c r="E25" s="247">
        <f t="shared" si="11"/>
        <v>3120</v>
      </c>
      <c r="F25" s="247">
        <f t="shared" si="11"/>
        <v>3510</v>
      </c>
      <c r="G25" s="247">
        <f t="shared" si="11"/>
        <v>3951.3</v>
      </c>
      <c r="H25" s="247">
        <f t="shared" si="11"/>
        <v>3951.3</v>
      </c>
      <c r="I25" s="247">
        <f t="shared" si="11"/>
        <v>3825.5</v>
      </c>
      <c r="J25" s="247">
        <f t="shared" ref="J25" si="12">SUM(J26:J29)</f>
        <v>3007.50659</v>
      </c>
      <c r="K25" s="247">
        <f t="shared" si="8"/>
        <v>78.617346490654811</v>
      </c>
    </row>
    <row r="26" spans="1:16" ht="63" x14ac:dyDescent="0.25">
      <c r="A26" s="173" t="s">
        <v>23</v>
      </c>
      <c r="B26" s="170" t="s">
        <v>24</v>
      </c>
      <c r="C26" s="248">
        <v>1191.5</v>
      </c>
      <c r="D26" s="248">
        <v>1149.8</v>
      </c>
      <c r="E26" s="248">
        <v>1191.5</v>
      </c>
      <c r="F26" s="248">
        <v>1138.3</v>
      </c>
      <c r="G26" s="248">
        <v>1277.2</v>
      </c>
      <c r="H26" s="248">
        <v>1277.2</v>
      </c>
      <c r="I26" s="248">
        <v>1318</v>
      </c>
      <c r="J26" s="248">
        <v>1309.7094999999999</v>
      </c>
      <c r="K26" s="248">
        <f t="shared" si="8"/>
        <v>99.37097875569043</v>
      </c>
    </row>
    <row r="27" spans="1:16" ht="78.75" x14ac:dyDescent="0.25">
      <c r="A27" s="305" t="s">
        <v>25</v>
      </c>
      <c r="B27" s="170" t="s">
        <v>26</v>
      </c>
      <c r="C27" s="248">
        <v>18.100000000000001</v>
      </c>
      <c r="D27" s="248">
        <v>12.244999999999999</v>
      </c>
      <c r="E27" s="248">
        <v>18.100000000000001</v>
      </c>
      <c r="F27" s="248">
        <v>10.4</v>
      </c>
      <c r="G27" s="248">
        <v>11</v>
      </c>
      <c r="H27" s="248">
        <v>11</v>
      </c>
      <c r="I27" s="248">
        <v>10.9</v>
      </c>
      <c r="J27" s="248">
        <v>11.87932</v>
      </c>
      <c r="K27" s="248">
        <f t="shared" si="8"/>
        <v>108.98458715596331</v>
      </c>
    </row>
    <row r="28" spans="1:16" ht="63" x14ac:dyDescent="0.25">
      <c r="A28" s="305" t="s">
        <v>27</v>
      </c>
      <c r="B28" s="170" t="s">
        <v>28</v>
      </c>
      <c r="C28" s="249">
        <v>2148.4</v>
      </c>
      <c r="D28" s="249">
        <v>1919.5</v>
      </c>
      <c r="E28" s="249">
        <v>2148.4</v>
      </c>
      <c r="F28" s="249">
        <v>2361.3000000000002</v>
      </c>
      <c r="G28" s="249">
        <v>2663.1</v>
      </c>
      <c r="H28" s="249">
        <v>2663.1</v>
      </c>
      <c r="I28" s="249">
        <v>2496.6</v>
      </c>
      <c r="J28" s="249">
        <v>1979.2876799999999</v>
      </c>
      <c r="K28" s="248">
        <f t="shared" si="8"/>
        <v>79.279327084835373</v>
      </c>
    </row>
    <row r="29" spans="1:16" ht="63" x14ac:dyDescent="0.25">
      <c r="A29" s="6" t="s">
        <v>884</v>
      </c>
      <c r="B29" s="278" t="s">
        <v>885</v>
      </c>
      <c r="C29" s="248">
        <v>0</v>
      </c>
      <c r="D29" s="248">
        <v>-237.95599999999999</v>
      </c>
      <c r="E29" s="248">
        <v>-238</v>
      </c>
      <c r="F29" s="248">
        <v>0</v>
      </c>
      <c r="G29" s="248">
        <v>0</v>
      </c>
      <c r="H29" s="248">
        <v>0</v>
      </c>
      <c r="I29" s="248">
        <v>0</v>
      </c>
      <c r="J29" s="248">
        <v>-293.36990999999995</v>
      </c>
      <c r="K29" s="248" t="s">
        <v>1040</v>
      </c>
    </row>
    <row r="30" spans="1:16" ht="18.75" x14ac:dyDescent="0.25">
      <c r="A30" s="166" t="s">
        <v>29</v>
      </c>
      <c r="B30" s="167" t="s">
        <v>30</v>
      </c>
      <c r="C30" s="247">
        <f>SUM(C31+C35+C38)</f>
        <v>20489.8</v>
      </c>
      <c r="D30" s="247">
        <f>SUM(D31+D35+D38)</f>
        <v>14361.39</v>
      </c>
      <c r="E30" s="247">
        <f>SUM(E31+E35+E38)</f>
        <v>20474.900000000001</v>
      </c>
      <c r="F30" s="247">
        <f>SUM(F31+F35+F38)</f>
        <v>21474</v>
      </c>
      <c r="G30" s="247">
        <f t="shared" ref="G30:H30" si="13">SUM(G31+G35+G38)</f>
        <v>21923</v>
      </c>
      <c r="H30" s="247">
        <f t="shared" si="13"/>
        <v>22493</v>
      </c>
      <c r="I30" s="247">
        <f>SUM(I31+I35+I38)</f>
        <v>18339</v>
      </c>
      <c r="J30" s="247">
        <f t="shared" ref="J30" si="14">SUM(J31+J35+J38)</f>
        <v>16591.906989999999</v>
      </c>
      <c r="K30" s="247">
        <f t="shared" si="8"/>
        <v>90.473346365668789</v>
      </c>
      <c r="L30" s="266">
        <f>I30/K30*100-100</f>
        <v>20170.058240002225</v>
      </c>
    </row>
    <row r="31" spans="1:16" ht="31.5" x14ac:dyDescent="0.25">
      <c r="A31" s="163" t="s">
        <v>31</v>
      </c>
      <c r="B31" s="167" t="s">
        <v>32</v>
      </c>
      <c r="C31" s="247">
        <f>SUM(C32:C34)</f>
        <v>10695.8</v>
      </c>
      <c r="D31" s="247">
        <f>SUM(D32:D34)</f>
        <v>7511.09</v>
      </c>
      <c r="E31" s="247">
        <f>SUM(E32:E34)</f>
        <v>10695.9</v>
      </c>
      <c r="F31" s="247">
        <f>SUM(F32:F34)</f>
        <v>11370</v>
      </c>
      <c r="G31" s="247">
        <f t="shared" ref="G31:H31" si="15">SUM(G32:G34)</f>
        <v>11813</v>
      </c>
      <c r="H31" s="247">
        <f t="shared" si="15"/>
        <v>12333</v>
      </c>
      <c r="I31" s="247">
        <f>SUM(I32:I34)</f>
        <v>8235</v>
      </c>
      <c r="J31" s="247">
        <f t="shared" ref="J31" si="16">SUM(J32:J34)</f>
        <v>9066.6663100000005</v>
      </c>
      <c r="K31" s="247">
        <f t="shared" si="8"/>
        <v>110.09916587735277</v>
      </c>
    </row>
    <row r="32" spans="1:16" ht="31.5" x14ac:dyDescent="0.25">
      <c r="A32" s="161" t="s">
        <v>33</v>
      </c>
      <c r="B32" s="174" t="s">
        <v>34</v>
      </c>
      <c r="C32" s="248">
        <f>10695.8/2</f>
        <v>5347.9</v>
      </c>
      <c r="D32" s="248">
        <f>5410.4</f>
        <v>5410.4</v>
      </c>
      <c r="E32" s="248">
        <f>10695.8/2</f>
        <v>5347.9</v>
      </c>
      <c r="F32" s="248">
        <v>5685</v>
      </c>
      <c r="G32" s="250">
        <v>5906.5</v>
      </c>
      <c r="H32" s="250">
        <v>6166.5</v>
      </c>
      <c r="I32" s="248">
        <v>4117.5</v>
      </c>
      <c r="J32" s="248">
        <v>7035.5902900000001</v>
      </c>
      <c r="K32" s="248">
        <f t="shared" si="8"/>
        <v>170.87043812993321</v>
      </c>
    </row>
    <row r="33" spans="1:11" ht="78.75" x14ac:dyDescent="0.25">
      <c r="A33" s="161" t="s">
        <v>886</v>
      </c>
      <c r="B33" s="174" t="s">
        <v>887</v>
      </c>
      <c r="C33" s="248">
        <v>0</v>
      </c>
      <c r="D33" s="251">
        <v>0.09</v>
      </c>
      <c r="E33" s="248">
        <v>0.1</v>
      </c>
      <c r="F33" s="248">
        <v>0</v>
      </c>
      <c r="G33" s="250">
        <v>0</v>
      </c>
      <c r="H33" s="250">
        <v>0</v>
      </c>
      <c r="I33" s="248">
        <v>0</v>
      </c>
      <c r="J33" s="248">
        <v>0.34935000000000005</v>
      </c>
      <c r="K33" s="248" t="s">
        <v>1040</v>
      </c>
    </row>
    <row r="34" spans="1:11" ht="63" x14ac:dyDescent="0.25">
      <c r="A34" s="161" t="s">
        <v>35</v>
      </c>
      <c r="B34" s="174" t="s">
        <v>36</v>
      </c>
      <c r="C34" s="248">
        <f>10695.8/2</f>
        <v>5347.9</v>
      </c>
      <c r="D34" s="248">
        <v>2100.6</v>
      </c>
      <c r="E34" s="248">
        <f>10695.8/2</f>
        <v>5347.9</v>
      </c>
      <c r="F34" s="248">
        <v>5685</v>
      </c>
      <c r="G34" s="250">
        <v>5906.5</v>
      </c>
      <c r="H34" s="250">
        <v>6166.5</v>
      </c>
      <c r="I34" s="248">
        <v>4117.5</v>
      </c>
      <c r="J34" s="248">
        <v>2030.72667</v>
      </c>
      <c r="K34" s="248">
        <f t="shared" si="8"/>
        <v>49.319409107468125</v>
      </c>
    </row>
    <row r="35" spans="1:11" ht="18.75" x14ac:dyDescent="0.25">
      <c r="A35" s="163" t="s">
        <v>37</v>
      </c>
      <c r="B35" s="167" t="s">
        <v>38</v>
      </c>
      <c r="C35" s="247">
        <f>SUM(C36:C37)</f>
        <v>9639</v>
      </c>
      <c r="D35" s="247">
        <f t="shared" ref="D35:I35" si="17">SUM(D36:D37)</f>
        <v>6707.8</v>
      </c>
      <c r="E35" s="247">
        <f t="shared" si="17"/>
        <v>9624</v>
      </c>
      <c r="F35" s="247">
        <f t="shared" si="17"/>
        <v>9894</v>
      </c>
      <c r="G35" s="247">
        <f t="shared" si="17"/>
        <v>9900</v>
      </c>
      <c r="H35" s="247">
        <f t="shared" si="17"/>
        <v>9950</v>
      </c>
      <c r="I35" s="247">
        <f t="shared" si="17"/>
        <v>9894</v>
      </c>
      <c r="J35" s="247">
        <f t="shared" ref="J35" si="18">SUM(J36:J37)</f>
        <v>7317.36283</v>
      </c>
      <c r="K35" s="247">
        <f t="shared" si="8"/>
        <v>73.957578633515269</v>
      </c>
    </row>
    <row r="36" spans="1:11" ht="18.75" x14ac:dyDescent="0.25">
      <c r="A36" s="304" t="s">
        <v>39</v>
      </c>
      <c r="B36" s="168" t="s">
        <v>38</v>
      </c>
      <c r="C36" s="248">
        <v>9639</v>
      </c>
      <c r="D36" s="248">
        <v>6722.8</v>
      </c>
      <c r="E36" s="248">
        <v>9639</v>
      </c>
      <c r="F36" s="248">
        <v>9894</v>
      </c>
      <c r="G36" s="248">
        <v>9900</v>
      </c>
      <c r="H36" s="248">
        <v>9950</v>
      </c>
      <c r="I36" s="248">
        <v>9894</v>
      </c>
      <c r="J36" s="248">
        <v>7317.3948899999996</v>
      </c>
      <c r="K36" s="248">
        <f t="shared" si="8"/>
        <v>73.957902668283808</v>
      </c>
    </row>
    <row r="37" spans="1:11" ht="47.25" x14ac:dyDescent="0.25">
      <c r="A37" s="6" t="s">
        <v>888</v>
      </c>
      <c r="B37" s="241" t="s">
        <v>889</v>
      </c>
      <c r="C37" s="248">
        <v>0</v>
      </c>
      <c r="D37" s="248">
        <v>-15</v>
      </c>
      <c r="E37" s="248">
        <v>-15</v>
      </c>
      <c r="F37" s="248">
        <v>0</v>
      </c>
      <c r="G37" s="248">
        <v>0</v>
      </c>
      <c r="H37" s="248">
        <v>0</v>
      </c>
      <c r="I37" s="248">
        <v>0</v>
      </c>
      <c r="J37" s="248">
        <v>-3.2060000000000005E-2</v>
      </c>
      <c r="K37" s="248">
        <v>0</v>
      </c>
    </row>
    <row r="38" spans="1:11" ht="31.5" x14ac:dyDescent="0.25">
      <c r="A38" s="163" t="s">
        <v>40</v>
      </c>
      <c r="B38" s="175" t="s">
        <v>41</v>
      </c>
      <c r="C38" s="247">
        <v>155</v>
      </c>
      <c r="D38" s="247">
        <v>142.5</v>
      </c>
      <c r="E38" s="247">
        <v>155</v>
      </c>
      <c r="F38" s="247">
        <v>210</v>
      </c>
      <c r="G38" s="247">
        <v>210</v>
      </c>
      <c r="H38" s="247">
        <v>210</v>
      </c>
      <c r="I38" s="247">
        <v>210</v>
      </c>
      <c r="J38" s="247">
        <v>207.87785</v>
      </c>
      <c r="K38" s="247">
        <f t="shared" si="8"/>
        <v>98.989452380952386</v>
      </c>
    </row>
    <row r="39" spans="1:11" ht="18.75" x14ac:dyDescent="0.25">
      <c r="A39" s="166" t="s">
        <v>42</v>
      </c>
      <c r="B39" s="167" t="s">
        <v>43</v>
      </c>
      <c r="C39" s="247">
        <f>C40+C42</f>
        <v>383</v>
      </c>
      <c r="D39" s="247">
        <f t="shared" ref="D39" si="19">D40+D42</f>
        <v>76.900000000000006</v>
      </c>
      <c r="E39" s="247">
        <f>E40+E42</f>
        <v>383</v>
      </c>
      <c r="F39" s="247">
        <f>F40+F42</f>
        <v>974</v>
      </c>
      <c r="G39" s="247">
        <f t="shared" ref="G39:H39" si="20">G40+G42</f>
        <v>1311</v>
      </c>
      <c r="H39" s="247">
        <f t="shared" si="20"/>
        <v>1648</v>
      </c>
      <c r="I39" s="247">
        <f>I40+I42</f>
        <v>974</v>
      </c>
      <c r="J39" s="247">
        <f t="shared" ref="J39" si="21">J40+J42</f>
        <v>183.50259</v>
      </c>
      <c r="K39" s="247">
        <f t="shared" si="8"/>
        <v>18.840101642710472</v>
      </c>
    </row>
    <row r="40" spans="1:11" ht="18.75" x14ac:dyDescent="0.25">
      <c r="A40" s="166" t="s">
        <v>44</v>
      </c>
      <c r="B40" s="167" t="s">
        <v>45</v>
      </c>
      <c r="C40" s="247">
        <f>C41</f>
        <v>71</v>
      </c>
      <c r="D40" s="247">
        <f t="shared" ref="D40" si="22">D41</f>
        <v>48</v>
      </c>
      <c r="E40" s="247">
        <f>E41</f>
        <v>71</v>
      </c>
      <c r="F40" s="247">
        <f>F41</f>
        <v>652</v>
      </c>
      <c r="G40" s="247">
        <f t="shared" ref="G40:H40" si="23">G41</f>
        <v>978</v>
      </c>
      <c r="H40" s="247">
        <f t="shared" si="23"/>
        <v>1304</v>
      </c>
      <c r="I40" s="247">
        <f>I41</f>
        <v>652</v>
      </c>
      <c r="J40" s="247">
        <f t="shared" ref="J40" si="24">J41</f>
        <v>56.584090000000003</v>
      </c>
      <c r="K40" s="247">
        <f t="shared" si="8"/>
        <v>8.6785414110429446</v>
      </c>
    </row>
    <row r="41" spans="1:11" ht="38.25" customHeight="1" x14ac:dyDescent="0.25">
      <c r="A41" s="304" t="s">
        <v>46</v>
      </c>
      <c r="B41" s="174" t="s">
        <v>47</v>
      </c>
      <c r="C41" s="248">
        <v>71</v>
      </c>
      <c r="D41" s="248">
        <v>48</v>
      </c>
      <c r="E41" s="248">
        <v>71</v>
      </c>
      <c r="F41" s="248">
        <v>652</v>
      </c>
      <c r="G41" s="250">
        <v>978</v>
      </c>
      <c r="H41" s="250">
        <v>1304</v>
      </c>
      <c r="I41" s="248">
        <v>652</v>
      </c>
      <c r="J41" s="248">
        <v>56.584090000000003</v>
      </c>
      <c r="K41" s="248">
        <f t="shared" si="8"/>
        <v>8.6785414110429446</v>
      </c>
    </row>
    <row r="42" spans="1:11" ht="18.75" x14ac:dyDescent="0.25">
      <c r="A42" s="166" t="s">
        <v>48</v>
      </c>
      <c r="B42" s="167" t="s">
        <v>49</v>
      </c>
      <c r="C42" s="247">
        <f>C44+C43</f>
        <v>312</v>
      </c>
      <c r="D42" s="247">
        <f t="shared" ref="D42" si="25">D44+D43</f>
        <v>28.900000000000002</v>
      </c>
      <c r="E42" s="247">
        <f>E44+E43</f>
        <v>312</v>
      </c>
      <c r="F42" s="247">
        <f>F44+F43</f>
        <v>322</v>
      </c>
      <c r="G42" s="247">
        <f t="shared" ref="G42:H42" si="26">G44+G43</f>
        <v>333</v>
      </c>
      <c r="H42" s="247">
        <f t="shared" si="26"/>
        <v>344</v>
      </c>
      <c r="I42" s="247">
        <f>I44+I43</f>
        <v>322</v>
      </c>
      <c r="J42" s="247">
        <f t="shared" ref="J42" si="27">J44+J43</f>
        <v>126.91850000000001</v>
      </c>
      <c r="K42" s="247">
        <f t="shared" si="8"/>
        <v>39.415683229813666</v>
      </c>
    </row>
    <row r="43" spans="1:11" ht="31.5" x14ac:dyDescent="0.25">
      <c r="A43" s="304" t="s">
        <v>50</v>
      </c>
      <c r="B43" s="174" t="s">
        <v>51</v>
      </c>
      <c r="C43" s="248">
        <v>167</v>
      </c>
      <c r="D43" s="248">
        <v>39.700000000000003</v>
      </c>
      <c r="E43" s="248">
        <v>167</v>
      </c>
      <c r="F43" s="248">
        <v>172</v>
      </c>
      <c r="G43" s="248">
        <v>173</v>
      </c>
      <c r="H43" s="248">
        <v>174</v>
      </c>
      <c r="I43" s="248">
        <v>172</v>
      </c>
      <c r="J43" s="248">
        <v>116.2548</v>
      </c>
      <c r="K43" s="248">
        <f t="shared" si="8"/>
        <v>67.59</v>
      </c>
    </row>
    <row r="44" spans="1:11" ht="31.5" x14ac:dyDescent="0.25">
      <c r="A44" s="304" t="s">
        <v>52</v>
      </c>
      <c r="B44" s="174" t="s">
        <v>53</v>
      </c>
      <c r="C44" s="248">
        <v>145</v>
      </c>
      <c r="D44" s="248">
        <v>-10.8</v>
      </c>
      <c r="E44" s="248">
        <v>145</v>
      </c>
      <c r="F44" s="248">
        <v>150</v>
      </c>
      <c r="G44" s="248">
        <v>160</v>
      </c>
      <c r="H44" s="248">
        <v>170</v>
      </c>
      <c r="I44" s="248">
        <v>150</v>
      </c>
      <c r="J44" s="248">
        <v>10.6637</v>
      </c>
      <c r="K44" s="248">
        <f t="shared" si="8"/>
        <v>7.1091333333333342</v>
      </c>
    </row>
    <row r="45" spans="1:11" ht="18.75" x14ac:dyDescent="0.25">
      <c r="A45" s="166" t="s">
        <v>54</v>
      </c>
      <c r="B45" s="167" t="s">
        <v>55</v>
      </c>
      <c r="C45" s="247">
        <f t="shared" ref="C45:F46" si="28">C46</f>
        <v>2294</v>
      </c>
      <c r="D45" s="247">
        <f t="shared" ref="D45:D46" si="29">D46</f>
        <v>933.3</v>
      </c>
      <c r="E45" s="247">
        <f t="shared" si="28"/>
        <v>1346.7</v>
      </c>
      <c r="F45" s="247">
        <f t="shared" si="28"/>
        <v>2088</v>
      </c>
      <c r="G45" s="247">
        <f t="shared" ref="G45:H46" si="30">G46</f>
        <v>2100</v>
      </c>
      <c r="H45" s="247">
        <f t="shared" si="30"/>
        <v>2150</v>
      </c>
      <c r="I45" s="247">
        <f>I46</f>
        <v>2088</v>
      </c>
      <c r="J45" s="247">
        <f t="shared" ref="J45" si="31">J46</f>
        <v>876.19259999999997</v>
      </c>
      <c r="K45" s="247">
        <f t="shared" si="8"/>
        <v>41.963247126436784</v>
      </c>
    </row>
    <row r="46" spans="1:11" ht="31.5" x14ac:dyDescent="0.25">
      <c r="A46" s="166" t="s">
        <v>56</v>
      </c>
      <c r="B46" s="167" t="s">
        <v>57</v>
      </c>
      <c r="C46" s="247">
        <f t="shared" si="28"/>
        <v>2294</v>
      </c>
      <c r="D46" s="247">
        <f t="shared" si="29"/>
        <v>933.3</v>
      </c>
      <c r="E46" s="247">
        <f t="shared" si="28"/>
        <v>1346.7</v>
      </c>
      <c r="F46" s="247">
        <f t="shared" si="28"/>
        <v>2088</v>
      </c>
      <c r="G46" s="247">
        <f t="shared" si="30"/>
        <v>2100</v>
      </c>
      <c r="H46" s="247">
        <f t="shared" si="30"/>
        <v>2150</v>
      </c>
      <c r="I46" s="247">
        <f>SUM(I47:I48)</f>
        <v>2088</v>
      </c>
      <c r="J46" s="247">
        <f>SUM(J47:J48)</f>
        <v>876.19259999999997</v>
      </c>
      <c r="K46" s="247">
        <f t="shared" si="8"/>
        <v>41.963247126436784</v>
      </c>
    </row>
    <row r="47" spans="1:11" ht="47.25" x14ac:dyDescent="0.25">
      <c r="A47" s="304" t="s">
        <v>58</v>
      </c>
      <c r="B47" s="168" t="s">
        <v>59</v>
      </c>
      <c r="C47" s="248">
        <v>2294</v>
      </c>
      <c r="D47" s="248">
        <v>933.3</v>
      </c>
      <c r="E47" s="248">
        <v>1346.7</v>
      </c>
      <c r="F47" s="248">
        <v>2088</v>
      </c>
      <c r="G47" s="250">
        <v>2100</v>
      </c>
      <c r="H47" s="250">
        <v>2150</v>
      </c>
      <c r="I47" s="248">
        <v>2088</v>
      </c>
      <c r="J47" s="248">
        <v>866.19259999999997</v>
      </c>
      <c r="K47" s="248">
        <f t="shared" si="8"/>
        <v>41.48431992337165</v>
      </c>
    </row>
    <row r="48" spans="1:11" ht="31.5" x14ac:dyDescent="0.25">
      <c r="A48" s="304"/>
      <c r="B48" s="168" t="s">
        <v>1041</v>
      </c>
      <c r="C48" s="248"/>
      <c r="D48" s="248"/>
      <c r="E48" s="248"/>
      <c r="F48" s="248"/>
      <c r="G48" s="250"/>
      <c r="H48" s="250"/>
      <c r="I48" s="248">
        <v>0</v>
      </c>
      <c r="J48" s="248">
        <v>10</v>
      </c>
      <c r="K48" s="248" t="s">
        <v>1040</v>
      </c>
    </row>
    <row r="49" spans="1:12" ht="31.5" hidden="1" x14ac:dyDescent="0.25">
      <c r="A49" s="307" t="s">
        <v>890</v>
      </c>
      <c r="B49" s="242" t="s">
        <v>891</v>
      </c>
      <c r="C49" s="247">
        <v>0</v>
      </c>
      <c r="D49" s="247">
        <f>SUM(D50:D51)</f>
        <v>7.1</v>
      </c>
      <c r="E49" s="247">
        <f t="shared" ref="E49:I49" si="32">SUM(E50:E51)</f>
        <v>7.1</v>
      </c>
      <c r="F49" s="247">
        <f t="shared" si="32"/>
        <v>0</v>
      </c>
      <c r="G49" s="247">
        <f t="shared" si="32"/>
        <v>0</v>
      </c>
      <c r="H49" s="247">
        <f t="shared" si="32"/>
        <v>0</v>
      </c>
      <c r="I49" s="247">
        <f t="shared" si="32"/>
        <v>0</v>
      </c>
      <c r="J49" s="247">
        <f t="shared" ref="J49:K49" si="33">SUM(J50:J51)</f>
        <v>0</v>
      </c>
      <c r="K49" s="247">
        <f t="shared" si="33"/>
        <v>0</v>
      </c>
    </row>
    <row r="50" spans="1:12" ht="63" hidden="1" x14ac:dyDescent="0.25">
      <c r="A50" s="6" t="s">
        <v>892</v>
      </c>
      <c r="B50" s="235" t="s">
        <v>893</v>
      </c>
      <c r="C50" s="248">
        <v>0</v>
      </c>
      <c r="D50" s="248">
        <v>7.5</v>
      </c>
      <c r="E50" s="248">
        <v>7.5</v>
      </c>
      <c r="F50" s="248">
        <v>0</v>
      </c>
      <c r="G50" s="250">
        <v>0</v>
      </c>
      <c r="H50" s="250">
        <v>0</v>
      </c>
      <c r="I50" s="248">
        <v>0</v>
      </c>
      <c r="J50" s="248">
        <v>0</v>
      </c>
      <c r="K50" s="248">
        <v>0</v>
      </c>
    </row>
    <row r="51" spans="1:12" ht="63" hidden="1" x14ac:dyDescent="0.25">
      <c r="A51" s="2" t="s">
        <v>894</v>
      </c>
      <c r="B51" s="235" t="s">
        <v>895</v>
      </c>
      <c r="C51" s="248">
        <v>0</v>
      </c>
      <c r="D51" s="248">
        <v>-0.4</v>
      </c>
      <c r="E51" s="248">
        <v>-0.4</v>
      </c>
      <c r="F51" s="248">
        <v>0</v>
      </c>
      <c r="G51" s="250">
        <v>0</v>
      </c>
      <c r="H51" s="250">
        <v>0</v>
      </c>
      <c r="I51" s="248">
        <v>0</v>
      </c>
      <c r="J51" s="248">
        <v>0</v>
      </c>
      <c r="K51" s="248">
        <v>0</v>
      </c>
    </row>
    <row r="52" spans="1:12" ht="31.5" x14ac:dyDescent="0.25">
      <c r="A52" s="166" t="s">
        <v>60</v>
      </c>
      <c r="B52" s="176" t="s">
        <v>61</v>
      </c>
      <c r="C52" s="247">
        <f>C53</f>
        <v>30200</v>
      </c>
      <c r="D52" s="247">
        <f t="shared" ref="D52" si="34">D53</f>
        <v>30394</v>
      </c>
      <c r="E52" s="247">
        <f>E53</f>
        <v>30200</v>
      </c>
      <c r="F52" s="247">
        <f>F53</f>
        <v>30200</v>
      </c>
      <c r="G52" s="247">
        <f t="shared" ref="G52:H52" si="35">G53</f>
        <v>30200</v>
      </c>
      <c r="H52" s="247">
        <f t="shared" si="35"/>
        <v>30200</v>
      </c>
      <c r="I52" s="247">
        <f>I53</f>
        <v>11849</v>
      </c>
      <c r="J52" s="247">
        <f t="shared" ref="J52" si="36">J53</f>
        <v>30469.21861</v>
      </c>
      <c r="K52" s="247">
        <f t="shared" ref="K52:K65" si="37">SUM(J52/I52)*100</f>
        <v>257.14590775592876</v>
      </c>
      <c r="L52" s="142"/>
    </row>
    <row r="53" spans="1:12" ht="78.75" x14ac:dyDescent="0.25">
      <c r="A53" s="166" t="s">
        <v>62</v>
      </c>
      <c r="B53" s="176" t="s">
        <v>63</v>
      </c>
      <c r="C53" s="247">
        <f>C54+C56</f>
        <v>30200</v>
      </c>
      <c r="D53" s="247">
        <f t="shared" ref="D53" si="38">D54+D56</f>
        <v>30394</v>
      </c>
      <c r="E53" s="247">
        <f>E54+E56</f>
        <v>30200</v>
      </c>
      <c r="F53" s="247">
        <f>F54+F56</f>
        <v>30200</v>
      </c>
      <c r="G53" s="247">
        <f t="shared" ref="G53:H53" si="39">G54+G56</f>
        <v>30200</v>
      </c>
      <c r="H53" s="247">
        <f t="shared" si="39"/>
        <v>30200</v>
      </c>
      <c r="I53" s="247">
        <f>I54+I56</f>
        <v>11849</v>
      </c>
      <c r="J53" s="247">
        <f t="shared" ref="J53" si="40">J54+J56</f>
        <v>30469.21861</v>
      </c>
      <c r="K53" s="247">
        <f t="shared" si="37"/>
        <v>257.14590775592876</v>
      </c>
    </row>
    <row r="54" spans="1:12" ht="63" x14ac:dyDescent="0.25">
      <c r="A54" s="166" t="s">
        <v>64</v>
      </c>
      <c r="B54" s="167" t="s">
        <v>65</v>
      </c>
      <c r="C54" s="247">
        <f>C55</f>
        <v>26900</v>
      </c>
      <c r="D54" s="247">
        <f t="shared" ref="D54" si="41">D55</f>
        <v>27515.9</v>
      </c>
      <c r="E54" s="247">
        <f>E55</f>
        <v>26900</v>
      </c>
      <c r="F54" s="247">
        <f>F55</f>
        <v>26900</v>
      </c>
      <c r="G54" s="247">
        <f t="shared" ref="G54:H54" si="42">G55</f>
        <v>26900</v>
      </c>
      <c r="H54" s="247">
        <f t="shared" si="42"/>
        <v>26900</v>
      </c>
      <c r="I54" s="247">
        <f>I55</f>
        <v>8549</v>
      </c>
      <c r="J54" s="247">
        <f t="shared" ref="J54" si="43">J55</f>
        <v>27194.41128</v>
      </c>
      <c r="K54" s="247">
        <f t="shared" si="37"/>
        <v>318.10049456076734</v>
      </c>
    </row>
    <row r="55" spans="1:12" ht="63" x14ac:dyDescent="0.25">
      <c r="A55" s="304" t="s">
        <v>66</v>
      </c>
      <c r="B55" s="174" t="s">
        <v>67</v>
      </c>
      <c r="C55" s="248">
        <v>26900</v>
      </c>
      <c r="D55" s="248">
        <v>27515.9</v>
      </c>
      <c r="E55" s="248">
        <v>26900</v>
      </c>
      <c r="F55" s="248">
        <v>26900</v>
      </c>
      <c r="G55" s="250">
        <v>26900</v>
      </c>
      <c r="H55" s="250">
        <v>26900</v>
      </c>
      <c r="I55" s="248">
        <v>8549</v>
      </c>
      <c r="J55" s="248">
        <v>27194.41128</v>
      </c>
      <c r="K55" s="248">
        <f t="shared" si="37"/>
        <v>318.10049456076734</v>
      </c>
    </row>
    <row r="56" spans="1:12" ht="31.5" x14ac:dyDescent="0.25">
      <c r="A56" s="166" t="s">
        <v>68</v>
      </c>
      <c r="B56" s="167" t="s">
        <v>69</v>
      </c>
      <c r="C56" s="247">
        <f>C57</f>
        <v>3300</v>
      </c>
      <c r="D56" s="247">
        <f t="shared" ref="D56" si="44">D57</f>
        <v>2878.1</v>
      </c>
      <c r="E56" s="247">
        <f>E57</f>
        <v>3300</v>
      </c>
      <c r="F56" s="247">
        <f>F57</f>
        <v>3300</v>
      </c>
      <c r="G56" s="247">
        <f t="shared" ref="G56:H56" si="45">G57</f>
        <v>3300</v>
      </c>
      <c r="H56" s="247">
        <f t="shared" si="45"/>
        <v>3300</v>
      </c>
      <c r="I56" s="247">
        <f>I57</f>
        <v>3300</v>
      </c>
      <c r="J56" s="247">
        <f t="shared" ref="J56" si="46">J57</f>
        <v>3274.8073300000001</v>
      </c>
      <c r="K56" s="247">
        <f t="shared" si="37"/>
        <v>99.236585757575753</v>
      </c>
    </row>
    <row r="57" spans="1:12" ht="31.5" x14ac:dyDescent="0.25">
      <c r="A57" s="304" t="s">
        <v>70</v>
      </c>
      <c r="B57" s="174" t="s">
        <v>71</v>
      </c>
      <c r="C57" s="248">
        <v>3300</v>
      </c>
      <c r="D57" s="248">
        <v>2878.1</v>
      </c>
      <c r="E57" s="248">
        <v>3300</v>
      </c>
      <c r="F57" s="248">
        <v>3300</v>
      </c>
      <c r="G57" s="250">
        <v>3300</v>
      </c>
      <c r="H57" s="250">
        <v>3300</v>
      </c>
      <c r="I57" s="248">
        <v>3300</v>
      </c>
      <c r="J57" s="248">
        <v>3274.8073300000001</v>
      </c>
      <c r="K57" s="248">
        <f t="shared" si="37"/>
        <v>99.236585757575753</v>
      </c>
    </row>
    <row r="58" spans="1:12" ht="18.75" x14ac:dyDescent="0.25">
      <c r="A58" s="166" t="s">
        <v>72</v>
      </c>
      <c r="B58" s="176" t="s">
        <v>73</v>
      </c>
      <c r="C58" s="247">
        <f>SUM(C59)</f>
        <v>5112.9999999999991</v>
      </c>
      <c r="D58" s="247">
        <f t="shared" ref="D58" si="47">SUM(D59)</f>
        <v>5342.5</v>
      </c>
      <c r="E58" s="247">
        <f>SUM(E59)</f>
        <v>2058.8000000000002</v>
      </c>
      <c r="F58" s="247">
        <f>SUM(F59)</f>
        <v>2023.1999999999998</v>
      </c>
      <c r="G58" s="247">
        <f t="shared" ref="G58:H58" si="48">SUM(G59)</f>
        <v>2023.1999999999998</v>
      </c>
      <c r="H58" s="247">
        <f t="shared" si="48"/>
        <v>2023.1999999999998</v>
      </c>
      <c r="I58" s="247">
        <f>SUM(I59)</f>
        <v>2023.1999999999998</v>
      </c>
      <c r="J58" s="247">
        <f t="shared" ref="J58" si="49">SUM(J59)</f>
        <v>1216.7257299999999</v>
      </c>
      <c r="K58" s="247">
        <f t="shared" si="37"/>
        <v>60.138677837089759</v>
      </c>
    </row>
    <row r="59" spans="1:12" ht="18.75" x14ac:dyDescent="0.25">
      <c r="A59" s="166" t="s">
        <v>74</v>
      </c>
      <c r="B59" s="176" t="s">
        <v>75</v>
      </c>
      <c r="C59" s="247">
        <f t="shared" ref="C59:H59" si="50">SUM(C60:C62)</f>
        <v>5112.9999999999991</v>
      </c>
      <c r="D59" s="247">
        <f t="shared" si="50"/>
        <v>5342.5</v>
      </c>
      <c r="E59" s="247">
        <f t="shared" si="50"/>
        <v>2058.8000000000002</v>
      </c>
      <c r="F59" s="247">
        <f t="shared" si="50"/>
        <v>2023.1999999999998</v>
      </c>
      <c r="G59" s="247">
        <f t="shared" si="50"/>
        <v>2023.1999999999998</v>
      </c>
      <c r="H59" s="247">
        <f t="shared" si="50"/>
        <v>2023.1999999999998</v>
      </c>
      <c r="I59" s="247">
        <f>SUM(I60:I63)</f>
        <v>2023.1999999999998</v>
      </c>
      <c r="J59" s="247">
        <f>SUM(J60:J63)</f>
        <v>1216.7257299999999</v>
      </c>
      <c r="K59" s="247">
        <f t="shared" si="37"/>
        <v>60.138677837089759</v>
      </c>
    </row>
    <row r="60" spans="1:12" ht="31.5" x14ac:dyDescent="0.25">
      <c r="A60" s="304" t="s">
        <v>76</v>
      </c>
      <c r="B60" s="168" t="s">
        <v>77</v>
      </c>
      <c r="C60" s="248">
        <v>386.3</v>
      </c>
      <c r="D60" s="248">
        <v>86.1</v>
      </c>
      <c r="E60" s="248">
        <v>129.1</v>
      </c>
      <c r="F60" s="248">
        <v>102.9</v>
      </c>
      <c r="G60" s="248">
        <v>102.9</v>
      </c>
      <c r="H60" s="248">
        <v>102.9</v>
      </c>
      <c r="I60" s="248">
        <v>102.9</v>
      </c>
      <c r="J60" s="248">
        <v>348.66933</v>
      </c>
      <c r="K60" s="248">
        <f t="shared" si="37"/>
        <v>338.84288629737608</v>
      </c>
    </row>
    <row r="61" spans="1:12" ht="18.75" x14ac:dyDescent="0.25">
      <c r="A61" s="304" t="s">
        <v>78</v>
      </c>
      <c r="B61" s="168" t="s">
        <v>79</v>
      </c>
      <c r="C61" s="248">
        <v>10.4</v>
      </c>
      <c r="D61" s="248">
        <v>55.6</v>
      </c>
      <c r="E61" s="248">
        <v>83.5</v>
      </c>
      <c r="F61" s="248">
        <v>0.2</v>
      </c>
      <c r="G61" s="248">
        <v>0.2</v>
      </c>
      <c r="H61" s="248">
        <v>0.2</v>
      </c>
      <c r="I61" s="248">
        <v>0.2</v>
      </c>
      <c r="J61" s="248">
        <v>0.1789</v>
      </c>
      <c r="K61" s="248">
        <f t="shared" si="37"/>
        <v>89.45</v>
      </c>
    </row>
    <row r="62" spans="1:12" ht="18.75" x14ac:dyDescent="0.25">
      <c r="A62" s="304" t="s">
        <v>1011</v>
      </c>
      <c r="B62" s="168" t="s">
        <v>1012</v>
      </c>
      <c r="C62" s="248">
        <f>6725.4-2009.1</f>
        <v>4716.2999999999993</v>
      </c>
      <c r="D62" s="248">
        <v>5200.8</v>
      </c>
      <c r="E62" s="248">
        <v>1846.2</v>
      </c>
      <c r="F62" s="248">
        <v>1920.1</v>
      </c>
      <c r="G62" s="248">
        <v>1920.1</v>
      </c>
      <c r="H62" s="248">
        <v>1920.1</v>
      </c>
      <c r="I62" s="248">
        <v>1911.1</v>
      </c>
      <c r="J62" s="248">
        <v>864.02743999999996</v>
      </c>
      <c r="K62" s="248">
        <f t="shared" si="37"/>
        <v>45.211000994191828</v>
      </c>
    </row>
    <row r="63" spans="1:12" ht="18.75" x14ac:dyDescent="0.25">
      <c r="A63" s="304" t="s">
        <v>1013</v>
      </c>
      <c r="B63" s="168" t="s">
        <v>1014</v>
      </c>
      <c r="C63" s="248"/>
      <c r="D63" s="248"/>
      <c r="E63" s="248"/>
      <c r="F63" s="248"/>
      <c r="G63" s="248"/>
      <c r="H63" s="248"/>
      <c r="I63" s="248">
        <v>9</v>
      </c>
      <c r="J63" s="248">
        <v>3.85006</v>
      </c>
      <c r="K63" s="248">
        <f t="shared" si="37"/>
        <v>42.778444444444446</v>
      </c>
    </row>
    <row r="64" spans="1:12" ht="31.5" x14ac:dyDescent="0.25">
      <c r="A64" s="166" t="s">
        <v>80</v>
      </c>
      <c r="B64" s="176" t="s">
        <v>81</v>
      </c>
      <c r="C64" s="247">
        <f>C66+C67</f>
        <v>320</v>
      </c>
      <c r="D64" s="247">
        <f t="shared" ref="D64:I64" si="51">D66+D67</f>
        <v>2360.1999999999998</v>
      </c>
      <c r="E64" s="247">
        <f t="shared" si="51"/>
        <v>2412.9</v>
      </c>
      <c r="F64" s="247">
        <f t="shared" si="51"/>
        <v>320</v>
      </c>
      <c r="G64" s="247">
        <f t="shared" si="51"/>
        <v>340</v>
      </c>
      <c r="H64" s="247">
        <f t="shared" si="51"/>
        <v>360</v>
      </c>
      <c r="I64" s="247">
        <f t="shared" si="51"/>
        <v>320</v>
      </c>
      <c r="J64" s="247">
        <f t="shared" ref="J64" si="52">J66+J67</f>
        <v>614.12094999999999</v>
      </c>
      <c r="K64" s="247">
        <f t="shared" si="37"/>
        <v>191.912796875</v>
      </c>
    </row>
    <row r="65" spans="1:13" ht="18.75" x14ac:dyDescent="0.25">
      <c r="A65" s="166" t="s">
        <v>82</v>
      </c>
      <c r="B65" s="176" t="s">
        <v>83</v>
      </c>
      <c r="C65" s="247">
        <f>C66+C68</f>
        <v>320</v>
      </c>
      <c r="D65" s="247">
        <f t="shared" ref="D65" si="53">D66</f>
        <v>172.6</v>
      </c>
      <c r="E65" s="247">
        <f>E66+E68</f>
        <v>2412.9</v>
      </c>
      <c r="F65" s="247">
        <f>F66+F68</f>
        <v>320</v>
      </c>
      <c r="G65" s="247">
        <f t="shared" ref="G65" si="54">G66+G68</f>
        <v>340</v>
      </c>
      <c r="H65" s="247">
        <f t="shared" ref="H65" si="55">H66+H68</f>
        <v>360</v>
      </c>
      <c r="I65" s="247">
        <f>I66</f>
        <v>320</v>
      </c>
      <c r="J65" s="247">
        <f t="shared" ref="J65" si="56">J66</f>
        <v>127.93155</v>
      </c>
      <c r="K65" s="247">
        <f t="shared" si="37"/>
        <v>39.978609375000005</v>
      </c>
    </row>
    <row r="66" spans="1:13" ht="31.5" x14ac:dyDescent="0.25">
      <c r="A66" s="304" t="s">
        <v>84</v>
      </c>
      <c r="B66" s="168" t="s">
        <v>85</v>
      </c>
      <c r="C66" s="248">
        <v>320</v>
      </c>
      <c r="D66" s="248">
        <v>172.6</v>
      </c>
      <c r="E66" s="248">
        <v>212.9</v>
      </c>
      <c r="F66" s="248">
        <v>320</v>
      </c>
      <c r="G66" s="250">
        <v>340</v>
      </c>
      <c r="H66" s="250">
        <v>360</v>
      </c>
      <c r="I66" s="248">
        <v>320</v>
      </c>
      <c r="J66" s="248">
        <v>127.93155</v>
      </c>
      <c r="K66" s="248">
        <f t="shared" ref="K66" si="57">SUM(J66/I66)*100</f>
        <v>39.978609375000005</v>
      </c>
    </row>
    <row r="67" spans="1:13" ht="18.75" x14ac:dyDescent="0.25">
      <c r="A67" s="307" t="s">
        <v>896</v>
      </c>
      <c r="B67" s="242" t="s">
        <v>897</v>
      </c>
      <c r="C67" s="247">
        <f>C68</f>
        <v>0</v>
      </c>
      <c r="D67" s="247">
        <f>SUM(D68)</f>
        <v>2187.6</v>
      </c>
      <c r="E67" s="247">
        <f>SUM(E68)</f>
        <v>2200</v>
      </c>
      <c r="F67" s="247">
        <f t="shared" ref="F67:J67" si="58">SUM(F68)</f>
        <v>0</v>
      </c>
      <c r="G67" s="247">
        <f t="shared" si="58"/>
        <v>0</v>
      </c>
      <c r="H67" s="247">
        <f t="shared" si="58"/>
        <v>0</v>
      </c>
      <c r="I67" s="247">
        <f t="shared" si="58"/>
        <v>0</v>
      </c>
      <c r="J67" s="247">
        <f t="shared" si="58"/>
        <v>486.18940000000003</v>
      </c>
      <c r="K67" s="247" t="s">
        <v>1040</v>
      </c>
    </row>
    <row r="68" spans="1:13" ht="18.75" x14ac:dyDescent="0.25">
      <c r="A68" s="236" t="s">
        <v>883</v>
      </c>
      <c r="B68" s="47" t="s">
        <v>882</v>
      </c>
      <c r="C68" s="248">
        <v>0</v>
      </c>
      <c r="D68" s="248">
        <v>2187.6</v>
      </c>
      <c r="E68" s="248">
        <v>2200</v>
      </c>
      <c r="F68" s="248">
        <v>0</v>
      </c>
      <c r="G68" s="252">
        <v>0</v>
      </c>
      <c r="H68" s="252">
        <v>0</v>
      </c>
      <c r="I68" s="248">
        <v>0</v>
      </c>
      <c r="J68" s="248">
        <v>486.18940000000003</v>
      </c>
      <c r="K68" s="248" t="s">
        <v>1040</v>
      </c>
    </row>
    <row r="69" spans="1:13" ht="31.5" x14ac:dyDescent="0.25">
      <c r="A69" s="166" t="s">
        <v>86</v>
      </c>
      <c r="B69" s="176" t="s">
        <v>87</v>
      </c>
      <c r="C69" s="247">
        <f>SUM(C70+C72)</f>
        <v>650</v>
      </c>
      <c r="D69" s="247">
        <f t="shared" ref="D69" si="59">SUM(D70+D72)</f>
        <v>145.6</v>
      </c>
      <c r="E69" s="247">
        <f>SUM(E70+E72)</f>
        <v>754.5</v>
      </c>
      <c r="F69" s="247">
        <f>SUM(F70+F72)</f>
        <v>250</v>
      </c>
      <c r="G69" s="247">
        <f t="shared" ref="G69:H69" si="60">SUM(G70+G72)</f>
        <v>250</v>
      </c>
      <c r="H69" s="247">
        <f t="shared" si="60"/>
        <v>250</v>
      </c>
      <c r="I69" s="247">
        <f>SUM(I70+I72)</f>
        <v>250</v>
      </c>
      <c r="J69" s="247">
        <f t="shared" ref="J69" si="61">SUM(J70+J72)</f>
        <v>7.5082399999999998</v>
      </c>
      <c r="K69" s="247">
        <f t="shared" ref="K69:K132" si="62">SUM(J69/I69)*100</f>
        <v>3.0032960000000002</v>
      </c>
    </row>
    <row r="70" spans="1:13" ht="78.75" x14ac:dyDescent="0.25">
      <c r="A70" s="166" t="s">
        <v>88</v>
      </c>
      <c r="B70" s="176" t="s">
        <v>89</v>
      </c>
      <c r="C70" s="247">
        <f>C71</f>
        <v>500</v>
      </c>
      <c r="D70" s="247">
        <f t="shared" ref="D70" si="63">D71</f>
        <v>141.1</v>
      </c>
      <c r="E70" s="247">
        <f>E71</f>
        <v>750</v>
      </c>
      <c r="F70" s="247">
        <f>F71</f>
        <v>235</v>
      </c>
      <c r="G70" s="247">
        <f t="shared" ref="G70:H70" si="64">G71</f>
        <v>235</v>
      </c>
      <c r="H70" s="247">
        <f t="shared" si="64"/>
        <v>235</v>
      </c>
      <c r="I70" s="247">
        <f>I71</f>
        <v>235</v>
      </c>
      <c r="J70" s="247">
        <f t="shared" ref="J70" si="65">J71</f>
        <v>0</v>
      </c>
      <c r="K70" s="247">
        <f t="shared" si="62"/>
        <v>0</v>
      </c>
    </row>
    <row r="71" spans="1:13" ht="78.75" x14ac:dyDescent="0.25">
      <c r="A71" s="304" t="s">
        <v>90</v>
      </c>
      <c r="B71" s="168" t="s">
        <v>779</v>
      </c>
      <c r="C71" s="248">
        <v>500</v>
      </c>
      <c r="D71" s="248">
        <v>141.1</v>
      </c>
      <c r="E71" s="248">
        <v>750</v>
      </c>
      <c r="F71" s="248">
        <v>235</v>
      </c>
      <c r="G71" s="250">
        <v>235</v>
      </c>
      <c r="H71" s="250">
        <v>235</v>
      </c>
      <c r="I71" s="248">
        <v>235</v>
      </c>
      <c r="J71" s="248">
        <v>0</v>
      </c>
      <c r="K71" s="248">
        <f t="shared" si="62"/>
        <v>0</v>
      </c>
    </row>
    <row r="72" spans="1:13" ht="31.5" x14ac:dyDescent="0.25">
      <c r="A72" s="166" t="s">
        <v>91</v>
      </c>
      <c r="B72" s="176" t="s">
        <v>92</v>
      </c>
      <c r="C72" s="247">
        <f>SUM(C73)</f>
        <v>150</v>
      </c>
      <c r="D72" s="247">
        <f t="shared" ref="D72" si="66">SUM(D73)</f>
        <v>4.5</v>
      </c>
      <c r="E72" s="247">
        <f>SUM(E73)</f>
        <v>4.5</v>
      </c>
      <c r="F72" s="247">
        <f>SUM(F73)</f>
        <v>15</v>
      </c>
      <c r="G72" s="247">
        <f t="shared" ref="G72:H72" si="67">SUM(G73)</f>
        <v>15</v>
      </c>
      <c r="H72" s="247">
        <f t="shared" si="67"/>
        <v>15</v>
      </c>
      <c r="I72" s="247">
        <f>SUM(I73)</f>
        <v>15</v>
      </c>
      <c r="J72" s="247">
        <f t="shared" ref="J72" si="68">SUM(J73)</f>
        <v>7.5082399999999998</v>
      </c>
      <c r="K72" s="247">
        <f t="shared" si="62"/>
        <v>50.054933333333331</v>
      </c>
    </row>
    <row r="73" spans="1:13" ht="47.25" x14ac:dyDescent="0.25">
      <c r="A73" s="304" t="s">
        <v>93</v>
      </c>
      <c r="B73" s="168" t="s">
        <v>94</v>
      </c>
      <c r="C73" s="248">
        <v>150</v>
      </c>
      <c r="D73" s="248">
        <v>4.5</v>
      </c>
      <c r="E73" s="248">
        <v>4.5</v>
      </c>
      <c r="F73" s="248">
        <v>15</v>
      </c>
      <c r="G73" s="250">
        <v>15</v>
      </c>
      <c r="H73" s="250">
        <v>15</v>
      </c>
      <c r="I73" s="248">
        <v>15</v>
      </c>
      <c r="J73" s="248">
        <v>7.5082399999999998</v>
      </c>
      <c r="K73" s="248">
        <f t="shared" si="62"/>
        <v>50.054933333333331</v>
      </c>
    </row>
    <row r="74" spans="1:13" ht="18.75" x14ac:dyDescent="0.25">
      <c r="A74" s="166" t="s">
        <v>95</v>
      </c>
      <c r="B74" s="176" t="s">
        <v>96</v>
      </c>
      <c r="C74" s="247">
        <f>C75+C80+C90+C88+C86+C78+C83</f>
        <v>2875.5</v>
      </c>
      <c r="D74" s="247">
        <f>D75+D80+D83+D90+D88+D86+D84+D78+D79</f>
        <v>1693.8000000000002</v>
      </c>
      <c r="E74" s="247">
        <f>E75+E80+E90+E88+E86+E78+E83</f>
        <v>3190.1</v>
      </c>
      <c r="F74" s="247">
        <f>F75+F80+F83+F90+F88+F86+F78+F84</f>
        <v>1993</v>
      </c>
      <c r="G74" s="247">
        <f>G75+G80+G83+G90+G88+G86+G78+G84</f>
        <v>2053</v>
      </c>
      <c r="H74" s="247">
        <f>H75+H80+H83+H90+H88+H86+H78+H84</f>
        <v>2058</v>
      </c>
      <c r="I74" s="247">
        <f>I75+I80+I83+I90+I88+I86+I78+I84</f>
        <v>1993</v>
      </c>
      <c r="J74" s="247">
        <f>J75+J80+J83+J79+J90+J88+J86+J78+J84</f>
        <v>990.18328000000008</v>
      </c>
      <c r="K74" s="247">
        <f t="shared" si="62"/>
        <v>49.683054691419976</v>
      </c>
      <c r="M74" s="313"/>
    </row>
    <row r="75" spans="1:13" ht="31.5" x14ac:dyDescent="0.25">
      <c r="A75" s="166" t="s">
        <v>97</v>
      </c>
      <c r="B75" s="176" t="s">
        <v>98</v>
      </c>
      <c r="C75" s="247">
        <f>C76+C77</f>
        <v>28</v>
      </c>
      <c r="D75" s="247">
        <f t="shared" ref="D75" si="69">D76+D77</f>
        <v>62.8</v>
      </c>
      <c r="E75" s="247">
        <f>E76+E77</f>
        <v>65.399999999999991</v>
      </c>
      <c r="F75" s="247">
        <f>F76+F77</f>
        <v>27.5</v>
      </c>
      <c r="G75" s="247">
        <f t="shared" ref="G75:H75" si="70">G76+G77</f>
        <v>27.5</v>
      </c>
      <c r="H75" s="247">
        <f t="shared" si="70"/>
        <v>27.5</v>
      </c>
      <c r="I75" s="247">
        <f>I76+I77</f>
        <v>27.5</v>
      </c>
      <c r="J75" s="247">
        <f t="shared" ref="J75" si="71">J76+J77</f>
        <v>43.343780000000002</v>
      </c>
      <c r="K75" s="247">
        <f t="shared" si="62"/>
        <v>157.61374545454547</v>
      </c>
    </row>
    <row r="76" spans="1:13" ht="63" x14ac:dyDescent="0.25">
      <c r="A76" s="304" t="s">
        <v>99</v>
      </c>
      <c r="B76" s="168" t="s">
        <v>100</v>
      </c>
      <c r="C76" s="248">
        <v>24.4</v>
      </c>
      <c r="D76" s="248">
        <v>61.8</v>
      </c>
      <c r="E76" s="248">
        <v>61.8</v>
      </c>
      <c r="F76" s="248">
        <v>25.2</v>
      </c>
      <c r="G76" s="250">
        <v>25.2</v>
      </c>
      <c r="H76" s="250">
        <v>25.2</v>
      </c>
      <c r="I76" s="248">
        <v>25.2</v>
      </c>
      <c r="J76" s="248">
        <v>42.888480000000001</v>
      </c>
      <c r="K76" s="248">
        <f t="shared" si="62"/>
        <v>170.19238095238097</v>
      </c>
    </row>
    <row r="77" spans="1:13" ht="47.25" x14ac:dyDescent="0.25">
      <c r="A77" s="304" t="s">
        <v>101</v>
      </c>
      <c r="B77" s="168" t="s">
        <v>780</v>
      </c>
      <c r="C77" s="248">
        <v>3.6</v>
      </c>
      <c r="D77" s="248">
        <v>1</v>
      </c>
      <c r="E77" s="248">
        <v>3.6</v>
      </c>
      <c r="F77" s="248">
        <v>2.2999999999999998</v>
      </c>
      <c r="G77" s="250">
        <v>2.2999999999999998</v>
      </c>
      <c r="H77" s="250">
        <v>2.2999999999999998</v>
      </c>
      <c r="I77" s="248">
        <v>2.2999999999999998</v>
      </c>
      <c r="J77" s="248">
        <v>0.45530000000000004</v>
      </c>
      <c r="K77" s="248">
        <f t="shared" si="62"/>
        <v>19.795652173913048</v>
      </c>
    </row>
    <row r="78" spans="1:13" ht="63" x14ac:dyDescent="0.25">
      <c r="A78" s="307" t="s">
        <v>900</v>
      </c>
      <c r="B78" s="242" t="s">
        <v>901</v>
      </c>
      <c r="C78" s="253">
        <f>C79</f>
        <v>0</v>
      </c>
      <c r="D78" s="247">
        <v>50</v>
      </c>
      <c r="E78" s="253">
        <v>50</v>
      </c>
      <c r="F78" s="247">
        <v>127.5</v>
      </c>
      <c r="G78" s="247">
        <v>127.5</v>
      </c>
      <c r="H78" s="247">
        <v>127.5</v>
      </c>
      <c r="I78" s="247">
        <v>127.5</v>
      </c>
      <c r="J78" s="247">
        <v>0</v>
      </c>
      <c r="K78" s="247">
        <f t="shared" si="62"/>
        <v>0</v>
      </c>
    </row>
    <row r="79" spans="1:13" ht="47.25" x14ac:dyDescent="0.25">
      <c r="A79" s="307" t="s">
        <v>898</v>
      </c>
      <c r="B79" s="242" t="s">
        <v>899</v>
      </c>
      <c r="C79" s="253">
        <v>0</v>
      </c>
      <c r="D79" s="247">
        <v>358.7</v>
      </c>
      <c r="E79" s="253">
        <v>358.7</v>
      </c>
      <c r="F79" s="247">
        <v>0</v>
      </c>
      <c r="G79" s="253">
        <v>0</v>
      </c>
      <c r="H79" s="253">
        <v>0</v>
      </c>
      <c r="I79" s="247">
        <v>0</v>
      </c>
      <c r="J79" s="247">
        <v>79.561850000000007</v>
      </c>
      <c r="K79" s="247" t="s">
        <v>1040</v>
      </c>
    </row>
    <row r="80" spans="1:13" ht="94.5" x14ac:dyDescent="0.25">
      <c r="A80" s="166" t="s">
        <v>102</v>
      </c>
      <c r="B80" s="176" t="s">
        <v>103</v>
      </c>
      <c r="C80" s="247">
        <f>C81+C82</f>
        <v>80</v>
      </c>
      <c r="D80" s="247">
        <f t="shared" ref="D80" si="72">D81+D82</f>
        <v>5</v>
      </c>
      <c r="E80" s="247">
        <f>E81+E82</f>
        <v>80</v>
      </c>
      <c r="F80" s="247">
        <f>F81+F82</f>
        <v>45</v>
      </c>
      <c r="G80" s="247">
        <f t="shared" ref="G80:H80" si="73">G81+G82</f>
        <v>55</v>
      </c>
      <c r="H80" s="247">
        <f t="shared" si="73"/>
        <v>60</v>
      </c>
      <c r="I80" s="247">
        <f>I81+I82</f>
        <v>45</v>
      </c>
      <c r="J80" s="247">
        <f t="shared" ref="J80" si="74">J81+J82</f>
        <v>35</v>
      </c>
      <c r="K80" s="247">
        <f t="shared" si="62"/>
        <v>77.777777777777786</v>
      </c>
    </row>
    <row r="81" spans="1:16" ht="31.5" x14ac:dyDescent="0.25">
      <c r="A81" s="304" t="s">
        <v>104</v>
      </c>
      <c r="B81" s="168" t="s">
        <v>105</v>
      </c>
      <c r="C81" s="248">
        <v>50</v>
      </c>
      <c r="D81" s="248">
        <v>0</v>
      </c>
      <c r="E81" s="248">
        <v>50</v>
      </c>
      <c r="F81" s="248">
        <v>10</v>
      </c>
      <c r="G81" s="250">
        <v>15</v>
      </c>
      <c r="H81" s="250">
        <v>10</v>
      </c>
      <c r="I81" s="248">
        <v>10</v>
      </c>
      <c r="J81" s="248">
        <v>0</v>
      </c>
      <c r="K81" s="248">
        <f t="shared" si="62"/>
        <v>0</v>
      </c>
    </row>
    <row r="82" spans="1:16" ht="18.75" x14ac:dyDescent="0.25">
      <c r="A82" s="304" t="s">
        <v>106</v>
      </c>
      <c r="B82" s="168" t="s">
        <v>107</v>
      </c>
      <c r="C82" s="248">
        <v>30</v>
      </c>
      <c r="D82" s="248">
        <v>5</v>
      </c>
      <c r="E82" s="248">
        <v>30</v>
      </c>
      <c r="F82" s="248">
        <v>35</v>
      </c>
      <c r="G82" s="250">
        <v>40</v>
      </c>
      <c r="H82" s="250">
        <v>50</v>
      </c>
      <c r="I82" s="248">
        <v>35</v>
      </c>
      <c r="J82" s="248">
        <v>35</v>
      </c>
      <c r="K82" s="248">
        <f t="shared" si="62"/>
        <v>100</v>
      </c>
    </row>
    <row r="83" spans="1:16" ht="47.25" x14ac:dyDescent="0.25">
      <c r="A83" s="166" t="s">
        <v>108</v>
      </c>
      <c r="B83" s="176" t="s">
        <v>109</v>
      </c>
      <c r="C83" s="254">
        <v>2000</v>
      </c>
      <c r="D83" s="247">
        <v>484.8</v>
      </c>
      <c r="E83" s="254">
        <v>2000</v>
      </c>
      <c r="F83" s="247">
        <v>1200</v>
      </c>
      <c r="G83" s="247">
        <v>1200</v>
      </c>
      <c r="H83" s="247">
        <v>1200</v>
      </c>
      <c r="I83" s="247">
        <v>1200</v>
      </c>
      <c r="J83" s="247">
        <v>471.7473</v>
      </c>
      <c r="K83" s="247">
        <f t="shared" si="62"/>
        <v>39.312275</v>
      </c>
    </row>
    <row r="84" spans="1:16" ht="63" x14ac:dyDescent="0.25">
      <c r="A84" s="9" t="s">
        <v>902</v>
      </c>
      <c r="B84" s="242" t="s">
        <v>903</v>
      </c>
      <c r="C84" s="254">
        <f>C85</f>
        <v>0</v>
      </c>
      <c r="D84" s="247">
        <f>SUM(D85)</f>
        <v>15</v>
      </c>
      <c r="E84" s="254">
        <f>E85</f>
        <v>15</v>
      </c>
      <c r="F84" s="247">
        <f>F85</f>
        <v>50</v>
      </c>
      <c r="G84" s="247">
        <f t="shared" ref="G84:H84" si="75">G85</f>
        <v>50</v>
      </c>
      <c r="H84" s="247">
        <f t="shared" si="75"/>
        <v>50</v>
      </c>
      <c r="I84" s="247">
        <f>I85</f>
        <v>50</v>
      </c>
      <c r="J84" s="247">
        <f t="shared" ref="J84" si="76">J85</f>
        <v>0</v>
      </c>
      <c r="K84" s="247">
        <f t="shared" si="62"/>
        <v>0</v>
      </c>
    </row>
    <row r="85" spans="1:16" ht="63" x14ac:dyDescent="0.25">
      <c r="A85" s="10" t="s">
        <v>904</v>
      </c>
      <c r="B85" s="235" t="s">
        <v>905</v>
      </c>
      <c r="C85" s="255">
        <v>0</v>
      </c>
      <c r="D85" s="248">
        <v>15</v>
      </c>
      <c r="E85" s="255">
        <v>15</v>
      </c>
      <c r="F85" s="248">
        <v>50</v>
      </c>
      <c r="G85" s="256">
        <v>50</v>
      </c>
      <c r="H85" s="256">
        <v>50</v>
      </c>
      <c r="I85" s="248">
        <v>50</v>
      </c>
      <c r="J85" s="248">
        <v>0</v>
      </c>
      <c r="K85" s="248">
        <f t="shared" si="62"/>
        <v>0</v>
      </c>
    </row>
    <row r="86" spans="1:16" ht="31.5" x14ac:dyDescent="0.25">
      <c r="A86" s="166" t="s">
        <v>110</v>
      </c>
      <c r="B86" s="176" t="s">
        <v>111</v>
      </c>
      <c r="C86" s="247">
        <f>C87</f>
        <v>5</v>
      </c>
      <c r="D86" s="247">
        <f t="shared" ref="D86" si="77">D87</f>
        <v>232.2</v>
      </c>
      <c r="E86" s="247">
        <f>E87</f>
        <v>232.2</v>
      </c>
      <c r="F86" s="247">
        <f>F87</f>
        <v>5</v>
      </c>
      <c r="G86" s="247">
        <f t="shared" ref="G86:H86" si="78">G87</f>
        <v>5</v>
      </c>
      <c r="H86" s="247">
        <f t="shared" si="78"/>
        <v>5</v>
      </c>
      <c r="I86" s="247">
        <f>I87</f>
        <v>5</v>
      </c>
      <c r="J86" s="247">
        <f t="shared" ref="J86" si="79">J87</f>
        <v>59.774529999999999</v>
      </c>
      <c r="K86" s="247">
        <f t="shared" si="62"/>
        <v>1195.4905999999999</v>
      </c>
    </row>
    <row r="87" spans="1:16" ht="31.5" x14ac:dyDescent="0.25">
      <c r="A87" s="304" t="s">
        <v>112</v>
      </c>
      <c r="B87" s="168" t="s">
        <v>113</v>
      </c>
      <c r="C87" s="248">
        <v>5</v>
      </c>
      <c r="D87" s="248">
        <v>232.2</v>
      </c>
      <c r="E87" s="248">
        <v>232.2</v>
      </c>
      <c r="F87" s="248">
        <v>5</v>
      </c>
      <c r="G87" s="250">
        <v>5</v>
      </c>
      <c r="H87" s="250">
        <v>5</v>
      </c>
      <c r="I87" s="248">
        <v>5</v>
      </c>
      <c r="J87" s="248">
        <v>59.774529999999999</v>
      </c>
      <c r="K87" s="248">
        <f t="shared" si="62"/>
        <v>1195.4905999999999</v>
      </c>
    </row>
    <row r="88" spans="1:16" ht="63" x14ac:dyDescent="0.25">
      <c r="A88" s="166" t="s">
        <v>114</v>
      </c>
      <c r="B88" s="176" t="s">
        <v>115</v>
      </c>
      <c r="C88" s="247">
        <v>215</v>
      </c>
      <c r="D88" s="247">
        <v>14</v>
      </c>
      <c r="E88" s="247">
        <v>215</v>
      </c>
      <c r="F88" s="247">
        <v>207</v>
      </c>
      <c r="G88" s="247">
        <v>207</v>
      </c>
      <c r="H88" s="247">
        <v>207</v>
      </c>
      <c r="I88" s="247">
        <v>207</v>
      </c>
      <c r="J88" s="247">
        <v>16.485220000000002</v>
      </c>
      <c r="K88" s="247">
        <f t="shared" si="62"/>
        <v>7.9638743961352665</v>
      </c>
    </row>
    <row r="89" spans="1:16" ht="31.5" x14ac:dyDescent="0.25">
      <c r="A89" s="166" t="s">
        <v>116</v>
      </c>
      <c r="B89" s="176" t="s">
        <v>117</v>
      </c>
      <c r="C89" s="247">
        <f>C90</f>
        <v>547.5</v>
      </c>
      <c r="D89" s="247">
        <f t="shared" ref="D89" si="80">D90</f>
        <v>471.3</v>
      </c>
      <c r="E89" s="247">
        <f>E90</f>
        <v>547.5</v>
      </c>
      <c r="F89" s="247">
        <f>F90</f>
        <v>331</v>
      </c>
      <c r="G89" s="247">
        <f t="shared" ref="G89:H89" si="81">G90</f>
        <v>381</v>
      </c>
      <c r="H89" s="247">
        <f t="shared" si="81"/>
        <v>381</v>
      </c>
      <c r="I89" s="247">
        <f>I90</f>
        <v>331</v>
      </c>
      <c r="J89" s="247">
        <f t="shared" ref="J89" si="82">J90</f>
        <v>284.2706</v>
      </c>
      <c r="K89" s="247">
        <f t="shared" si="62"/>
        <v>85.882356495468287</v>
      </c>
    </row>
    <row r="90" spans="1:16" ht="31.5" x14ac:dyDescent="0.25">
      <c r="A90" s="304" t="s">
        <v>118</v>
      </c>
      <c r="B90" s="168" t="s">
        <v>119</v>
      </c>
      <c r="C90" s="248">
        <v>547.5</v>
      </c>
      <c r="D90" s="248">
        <v>471.3</v>
      </c>
      <c r="E90" s="248">
        <v>547.5</v>
      </c>
      <c r="F90" s="248">
        <v>331</v>
      </c>
      <c r="G90" s="250">
        <v>381</v>
      </c>
      <c r="H90" s="250">
        <v>381</v>
      </c>
      <c r="I90" s="248">
        <v>331</v>
      </c>
      <c r="J90" s="248">
        <v>284.2706</v>
      </c>
      <c r="K90" s="248">
        <f t="shared" si="62"/>
        <v>85.882356495468287</v>
      </c>
    </row>
    <row r="91" spans="1:16" ht="18.75" x14ac:dyDescent="0.25">
      <c r="A91" s="3" t="s">
        <v>906</v>
      </c>
      <c r="B91" s="242" t="s">
        <v>907</v>
      </c>
      <c r="C91" s="248">
        <v>0</v>
      </c>
      <c r="D91" s="247">
        <f>SUM(D94+D92)</f>
        <v>726.76400000000001</v>
      </c>
      <c r="E91" s="247">
        <f t="shared" ref="E91:I91" si="83">SUM(E94+E92)</f>
        <v>359.4</v>
      </c>
      <c r="F91" s="247">
        <f t="shared" si="83"/>
        <v>0</v>
      </c>
      <c r="G91" s="247">
        <f t="shared" si="83"/>
        <v>0</v>
      </c>
      <c r="H91" s="247">
        <f t="shared" si="83"/>
        <v>0</v>
      </c>
      <c r="I91" s="247">
        <f t="shared" si="83"/>
        <v>0</v>
      </c>
      <c r="J91" s="247">
        <f t="shared" ref="J91" si="84">SUM(J94+J92)</f>
        <v>499.88080000000002</v>
      </c>
      <c r="K91" s="247" t="s">
        <v>1040</v>
      </c>
    </row>
    <row r="92" spans="1:16" ht="18.75" x14ac:dyDescent="0.25">
      <c r="A92" s="2" t="s">
        <v>908</v>
      </c>
      <c r="B92" s="242" t="s">
        <v>909</v>
      </c>
      <c r="C92" s="248">
        <v>0</v>
      </c>
      <c r="D92" s="247">
        <f>SUM(D93)</f>
        <v>367.375</v>
      </c>
      <c r="E92" s="247">
        <f t="shared" ref="E92:J92" si="85">SUM(E93)</f>
        <v>0</v>
      </c>
      <c r="F92" s="247">
        <f t="shared" si="85"/>
        <v>0</v>
      </c>
      <c r="G92" s="247">
        <f t="shared" si="85"/>
        <v>0</v>
      </c>
      <c r="H92" s="247">
        <f t="shared" si="85"/>
        <v>0</v>
      </c>
      <c r="I92" s="247">
        <f t="shared" si="85"/>
        <v>0</v>
      </c>
      <c r="J92" s="247">
        <f t="shared" si="85"/>
        <v>46.75</v>
      </c>
      <c r="K92" s="247" t="s">
        <v>1040</v>
      </c>
    </row>
    <row r="93" spans="1:16" ht="18.75" x14ac:dyDescent="0.25">
      <c r="A93" s="2" t="s">
        <v>910</v>
      </c>
      <c r="B93" s="235" t="s">
        <v>911</v>
      </c>
      <c r="C93" s="248">
        <v>0</v>
      </c>
      <c r="D93" s="248">
        <v>367.375</v>
      </c>
      <c r="E93" s="248">
        <v>0</v>
      </c>
      <c r="F93" s="248">
        <v>0</v>
      </c>
      <c r="G93" s="250">
        <v>0</v>
      </c>
      <c r="H93" s="250">
        <v>0</v>
      </c>
      <c r="I93" s="248">
        <v>0</v>
      </c>
      <c r="J93" s="248">
        <v>46.75</v>
      </c>
      <c r="K93" s="248" t="s">
        <v>1040</v>
      </c>
    </row>
    <row r="94" spans="1:16" ht="18.75" x14ac:dyDescent="0.25">
      <c r="A94" s="3" t="s">
        <v>912</v>
      </c>
      <c r="B94" s="242" t="s">
        <v>913</v>
      </c>
      <c r="C94" s="248">
        <v>0</v>
      </c>
      <c r="D94" s="247">
        <f>SUM(D95)</f>
        <v>359.38900000000001</v>
      </c>
      <c r="E94" s="247">
        <f t="shared" ref="E94:J94" si="86">SUM(E95)</f>
        <v>359.4</v>
      </c>
      <c r="F94" s="247">
        <f t="shared" si="86"/>
        <v>0</v>
      </c>
      <c r="G94" s="247">
        <f t="shared" si="86"/>
        <v>0</v>
      </c>
      <c r="H94" s="247">
        <f t="shared" si="86"/>
        <v>0</v>
      </c>
      <c r="I94" s="247">
        <f t="shared" si="86"/>
        <v>0</v>
      </c>
      <c r="J94" s="247">
        <f t="shared" si="86"/>
        <v>453.13080000000002</v>
      </c>
      <c r="K94" s="247" t="s">
        <v>1040</v>
      </c>
    </row>
    <row r="95" spans="1:16" ht="18.75" x14ac:dyDescent="0.25">
      <c r="A95" s="2" t="s">
        <v>914</v>
      </c>
      <c r="B95" s="235" t="s">
        <v>915</v>
      </c>
      <c r="C95" s="248">
        <v>0</v>
      </c>
      <c r="D95" s="248">
        <v>359.38900000000001</v>
      </c>
      <c r="E95" s="248">
        <v>359.4</v>
      </c>
      <c r="F95" s="248">
        <v>0</v>
      </c>
      <c r="G95" s="250">
        <v>0</v>
      </c>
      <c r="H95" s="250">
        <v>0</v>
      </c>
      <c r="I95" s="248">
        <v>0</v>
      </c>
      <c r="J95" s="248">
        <v>453.13080000000002</v>
      </c>
      <c r="K95" s="248" t="s">
        <v>1040</v>
      </c>
    </row>
    <row r="96" spans="1:16" ht="18.75" x14ac:dyDescent="0.25">
      <c r="A96" s="166" t="s">
        <v>120</v>
      </c>
      <c r="B96" s="167" t="s">
        <v>121</v>
      </c>
      <c r="C96" s="247" t="e">
        <f>C97</f>
        <v>#REF!</v>
      </c>
      <c r="D96" s="247" t="e">
        <f>D97+D153</f>
        <v>#REF!</v>
      </c>
      <c r="E96" s="247" t="e">
        <f>E97</f>
        <v>#REF!</v>
      </c>
      <c r="F96" s="247" t="e">
        <f>F97</f>
        <v>#REF!</v>
      </c>
      <c r="G96" s="247" t="e">
        <f t="shared" ref="G96:H96" si="87">G97</f>
        <v>#REF!</v>
      </c>
      <c r="H96" s="247" t="e">
        <f t="shared" si="87"/>
        <v>#REF!</v>
      </c>
      <c r="I96" s="247">
        <f>SUM(I97+I161)</f>
        <v>437892.2</v>
      </c>
      <c r="J96" s="247">
        <f>SUM(J97+J161)</f>
        <v>327101.05871999997</v>
      </c>
      <c r="K96" s="247">
        <f t="shared" si="62"/>
        <v>74.698991834063264</v>
      </c>
      <c r="L96" s="142"/>
      <c r="N96" s="288"/>
      <c r="P96" s="142"/>
    </row>
    <row r="97" spans="1:15" ht="31.5" x14ac:dyDescent="0.25">
      <c r="A97" s="166" t="s">
        <v>122</v>
      </c>
      <c r="B97" s="167" t="s">
        <v>123</v>
      </c>
      <c r="C97" s="247" t="e">
        <f t="shared" ref="C97:H97" si="88">C98+C103+C128+C149</f>
        <v>#REF!</v>
      </c>
      <c r="D97" s="247" t="e">
        <f t="shared" si="88"/>
        <v>#REF!</v>
      </c>
      <c r="E97" s="247" t="e">
        <f t="shared" si="88"/>
        <v>#REF!</v>
      </c>
      <c r="F97" s="247" t="e">
        <f t="shared" si="88"/>
        <v>#REF!</v>
      </c>
      <c r="G97" s="247" t="e">
        <f t="shared" si="88"/>
        <v>#REF!</v>
      </c>
      <c r="H97" s="247" t="e">
        <f t="shared" si="88"/>
        <v>#REF!</v>
      </c>
      <c r="I97" s="247">
        <f>SUM(I98+I103+I128+I149+I153)</f>
        <v>437892.2</v>
      </c>
      <c r="J97" s="247">
        <f>SUM(J98+J103+J128+J149+J153)</f>
        <v>327827.23</v>
      </c>
      <c r="K97" s="247">
        <f t="shared" si="62"/>
        <v>74.86482517843433</v>
      </c>
      <c r="N97" s="288"/>
      <c r="O97" s="142"/>
    </row>
    <row r="98" spans="1:15" ht="18.75" x14ac:dyDescent="0.25">
      <c r="A98" s="166" t="s">
        <v>124</v>
      </c>
      <c r="B98" s="177" t="s">
        <v>125</v>
      </c>
      <c r="C98" s="247">
        <f>C99</f>
        <v>105360</v>
      </c>
      <c r="D98" s="247">
        <f t="shared" ref="D98" si="89">D99</f>
        <v>79011</v>
      </c>
      <c r="E98" s="247">
        <f>E99</f>
        <v>105360</v>
      </c>
      <c r="F98" s="247">
        <f>F99</f>
        <v>115839.7</v>
      </c>
      <c r="G98" s="247">
        <f t="shared" ref="G98:H98" si="90">G99</f>
        <v>105360</v>
      </c>
      <c r="H98" s="247">
        <f t="shared" si="90"/>
        <v>105360</v>
      </c>
      <c r="I98" s="247">
        <f>I99+I102</f>
        <v>113908.9</v>
      </c>
      <c r="J98" s="247">
        <f t="shared" ref="J98" si="91">J99+J102</f>
        <v>85698.9</v>
      </c>
      <c r="K98" s="247">
        <f t="shared" si="62"/>
        <v>75.234595365243635</v>
      </c>
    </row>
    <row r="99" spans="1:15" ht="31.5" x14ac:dyDescent="0.25">
      <c r="A99" s="166" t="s">
        <v>126</v>
      </c>
      <c r="B99" s="167" t="s">
        <v>127</v>
      </c>
      <c r="C99" s="247">
        <f>SUM(C100+C101)</f>
        <v>105360</v>
      </c>
      <c r="D99" s="247">
        <f t="shared" ref="D99" si="92">SUM(D100+D101)</f>
        <v>79011</v>
      </c>
      <c r="E99" s="247">
        <f>SUM(E100+E101)</f>
        <v>105360</v>
      </c>
      <c r="F99" s="247">
        <f>SUM(F100+F101)</f>
        <v>115839.7</v>
      </c>
      <c r="G99" s="247">
        <f t="shared" ref="G99:H99" si="93">SUM(G100+G101)</f>
        <v>105360</v>
      </c>
      <c r="H99" s="247">
        <f t="shared" si="93"/>
        <v>105360</v>
      </c>
      <c r="I99" s="247">
        <f>SUM(I100+I101)</f>
        <v>112828</v>
      </c>
      <c r="J99" s="247">
        <f t="shared" ref="J99" si="94">SUM(J100+J101)</f>
        <v>84618</v>
      </c>
      <c r="K99" s="247">
        <f t="shared" si="62"/>
        <v>74.99734108554614</v>
      </c>
      <c r="L99" s="142"/>
    </row>
    <row r="100" spans="1:15" ht="94.5" x14ac:dyDescent="0.25">
      <c r="A100" s="169" t="s">
        <v>126</v>
      </c>
      <c r="B100" s="174" t="s">
        <v>128</v>
      </c>
      <c r="C100" s="248">
        <v>104300</v>
      </c>
      <c r="D100" s="248">
        <v>78219</v>
      </c>
      <c r="E100" s="248">
        <v>104300</v>
      </c>
      <c r="F100" s="248">
        <f>104300+28315-2567.5-18351+5224.9+38-9780.7+7561+40</f>
        <v>114779.7</v>
      </c>
      <c r="G100" s="248">
        <v>104300</v>
      </c>
      <c r="H100" s="248">
        <v>104300</v>
      </c>
      <c r="I100" s="248">
        <v>111781</v>
      </c>
      <c r="J100" s="248">
        <v>83835</v>
      </c>
      <c r="K100" s="248">
        <f t="shared" si="62"/>
        <v>74.99932904518657</v>
      </c>
    </row>
    <row r="101" spans="1:15" ht="94.5" x14ac:dyDescent="0.25">
      <c r="A101" s="169" t="s">
        <v>126</v>
      </c>
      <c r="B101" s="174" t="s">
        <v>129</v>
      </c>
      <c r="C101" s="248">
        <v>1060</v>
      </c>
      <c r="D101" s="248">
        <v>792</v>
      </c>
      <c r="E101" s="248">
        <v>1060</v>
      </c>
      <c r="F101" s="248">
        <v>1060</v>
      </c>
      <c r="G101" s="248">
        <v>1060</v>
      </c>
      <c r="H101" s="248">
        <v>1060</v>
      </c>
      <c r="I101" s="248">
        <v>1047</v>
      </c>
      <c r="J101" s="248">
        <v>783</v>
      </c>
      <c r="K101" s="248">
        <f t="shared" si="62"/>
        <v>74.785100286532952</v>
      </c>
    </row>
    <row r="102" spans="1:15" s="285" customFormat="1" ht="31.5" x14ac:dyDescent="0.25">
      <c r="A102" s="163" t="s">
        <v>1024</v>
      </c>
      <c r="B102" s="167" t="s">
        <v>1025</v>
      </c>
      <c r="C102" s="247">
        <v>105360</v>
      </c>
      <c r="D102" s="247">
        <v>79011</v>
      </c>
      <c r="E102" s="247">
        <v>105360</v>
      </c>
      <c r="F102" s="247">
        <v>115839.7</v>
      </c>
      <c r="G102" s="247">
        <v>105360</v>
      </c>
      <c r="H102" s="247">
        <v>105360</v>
      </c>
      <c r="I102" s="247">
        <v>1080.9000000000001</v>
      </c>
      <c r="J102" s="247">
        <v>1080.9000000000001</v>
      </c>
      <c r="K102" s="247">
        <f t="shared" si="62"/>
        <v>100</v>
      </c>
    </row>
    <row r="103" spans="1:15" ht="30" customHeight="1" x14ac:dyDescent="0.25">
      <c r="A103" s="166" t="s">
        <v>130</v>
      </c>
      <c r="B103" s="167" t="s">
        <v>131</v>
      </c>
      <c r="C103" s="247" t="e">
        <f t="shared" ref="C103:H103" si="95">C104+C106+C108+C110</f>
        <v>#REF!</v>
      </c>
      <c r="D103" s="247" t="e">
        <f t="shared" si="95"/>
        <v>#REF!</v>
      </c>
      <c r="E103" s="247" t="e">
        <f t="shared" si="95"/>
        <v>#REF!</v>
      </c>
      <c r="F103" s="247" t="e">
        <f t="shared" si="95"/>
        <v>#REF!</v>
      </c>
      <c r="G103" s="247" t="e">
        <f t="shared" si="95"/>
        <v>#REF!</v>
      </c>
      <c r="H103" s="247" t="e">
        <f t="shared" si="95"/>
        <v>#REF!</v>
      </c>
      <c r="I103" s="247">
        <f>I104+I108+I106+I110</f>
        <v>97748.800000000003</v>
      </c>
      <c r="J103" s="247">
        <f t="shared" ref="J103" si="96">J104+J108+J106+J110</f>
        <v>75920.959999999992</v>
      </c>
      <c r="K103" s="247">
        <f t="shared" si="62"/>
        <v>77.669454765685103</v>
      </c>
      <c r="L103" s="142"/>
      <c r="M103" s="142"/>
      <c r="N103" s="288"/>
      <c r="O103" s="142"/>
    </row>
    <row r="104" spans="1:15" ht="31.5" x14ac:dyDescent="0.25">
      <c r="A104" s="178" t="s">
        <v>996</v>
      </c>
      <c r="B104" s="167" t="s">
        <v>1004</v>
      </c>
      <c r="C104" s="247">
        <f>SUM(C105)</f>
        <v>319</v>
      </c>
      <c r="D104" s="247">
        <f t="shared" ref="D104" si="97">SUM(D105)</f>
        <v>319</v>
      </c>
      <c r="E104" s="247">
        <f>SUM(E105)</f>
        <v>319</v>
      </c>
      <c r="F104" s="247">
        <f>SUM(F105)</f>
        <v>0</v>
      </c>
      <c r="G104" s="247">
        <f t="shared" ref="G104:H104" si="98">SUM(G105)</f>
        <v>0</v>
      </c>
      <c r="H104" s="247">
        <f t="shared" si="98"/>
        <v>0</v>
      </c>
      <c r="I104" s="247">
        <f>SUM(I105)</f>
        <v>783.1</v>
      </c>
      <c r="J104" s="247">
        <f t="shared" ref="J104" si="99">SUM(J105)</f>
        <v>142.12</v>
      </c>
      <c r="K104" s="247">
        <f t="shared" si="62"/>
        <v>18.148384625207509</v>
      </c>
      <c r="M104" s="179"/>
    </row>
    <row r="105" spans="1:15" s="179" customFormat="1" ht="110.25" x14ac:dyDescent="0.25">
      <c r="A105" s="305" t="s">
        <v>996</v>
      </c>
      <c r="B105" s="174" t="s">
        <v>981</v>
      </c>
      <c r="C105" s="248">
        <v>319</v>
      </c>
      <c r="D105" s="248">
        <v>319</v>
      </c>
      <c r="E105" s="248">
        <v>319</v>
      </c>
      <c r="F105" s="248">
        <v>0</v>
      </c>
      <c r="G105" s="248">
        <v>0</v>
      </c>
      <c r="H105" s="248">
        <v>0</v>
      </c>
      <c r="I105" s="248">
        <v>783.1</v>
      </c>
      <c r="J105" s="248">
        <v>142.12</v>
      </c>
      <c r="K105" s="248">
        <f t="shared" si="62"/>
        <v>18.148384625207509</v>
      </c>
    </row>
    <row r="106" spans="1:15" ht="31.5" x14ac:dyDescent="0.25">
      <c r="A106" s="178" t="s">
        <v>781</v>
      </c>
      <c r="B106" s="167" t="s">
        <v>1018</v>
      </c>
      <c r="C106" s="247">
        <f>SUM(C107)</f>
        <v>3.5</v>
      </c>
      <c r="D106" s="247">
        <f t="shared" ref="D106" si="100">SUM(D107)</f>
        <v>3.5</v>
      </c>
      <c r="E106" s="247">
        <f>SUM(E107)</f>
        <v>3.5</v>
      </c>
      <c r="F106" s="247">
        <f>SUM(F107)</f>
        <v>0</v>
      </c>
      <c r="G106" s="247">
        <f t="shared" ref="G106:H106" si="101">SUM(G107)</f>
        <v>0</v>
      </c>
      <c r="H106" s="247">
        <f t="shared" si="101"/>
        <v>0</v>
      </c>
      <c r="I106" s="247">
        <f>SUM(I107)</f>
        <v>3.3</v>
      </c>
      <c r="J106" s="247">
        <f t="shared" ref="J106" si="102">SUM(J107)</f>
        <v>0</v>
      </c>
      <c r="K106" s="247">
        <f t="shared" si="62"/>
        <v>0</v>
      </c>
    </row>
    <row r="107" spans="1:15" s="179" customFormat="1" ht="78.75" x14ac:dyDescent="0.25">
      <c r="A107" s="305" t="s">
        <v>781</v>
      </c>
      <c r="B107" s="174" t="s">
        <v>977</v>
      </c>
      <c r="C107" s="248">
        <v>3.5</v>
      </c>
      <c r="D107" s="248">
        <v>3.5</v>
      </c>
      <c r="E107" s="248">
        <v>3.5</v>
      </c>
      <c r="F107" s="248">
        <v>0</v>
      </c>
      <c r="G107" s="248">
        <v>0</v>
      </c>
      <c r="H107" s="248">
        <v>0</v>
      </c>
      <c r="I107" s="248">
        <v>3.3</v>
      </c>
      <c r="J107" s="248">
        <v>0</v>
      </c>
      <c r="K107" s="248">
        <f t="shared" si="62"/>
        <v>0</v>
      </c>
    </row>
    <row r="108" spans="1:15" ht="47.25" x14ac:dyDescent="0.25">
      <c r="A108" s="178" t="s">
        <v>783</v>
      </c>
      <c r="B108" s="167" t="s">
        <v>782</v>
      </c>
      <c r="C108" s="247">
        <f>SUM(C109)</f>
        <v>1406.9</v>
      </c>
      <c r="D108" s="247">
        <f t="shared" ref="D108" si="103">SUM(D109)</f>
        <v>1406.9</v>
      </c>
      <c r="E108" s="247">
        <f>SUM(E109)</f>
        <v>1406.9</v>
      </c>
      <c r="F108" s="247">
        <f>SUM(F109)</f>
        <v>0</v>
      </c>
      <c r="G108" s="247">
        <f t="shared" ref="G108:H108" si="104">SUM(G109)</f>
        <v>0</v>
      </c>
      <c r="H108" s="247">
        <f t="shared" si="104"/>
        <v>0</v>
      </c>
      <c r="I108" s="247">
        <f>SUM(I109)</f>
        <v>1525.2</v>
      </c>
      <c r="J108" s="247">
        <f t="shared" ref="J108" si="105">SUM(J109)</f>
        <v>0</v>
      </c>
      <c r="K108" s="247">
        <f t="shared" si="62"/>
        <v>0</v>
      </c>
      <c r="M108" s="179"/>
    </row>
    <row r="109" spans="1:15" s="179" customFormat="1" ht="110.25" x14ac:dyDescent="0.25">
      <c r="A109" s="305" t="s">
        <v>783</v>
      </c>
      <c r="B109" s="174" t="s">
        <v>938</v>
      </c>
      <c r="C109" s="248">
        <v>1406.9</v>
      </c>
      <c r="D109" s="248">
        <v>1406.9</v>
      </c>
      <c r="E109" s="248">
        <v>1406.9</v>
      </c>
      <c r="F109" s="248">
        <v>0</v>
      </c>
      <c r="G109" s="248">
        <v>0</v>
      </c>
      <c r="H109" s="248">
        <v>0</v>
      </c>
      <c r="I109" s="248">
        <f>1387.9+137.3</f>
        <v>1525.2</v>
      </c>
      <c r="J109" s="248">
        <v>0</v>
      </c>
      <c r="K109" s="248">
        <f t="shared" si="62"/>
        <v>0</v>
      </c>
    </row>
    <row r="110" spans="1:15" s="285" customFormat="1" ht="18.75" x14ac:dyDescent="0.25">
      <c r="A110" s="322" t="s">
        <v>132</v>
      </c>
      <c r="B110" s="167" t="s">
        <v>133</v>
      </c>
      <c r="C110" s="247" t="e">
        <f>SUM(C112+C113+C114+C115+C118+C119+#REF!+C120+#REF!+#REF!+#REF!+C121+#REF!+#REF!+#REF!+#REF!+#REF!+#REF!)</f>
        <v>#REF!</v>
      </c>
      <c r="D110" s="247" t="e">
        <f>SUM(D112+D113+D114+D115+D118+D119+#REF!+D120+#REF!+#REF!+#REF!+D121+#REF!+#REF!+#REF!+#REF!+#REF!+#REF!)</f>
        <v>#REF!</v>
      </c>
      <c r="E110" s="247" t="e">
        <f>SUM(E112+E113+E114+E115+E118+E119+#REF!+E120+#REF!+#REF!+#REF!+E121+#REF!+#REF!+#REF!+#REF!+#REF!+#REF!)</f>
        <v>#REF!</v>
      </c>
      <c r="F110" s="247" t="e">
        <f>SUM(F112+F113+F114+F115+F118+F119+#REF!+F120+#REF!+#REF!+#REF!+F121+#REF!+#REF!+#REF!+#REF!+#REF!+#REF!)</f>
        <v>#REF!</v>
      </c>
      <c r="G110" s="247" t="e">
        <f>SUM(G112+G113+G114+G115+G118+G119+#REF!+G120+#REF!+#REF!+#REF!+G121+#REF!+#REF!+#REF!+#REF!+#REF!+#REF!)</f>
        <v>#REF!</v>
      </c>
      <c r="H110" s="247" t="e">
        <f>SUM(H112+H113+H114+H115+H118+H119+#REF!+H120+#REF!+#REF!+#REF!+H121+#REF!+#REF!+#REF!+#REF!+#REF!+#REF!)</f>
        <v>#REF!</v>
      </c>
      <c r="I110" s="292">
        <f>SUM(I112+I113+I114+I115+I118+I119+I120+I121+I122+I123+I124+I125+I126+I127)</f>
        <v>95437.2</v>
      </c>
      <c r="J110" s="292">
        <f t="shared" ref="J110" si="106">SUM(J112+J113+J114+J115+J118+J119+J120+J121+J122+J123+J124+J125+J126+J127)</f>
        <v>75778.84</v>
      </c>
      <c r="K110" s="292">
        <f t="shared" si="62"/>
        <v>79.40178462905449</v>
      </c>
      <c r="M110" s="288"/>
      <c r="O110" s="286"/>
    </row>
    <row r="111" spans="1:15" ht="18.75" x14ac:dyDescent="0.25">
      <c r="A111" s="323"/>
      <c r="B111" s="174" t="s">
        <v>134</v>
      </c>
      <c r="C111" s="248"/>
      <c r="D111" s="248"/>
      <c r="E111" s="248"/>
      <c r="F111" s="248"/>
      <c r="G111" s="248"/>
      <c r="H111" s="248"/>
      <c r="I111" s="248"/>
      <c r="J111" s="248"/>
      <c r="K111" s="248"/>
    </row>
    <row r="112" spans="1:15" ht="141.75" x14ac:dyDescent="0.25">
      <c r="A112" s="323"/>
      <c r="B112" s="174" t="s">
        <v>933</v>
      </c>
      <c r="C112" s="248">
        <v>18292</v>
      </c>
      <c r="D112" s="248">
        <v>13716</v>
      </c>
      <c r="E112" s="248">
        <v>18292</v>
      </c>
      <c r="F112" s="248">
        <v>18292</v>
      </c>
      <c r="G112" s="248">
        <v>18292</v>
      </c>
      <c r="H112" s="248">
        <v>18292</v>
      </c>
      <c r="I112" s="248">
        <f>55654+16114</f>
        <v>71768</v>
      </c>
      <c r="J112" s="248">
        <v>53820</v>
      </c>
      <c r="K112" s="248">
        <f t="shared" si="62"/>
        <v>74.991639728012487</v>
      </c>
    </row>
    <row r="113" spans="1:18" ht="78.75" x14ac:dyDescent="0.25">
      <c r="A113" s="323"/>
      <c r="B113" s="168" t="s">
        <v>947</v>
      </c>
      <c r="C113" s="248">
        <v>177.3</v>
      </c>
      <c r="D113" s="248">
        <v>0</v>
      </c>
      <c r="E113" s="248">
        <v>177.3</v>
      </c>
      <c r="F113" s="248">
        <v>177.3</v>
      </c>
      <c r="G113" s="248">
        <v>177.3</v>
      </c>
      <c r="H113" s="248">
        <v>177.3</v>
      </c>
      <c r="I113" s="248">
        <v>177.3</v>
      </c>
      <c r="J113" s="248">
        <v>177.3</v>
      </c>
      <c r="K113" s="248">
        <f t="shared" si="62"/>
        <v>100</v>
      </c>
    </row>
    <row r="114" spans="1:18" ht="94.5" x14ac:dyDescent="0.25">
      <c r="A114" s="323"/>
      <c r="B114" s="180" t="s">
        <v>795</v>
      </c>
      <c r="C114" s="257">
        <v>1303.8</v>
      </c>
      <c r="D114" s="257">
        <v>1303.8</v>
      </c>
      <c r="E114" s="257">
        <v>1303.8</v>
      </c>
      <c r="F114" s="257">
        <v>1303.8</v>
      </c>
      <c r="G114" s="257">
        <v>1303.8</v>
      </c>
      <c r="H114" s="257">
        <v>1303.8</v>
      </c>
      <c r="I114" s="257">
        <v>1303.8</v>
      </c>
      <c r="J114" s="257">
        <v>1303.8</v>
      </c>
      <c r="K114" s="257">
        <f t="shared" si="62"/>
        <v>100</v>
      </c>
      <c r="O114" s="142"/>
    </row>
    <row r="115" spans="1:18" ht="63" x14ac:dyDescent="0.25">
      <c r="A115" s="323"/>
      <c r="B115" s="181" t="s">
        <v>935</v>
      </c>
      <c r="C115" s="258">
        <f>SUM(C116:C117)</f>
        <v>72</v>
      </c>
      <c r="D115" s="258">
        <f>SUM(D116:D117)</f>
        <v>20</v>
      </c>
      <c r="E115" s="258">
        <f>SUM(E116:E117)</f>
        <v>72</v>
      </c>
      <c r="F115" s="258">
        <f>SUM(F116:F117)</f>
        <v>72</v>
      </c>
      <c r="G115" s="258">
        <f t="shared" ref="G115:H115" si="107">SUM(G116:G117)</f>
        <v>72</v>
      </c>
      <c r="H115" s="258">
        <f t="shared" si="107"/>
        <v>72</v>
      </c>
      <c r="I115" s="258">
        <f>SUM(I116:I117)</f>
        <v>50</v>
      </c>
      <c r="J115" s="258">
        <f t="shared" ref="J115" si="108">SUM(J116:J117)</f>
        <v>20.5</v>
      </c>
      <c r="K115" s="258">
        <f t="shared" si="62"/>
        <v>41</v>
      </c>
      <c r="M115" s="182"/>
    </row>
    <row r="116" spans="1:18" s="182" customFormat="1" ht="94.5" hidden="1" customHeight="1" x14ac:dyDescent="0.25">
      <c r="A116" s="323"/>
      <c r="B116" s="199" t="s">
        <v>784</v>
      </c>
      <c r="C116" s="259">
        <v>32</v>
      </c>
      <c r="D116" s="259">
        <v>0</v>
      </c>
      <c r="E116" s="259">
        <v>32</v>
      </c>
      <c r="F116" s="259">
        <v>32</v>
      </c>
      <c r="G116" s="259">
        <v>32</v>
      </c>
      <c r="H116" s="259">
        <v>32</v>
      </c>
      <c r="I116" s="259">
        <v>0</v>
      </c>
      <c r="J116" s="259">
        <v>0</v>
      </c>
      <c r="K116" s="259" t="e">
        <f t="shared" si="62"/>
        <v>#DIV/0!</v>
      </c>
      <c r="R116" s="157"/>
    </row>
    <row r="117" spans="1:18" s="182" customFormat="1" ht="110.25" x14ac:dyDescent="0.25">
      <c r="A117" s="323"/>
      <c r="B117" s="200" t="s">
        <v>976</v>
      </c>
      <c r="C117" s="260">
        <v>40</v>
      </c>
      <c r="D117" s="260">
        <v>20</v>
      </c>
      <c r="E117" s="260">
        <v>40</v>
      </c>
      <c r="F117" s="260">
        <v>40</v>
      </c>
      <c r="G117" s="260">
        <v>40</v>
      </c>
      <c r="H117" s="260">
        <v>40</v>
      </c>
      <c r="I117" s="260">
        <v>50</v>
      </c>
      <c r="J117" s="260">
        <v>20.5</v>
      </c>
      <c r="K117" s="260">
        <f t="shared" si="62"/>
        <v>41</v>
      </c>
      <c r="R117" s="157"/>
    </row>
    <row r="118" spans="1:18" ht="78.75" x14ac:dyDescent="0.25">
      <c r="A118" s="323"/>
      <c r="B118" s="168" t="s">
        <v>135</v>
      </c>
      <c r="C118" s="248">
        <v>1293.5999999999999</v>
      </c>
      <c r="D118" s="248">
        <v>580</v>
      </c>
      <c r="E118" s="248">
        <v>1293.5999999999999</v>
      </c>
      <c r="F118" s="248">
        <v>1293.5999999999999</v>
      </c>
      <c r="G118" s="248">
        <v>1293.5999999999999</v>
      </c>
      <c r="H118" s="248">
        <v>1293.5999999999999</v>
      </c>
      <c r="I118" s="248">
        <v>1293.5999999999999</v>
      </c>
      <c r="J118" s="248">
        <v>813.6</v>
      </c>
      <c r="K118" s="248">
        <f t="shared" si="62"/>
        <v>62.894248608534333</v>
      </c>
    </row>
    <row r="119" spans="1:18" ht="78.75" x14ac:dyDescent="0.25">
      <c r="A119" s="323"/>
      <c r="B119" s="168" t="s">
        <v>936</v>
      </c>
      <c r="C119" s="248">
        <v>450</v>
      </c>
      <c r="D119" s="248">
        <v>280</v>
      </c>
      <c r="E119" s="248">
        <v>450</v>
      </c>
      <c r="F119" s="248">
        <v>450</v>
      </c>
      <c r="G119" s="248">
        <v>450</v>
      </c>
      <c r="H119" s="248">
        <v>450</v>
      </c>
      <c r="I119" s="248">
        <v>510</v>
      </c>
      <c r="J119" s="248">
        <v>340</v>
      </c>
      <c r="K119" s="248">
        <f t="shared" si="62"/>
        <v>66.666666666666657</v>
      </c>
    </row>
    <row r="120" spans="1:18" ht="94.5" x14ac:dyDescent="0.25">
      <c r="A120" s="323"/>
      <c r="B120" s="168" t="s">
        <v>937</v>
      </c>
      <c r="C120" s="248">
        <v>488.7</v>
      </c>
      <c r="D120" s="248">
        <v>288.3</v>
      </c>
      <c r="E120" s="248">
        <v>488.7</v>
      </c>
      <c r="F120" s="248">
        <v>488.7</v>
      </c>
      <c r="G120" s="248">
        <v>488.7</v>
      </c>
      <c r="H120" s="248">
        <v>488.7</v>
      </c>
      <c r="I120" s="248">
        <v>488.7</v>
      </c>
      <c r="J120" s="248">
        <v>352.3</v>
      </c>
      <c r="K120" s="248">
        <f t="shared" si="62"/>
        <v>72.089216288111331</v>
      </c>
    </row>
    <row r="121" spans="1:18" ht="94.5" x14ac:dyDescent="0.25">
      <c r="A121" s="323"/>
      <c r="B121" s="168" t="s">
        <v>954</v>
      </c>
      <c r="C121" s="248">
        <v>0.5</v>
      </c>
      <c r="D121" s="248">
        <v>0.5</v>
      </c>
      <c r="E121" s="248">
        <v>0.5</v>
      </c>
      <c r="F121" s="248">
        <v>0</v>
      </c>
      <c r="G121" s="248">
        <v>0</v>
      </c>
      <c r="H121" s="248">
        <v>0</v>
      </c>
      <c r="I121" s="248">
        <v>16042</v>
      </c>
      <c r="J121" s="248">
        <v>16042</v>
      </c>
      <c r="K121" s="248">
        <f t="shared" si="62"/>
        <v>100</v>
      </c>
    </row>
    <row r="122" spans="1:18" ht="78.75" x14ac:dyDescent="0.25">
      <c r="A122" s="323"/>
      <c r="B122" s="279" t="s">
        <v>967</v>
      </c>
      <c r="C122" s="248"/>
      <c r="D122" s="248"/>
      <c r="E122" s="248"/>
      <c r="F122" s="248"/>
      <c r="G122" s="248"/>
      <c r="H122" s="248"/>
      <c r="I122" s="248">
        <f>1915.9+255</f>
        <v>2170.9</v>
      </c>
      <c r="J122" s="248">
        <f t="shared" ref="J122" si="109">1915.9+255</f>
        <v>2170.9</v>
      </c>
      <c r="K122" s="248">
        <f t="shared" si="62"/>
        <v>100</v>
      </c>
    </row>
    <row r="123" spans="1:18" ht="94.5" x14ac:dyDescent="0.25">
      <c r="A123" s="323"/>
      <c r="B123" s="279" t="s">
        <v>971</v>
      </c>
      <c r="C123" s="248"/>
      <c r="D123" s="248"/>
      <c r="E123" s="248"/>
      <c r="F123" s="248"/>
      <c r="G123" s="248"/>
      <c r="H123" s="248"/>
      <c r="I123" s="248">
        <v>289.60000000000002</v>
      </c>
      <c r="J123" s="248">
        <v>289.60000000000002</v>
      </c>
      <c r="K123" s="248">
        <f t="shared" si="62"/>
        <v>100</v>
      </c>
    </row>
    <row r="124" spans="1:18" s="283" customFormat="1" ht="47.25" x14ac:dyDescent="0.2">
      <c r="A124" s="323"/>
      <c r="B124" s="279" t="s">
        <v>980</v>
      </c>
      <c r="C124" s="287">
        <v>0</v>
      </c>
      <c r="D124" s="287">
        <v>0</v>
      </c>
      <c r="E124" s="287">
        <v>0</v>
      </c>
      <c r="F124" s="287">
        <f t="shared" ref="F124:G124" si="110">SUM(E124-D124)</f>
        <v>0</v>
      </c>
      <c r="G124" s="287">
        <f t="shared" si="110"/>
        <v>0</v>
      </c>
      <c r="H124" s="287">
        <f t="shared" ref="H124" si="111">SUM(G124-F124)</f>
        <v>0</v>
      </c>
      <c r="I124" s="287">
        <v>670</v>
      </c>
      <c r="J124" s="287">
        <v>0</v>
      </c>
      <c r="K124" s="287">
        <f t="shared" si="62"/>
        <v>0</v>
      </c>
    </row>
    <row r="125" spans="1:18" s="283" customFormat="1" ht="78.75" x14ac:dyDescent="0.2">
      <c r="A125" s="323"/>
      <c r="B125" s="279" t="s">
        <v>1015</v>
      </c>
      <c r="C125" s="287"/>
      <c r="D125" s="287"/>
      <c r="E125" s="287"/>
      <c r="F125" s="287"/>
      <c r="G125" s="287"/>
      <c r="H125" s="287"/>
      <c r="I125" s="287">
        <v>500</v>
      </c>
      <c r="J125" s="287">
        <v>399.94</v>
      </c>
      <c r="K125" s="287">
        <f t="shared" si="62"/>
        <v>79.988</v>
      </c>
    </row>
    <row r="126" spans="1:18" s="283" customFormat="1" ht="157.5" x14ac:dyDescent="0.2">
      <c r="A126" s="323"/>
      <c r="B126" s="279" t="s">
        <v>1016</v>
      </c>
      <c r="C126" s="287"/>
      <c r="D126" s="287"/>
      <c r="E126" s="287"/>
      <c r="F126" s="287"/>
      <c r="G126" s="287"/>
      <c r="H126" s="287"/>
      <c r="I126" s="287">
        <v>124.4</v>
      </c>
      <c r="J126" s="287">
        <v>0</v>
      </c>
      <c r="K126" s="287">
        <f t="shared" si="62"/>
        <v>0</v>
      </c>
    </row>
    <row r="127" spans="1:18" s="283" customFormat="1" ht="31.5" x14ac:dyDescent="0.2">
      <c r="A127" s="324"/>
      <c r="B127" s="279" t="s">
        <v>1020</v>
      </c>
      <c r="C127" s="287"/>
      <c r="D127" s="287"/>
      <c r="E127" s="287"/>
      <c r="F127" s="287"/>
      <c r="G127" s="287"/>
      <c r="H127" s="287"/>
      <c r="I127" s="287">
        <v>48.9</v>
      </c>
      <c r="J127" s="287">
        <v>48.9</v>
      </c>
      <c r="K127" s="287">
        <f t="shared" si="62"/>
        <v>100</v>
      </c>
    </row>
    <row r="128" spans="1:18" ht="18.75" x14ac:dyDescent="0.25">
      <c r="A128" s="166" t="s">
        <v>136</v>
      </c>
      <c r="B128" s="176" t="s">
        <v>137</v>
      </c>
      <c r="C128" s="247">
        <f t="shared" ref="C128:H128" si="112">C147+C129</f>
        <v>153786.49999999997</v>
      </c>
      <c r="D128" s="247">
        <f t="shared" si="112"/>
        <v>126329.75700000001</v>
      </c>
      <c r="E128" s="247">
        <f t="shared" si="112"/>
        <v>153786.49999999997</v>
      </c>
      <c r="F128" s="247">
        <f t="shared" si="112"/>
        <v>151654.49999999997</v>
      </c>
      <c r="G128" s="247">
        <f t="shared" si="112"/>
        <v>151654.49999999997</v>
      </c>
      <c r="H128" s="247">
        <f t="shared" si="112"/>
        <v>151654.49999999997</v>
      </c>
      <c r="I128" s="247">
        <f>I147+I129+I145</f>
        <v>169442.7</v>
      </c>
      <c r="J128" s="247">
        <f t="shared" ref="J128" si="113">J147+J129+J145</f>
        <v>134810.12000000002</v>
      </c>
      <c r="K128" s="247">
        <f t="shared" si="62"/>
        <v>79.560889905555101</v>
      </c>
      <c r="L128" s="142"/>
    </row>
    <row r="129" spans="1:11" ht="31.5" x14ac:dyDescent="0.25">
      <c r="A129" s="166" t="s">
        <v>138</v>
      </c>
      <c r="B129" s="176" t="s">
        <v>139</v>
      </c>
      <c r="C129" s="247">
        <f>C130</f>
        <v>153084.69999999998</v>
      </c>
      <c r="D129" s="247">
        <f t="shared" ref="D129" si="114">D130</f>
        <v>125634.50700000001</v>
      </c>
      <c r="E129" s="247">
        <f>E130</f>
        <v>153084.69999999998</v>
      </c>
      <c r="F129" s="247">
        <f>F130</f>
        <v>150952.69999999998</v>
      </c>
      <c r="G129" s="247">
        <f t="shared" ref="G129:H129" si="115">G130</f>
        <v>150952.69999999998</v>
      </c>
      <c r="H129" s="247">
        <f t="shared" si="115"/>
        <v>150952.69999999998</v>
      </c>
      <c r="I129" s="247">
        <f>I130</f>
        <v>168673.1</v>
      </c>
      <c r="J129" s="247">
        <f t="shared" ref="J129" si="116">J130</f>
        <v>134154.82</v>
      </c>
      <c r="K129" s="247">
        <f t="shared" si="62"/>
        <v>79.535397167657436</v>
      </c>
    </row>
    <row r="130" spans="1:11" ht="31.5" x14ac:dyDescent="0.25">
      <c r="A130" s="322" t="s">
        <v>140</v>
      </c>
      <c r="B130" s="168" t="s">
        <v>141</v>
      </c>
      <c r="C130" s="248">
        <f t="shared" ref="C130:I130" si="117">SUM(C132+C133+C134+C135+C136+C137+C138+C141+C142+C143+C144)</f>
        <v>153084.69999999998</v>
      </c>
      <c r="D130" s="248">
        <f t="shared" si="117"/>
        <v>125634.50700000001</v>
      </c>
      <c r="E130" s="248">
        <f t="shared" si="117"/>
        <v>153084.69999999998</v>
      </c>
      <c r="F130" s="248">
        <f t="shared" si="117"/>
        <v>150952.69999999998</v>
      </c>
      <c r="G130" s="248">
        <f t="shared" si="117"/>
        <v>150952.69999999998</v>
      </c>
      <c r="H130" s="248">
        <f t="shared" si="117"/>
        <v>150952.69999999998</v>
      </c>
      <c r="I130" s="248">
        <f t="shared" si="117"/>
        <v>168673.1</v>
      </c>
      <c r="J130" s="248">
        <f t="shared" ref="J130" si="118">SUM(J132+J133+J134+J135+J136+J137+J138+J141+J142+J143+J144)</f>
        <v>134154.82</v>
      </c>
      <c r="K130" s="248">
        <f t="shared" si="62"/>
        <v>79.535397167657436</v>
      </c>
    </row>
    <row r="131" spans="1:11" ht="18.75" x14ac:dyDescent="0.25">
      <c r="A131" s="323"/>
      <c r="B131" s="168" t="s">
        <v>142</v>
      </c>
      <c r="C131" s="248"/>
      <c r="D131" s="248"/>
      <c r="E131" s="248"/>
      <c r="F131" s="248"/>
      <c r="G131" s="248"/>
      <c r="H131" s="248"/>
      <c r="I131" s="248"/>
      <c r="J131" s="248"/>
      <c r="K131" s="248"/>
    </row>
    <row r="132" spans="1:11" ht="110.25" x14ac:dyDescent="0.25">
      <c r="A132" s="323"/>
      <c r="B132" s="180" t="s">
        <v>796</v>
      </c>
      <c r="C132" s="258">
        <v>79753.600000000006</v>
      </c>
      <c r="D132" s="258">
        <v>66712.5</v>
      </c>
      <c r="E132" s="258">
        <v>79753.600000000006</v>
      </c>
      <c r="F132" s="258">
        <v>79753.600000000006</v>
      </c>
      <c r="G132" s="258">
        <v>79753.600000000006</v>
      </c>
      <c r="H132" s="258">
        <v>79753.600000000006</v>
      </c>
      <c r="I132" s="258">
        <v>89054.5</v>
      </c>
      <c r="J132" s="258">
        <v>71774.58</v>
      </c>
      <c r="K132" s="258">
        <f t="shared" si="62"/>
        <v>80.596241627318108</v>
      </c>
    </row>
    <row r="133" spans="1:11" ht="78.75" x14ac:dyDescent="0.25">
      <c r="A133" s="323"/>
      <c r="B133" s="168" t="s">
        <v>143</v>
      </c>
      <c r="C133" s="248">
        <f>58518.6-2198.6</f>
        <v>56320</v>
      </c>
      <c r="D133" s="248">
        <v>46863</v>
      </c>
      <c r="E133" s="248">
        <f>58518.6-2198.6</f>
        <v>56320</v>
      </c>
      <c r="F133" s="248">
        <f>58518.6-2198.6</f>
        <v>56320</v>
      </c>
      <c r="G133" s="248">
        <f t="shared" ref="G133:H133" si="119">58518.6-2198.6</f>
        <v>56320</v>
      </c>
      <c r="H133" s="248">
        <f t="shared" si="119"/>
        <v>56320</v>
      </c>
      <c r="I133" s="248">
        <f>62045.6+2256.7</f>
        <v>64302.299999999996</v>
      </c>
      <c r="J133" s="248">
        <v>51271</v>
      </c>
      <c r="K133" s="248">
        <f t="shared" ref="K133:K164" si="120">SUM(J133/I133)*100</f>
        <v>79.734317434990658</v>
      </c>
    </row>
    <row r="134" spans="1:11" ht="110.25" x14ac:dyDescent="0.25">
      <c r="A134" s="323"/>
      <c r="B134" s="168" t="s">
        <v>785</v>
      </c>
      <c r="C134" s="248">
        <v>4932.5</v>
      </c>
      <c r="D134" s="248">
        <v>3043.0569999999998</v>
      </c>
      <c r="E134" s="248">
        <v>4932.5</v>
      </c>
      <c r="F134" s="248">
        <v>4932.5</v>
      </c>
      <c r="G134" s="248">
        <v>4932.5</v>
      </c>
      <c r="H134" s="248">
        <v>4932.5</v>
      </c>
      <c r="I134" s="248">
        <f>4932.5+171.6</f>
        <v>5104.1000000000004</v>
      </c>
      <c r="J134" s="248">
        <v>3754.86</v>
      </c>
      <c r="K134" s="248">
        <f t="shared" si="120"/>
        <v>73.565564937991027</v>
      </c>
    </row>
    <row r="135" spans="1:11" ht="110.25" x14ac:dyDescent="0.25">
      <c r="A135" s="323"/>
      <c r="B135" s="168" t="s">
        <v>786</v>
      </c>
      <c r="C135" s="248">
        <v>1507.8</v>
      </c>
      <c r="D135" s="248">
        <v>1075.0999999999999</v>
      </c>
      <c r="E135" s="248">
        <v>1507.8</v>
      </c>
      <c r="F135" s="248">
        <v>1507.8</v>
      </c>
      <c r="G135" s="248">
        <v>1507.8</v>
      </c>
      <c r="H135" s="248">
        <v>1507.8</v>
      </c>
      <c r="I135" s="248">
        <v>1468.3</v>
      </c>
      <c r="J135" s="248">
        <v>1016.94</v>
      </c>
      <c r="K135" s="248">
        <f t="shared" si="120"/>
        <v>69.25968807464416</v>
      </c>
    </row>
    <row r="136" spans="1:11" ht="110.25" x14ac:dyDescent="0.25">
      <c r="A136" s="323"/>
      <c r="B136" s="168" t="s">
        <v>144</v>
      </c>
      <c r="C136" s="248">
        <v>1752.9</v>
      </c>
      <c r="D136" s="248">
        <v>1279.5</v>
      </c>
      <c r="E136" s="248">
        <v>1752.9</v>
      </c>
      <c r="F136" s="248">
        <v>1752.9</v>
      </c>
      <c r="G136" s="248">
        <v>1752.9</v>
      </c>
      <c r="H136" s="248">
        <v>1752.9</v>
      </c>
      <c r="I136" s="248">
        <v>1396</v>
      </c>
      <c r="J136" s="248">
        <v>1139.9000000000001</v>
      </c>
      <c r="K136" s="248">
        <f t="shared" si="120"/>
        <v>81.654727793696281</v>
      </c>
    </row>
    <row r="137" spans="1:11" ht="110.25" x14ac:dyDescent="0.25">
      <c r="A137" s="323"/>
      <c r="B137" s="168" t="s">
        <v>145</v>
      </c>
      <c r="C137" s="248">
        <v>1281.4000000000001</v>
      </c>
      <c r="D137" s="248">
        <v>838.6</v>
      </c>
      <c r="E137" s="248">
        <v>1281.4000000000001</v>
      </c>
      <c r="F137" s="248">
        <v>1281.4000000000001</v>
      </c>
      <c r="G137" s="248">
        <v>1281.4000000000001</v>
      </c>
      <c r="H137" s="248">
        <v>1281.4000000000001</v>
      </c>
      <c r="I137" s="248">
        <f>1326.4-425.1</f>
        <v>901.30000000000007</v>
      </c>
      <c r="J137" s="248">
        <v>430.4</v>
      </c>
      <c r="K137" s="248">
        <f t="shared" si="120"/>
        <v>47.753245312326634</v>
      </c>
    </row>
    <row r="138" spans="1:11" ht="47.25" x14ac:dyDescent="0.25">
      <c r="A138" s="323"/>
      <c r="B138" s="168" t="s">
        <v>146</v>
      </c>
      <c r="C138" s="248">
        <f>SUM(C139:C140)</f>
        <v>3148.5</v>
      </c>
      <c r="D138" s="248">
        <f t="shared" ref="D138" si="121">SUM(D139:D140)</f>
        <v>2267.6</v>
      </c>
      <c r="E138" s="248">
        <f>SUM(E139:E140)</f>
        <v>3148.5</v>
      </c>
      <c r="F138" s="248">
        <f>SUM(F139:F140)</f>
        <v>3148.5</v>
      </c>
      <c r="G138" s="248">
        <f t="shared" ref="G138:H138" si="122">SUM(G139:G140)</f>
        <v>3148.5</v>
      </c>
      <c r="H138" s="248">
        <f t="shared" si="122"/>
        <v>3148.5</v>
      </c>
      <c r="I138" s="248">
        <f>SUM(I139:I140)</f>
        <v>3148.7</v>
      </c>
      <c r="J138" s="248">
        <f t="shared" ref="J138" si="123">SUM(J139:J140)</f>
        <v>2288.6999999999998</v>
      </c>
      <c r="K138" s="248">
        <f t="shared" si="120"/>
        <v>72.687140724743543</v>
      </c>
    </row>
    <row r="139" spans="1:11" ht="31.5" x14ac:dyDescent="0.25">
      <c r="A139" s="323"/>
      <c r="B139" s="183" t="s">
        <v>787</v>
      </c>
      <c r="C139" s="260">
        <v>2510</v>
      </c>
      <c r="D139" s="260">
        <v>1832.3</v>
      </c>
      <c r="E139" s="260">
        <v>2510</v>
      </c>
      <c r="F139" s="260">
        <v>2510</v>
      </c>
      <c r="G139" s="260">
        <v>2510</v>
      </c>
      <c r="H139" s="260">
        <v>2510</v>
      </c>
      <c r="I139" s="260">
        <f>2510+0.2</f>
        <v>2510.1999999999998</v>
      </c>
      <c r="J139" s="260">
        <v>1885</v>
      </c>
      <c r="K139" s="260">
        <f t="shared" si="120"/>
        <v>75.093618038403321</v>
      </c>
    </row>
    <row r="140" spans="1:11" ht="31.5" x14ac:dyDescent="0.25">
      <c r="A140" s="323"/>
      <c r="B140" s="183" t="s">
        <v>788</v>
      </c>
      <c r="C140" s="260">
        <v>638.5</v>
      </c>
      <c r="D140" s="260">
        <v>435.3</v>
      </c>
      <c r="E140" s="260">
        <v>638.5</v>
      </c>
      <c r="F140" s="260">
        <v>638.5</v>
      </c>
      <c r="G140" s="260">
        <v>638.5</v>
      </c>
      <c r="H140" s="260">
        <v>638.5</v>
      </c>
      <c r="I140" s="260">
        <v>638.5</v>
      </c>
      <c r="J140" s="260">
        <v>403.7</v>
      </c>
      <c r="K140" s="260">
        <f t="shared" si="120"/>
        <v>63.2263116679718</v>
      </c>
    </row>
    <row r="141" spans="1:11" ht="126" x14ac:dyDescent="0.25">
      <c r="A141" s="323"/>
      <c r="B141" s="168" t="s">
        <v>934</v>
      </c>
      <c r="C141" s="248">
        <v>263.3</v>
      </c>
      <c r="D141" s="248">
        <v>123.8</v>
      </c>
      <c r="E141" s="248">
        <v>263.3</v>
      </c>
      <c r="F141" s="248">
        <v>263.3</v>
      </c>
      <c r="G141" s="248">
        <v>263.3</v>
      </c>
      <c r="H141" s="248">
        <v>263.3</v>
      </c>
      <c r="I141" s="248">
        <v>273.7</v>
      </c>
      <c r="J141" s="248">
        <v>204.1</v>
      </c>
      <c r="K141" s="248">
        <f t="shared" si="120"/>
        <v>74.570697844355138</v>
      </c>
    </row>
    <row r="142" spans="1:11" ht="126" x14ac:dyDescent="0.25">
      <c r="A142" s="323"/>
      <c r="B142" s="168" t="s">
        <v>147</v>
      </c>
      <c r="C142" s="248">
        <v>886.5</v>
      </c>
      <c r="D142" s="248">
        <v>623.20000000000005</v>
      </c>
      <c r="E142" s="248">
        <v>886.5</v>
      </c>
      <c r="F142" s="248">
        <v>886.5</v>
      </c>
      <c r="G142" s="248">
        <v>886.5</v>
      </c>
      <c r="H142" s="248">
        <v>886.5</v>
      </c>
      <c r="I142" s="248">
        <f>886.5+55.5</f>
        <v>942</v>
      </c>
      <c r="J142" s="248">
        <v>798.04</v>
      </c>
      <c r="K142" s="248">
        <f t="shared" si="120"/>
        <v>84.717622080679405</v>
      </c>
    </row>
    <row r="143" spans="1:11" ht="47.25" x14ac:dyDescent="0.25">
      <c r="A143" s="323"/>
      <c r="B143" s="168" t="s">
        <v>148</v>
      </c>
      <c r="C143" s="248">
        <v>1106.2</v>
      </c>
      <c r="D143" s="248">
        <v>676.15</v>
      </c>
      <c r="E143" s="248">
        <v>1106.2</v>
      </c>
      <c r="F143" s="248">
        <v>1106.2</v>
      </c>
      <c r="G143" s="248">
        <v>1106.2</v>
      </c>
      <c r="H143" s="248">
        <v>1106.2</v>
      </c>
      <c r="I143" s="248">
        <v>1106.2</v>
      </c>
      <c r="J143" s="248">
        <v>500.3</v>
      </c>
      <c r="K143" s="248">
        <f t="shared" si="120"/>
        <v>45.226902910866031</v>
      </c>
    </row>
    <row r="144" spans="1:11" ht="32.25" customHeight="1" x14ac:dyDescent="0.25">
      <c r="A144" s="324"/>
      <c r="B144" s="168" t="s">
        <v>789</v>
      </c>
      <c r="C144" s="248">
        <v>2132</v>
      </c>
      <c r="D144" s="248">
        <v>2132</v>
      </c>
      <c r="E144" s="248">
        <v>2132</v>
      </c>
      <c r="F144" s="248">
        <v>0</v>
      </c>
      <c r="G144" s="248">
        <v>0</v>
      </c>
      <c r="H144" s="248">
        <v>0</v>
      </c>
      <c r="I144" s="248">
        <v>976</v>
      </c>
      <c r="J144" s="248">
        <v>976</v>
      </c>
      <c r="K144" s="248">
        <f t="shared" si="120"/>
        <v>100</v>
      </c>
    </row>
    <row r="145" spans="1:11" ht="32.25" customHeight="1" x14ac:dyDescent="0.25">
      <c r="A145" s="184" t="s">
        <v>941</v>
      </c>
      <c r="B145" s="176" t="s">
        <v>942</v>
      </c>
      <c r="C145" s="247"/>
      <c r="D145" s="247"/>
      <c r="E145" s="247"/>
      <c r="F145" s="247"/>
      <c r="G145" s="247"/>
      <c r="H145" s="247"/>
      <c r="I145" s="247">
        <f>I146</f>
        <v>96.2</v>
      </c>
      <c r="J145" s="247">
        <f t="shared" ref="J145" si="124">J146</f>
        <v>41.2</v>
      </c>
      <c r="K145" s="247">
        <f t="shared" si="120"/>
        <v>42.82744282744283</v>
      </c>
    </row>
    <row r="146" spans="1:11" ht="32.25" customHeight="1" x14ac:dyDescent="0.25">
      <c r="A146" s="306" t="s">
        <v>939</v>
      </c>
      <c r="B146" s="168" t="s">
        <v>940</v>
      </c>
      <c r="C146" s="248"/>
      <c r="D146" s="248"/>
      <c r="E146" s="248"/>
      <c r="F146" s="248"/>
      <c r="G146" s="248"/>
      <c r="H146" s="248"/>
      <c r="I146" s="248">
        <v>96.2</v>
      </c>
      <c r="J146" s="248">
        <v>41.2</v>
      </c>
      <c r="K146" s="248">
        <f t="shared" si="120"/>
        <v>42.82744282744283</v>
      </c>
    </row>
    <row r="147" spans="1:11" ht="31.5" x14ac:dyDescent="0.25">
      <c r="A147" s="166" t="s">
        <v>149</v>
      </c>
      <c r="B147" s="176" t="s">
        <v>150</v>
      </c>
      <c r="C147" s="247">
        <f>C148</f>
        <v>701.8</v>
      </c>
      <c r="D147" s="247">
        <f t="shared" ref="D147" si="125">D148</f>
        <v>695.25</v>
      </c>
      <c r="E147" s="247">
        <f>E148</f>
        <v>701.8</v>
      </c>
      <c r="F147" s="247">
        <f>F148</f>
        <v>701.8</v>
      </c>
      <c r="G147" s="247">
        <f t="shared" ref="G147:H147" si="126">G148</f>
        <v>701.8</v>
      </c>
      <c r="H147" s="247">
        <f t="shared" si="126"/>
        <v>701.8</v>
      </c>
      <c r="I147" s="247">
        <f>I148</f>
        <v>673.4</v>
      </c>
      <c r="J147" s="247">
        <f t="shared" ref="J147" si="127">J148</f>
        <v>614.1</v>
      </c>
      <c r="K147" s="247">
        <f t="shared" si="120"/>
        <v>91.1939411939412</v>
      </c>
    </row>
    <row r="148" spans="1:11" ht="31.5" x14ac:dyDescent="0.25">
      <c r="A148" s="304" t="s">
        <v>151</v>
      </c>
      <c r="B148" s="168" t="s">
        <v>152</v>
      </c>
      <c r="C148" s="248">
        <v>701.8</v>
      </c>
      <c r="D148" s="248">
        <v>695.25</v>
      </c>
      <c r="E148" s="248">
        <v>701.8</v>
      </c>
      <c r="F148" s="248">
        <v>701.8</v>
      </c>
      <c r="G148" s="248">
        <v>701.8</v>
      </c>
      <c r="H148" s="248">
        <v>701.8</v>
      </c>
      <c r="I148" s="248">
        <v>673.4</v>
      </c>
      <c r="J148" s="248">
        <v>614.1</v>
      </c>
      <c r="K148" s="248">
        <f t="shared" si="120"/>
        <v>91.1939411939412</v>
      </c>
    </row>
    <row r="149" spans="1:11" ht="18.75" x14ac:dyDescent="0.25">
      <c r="A149" s="166" t="s">
        <v>153</v>
      </c>
      <c r="B149" s="176" t="s">
        <v>154</v>
      </c>
      <c r="C149" s="247" t="e">
        <f>SUM(#REF!+C150)</f>
        <v>#REF!</v>
      </c>
      <c r="D149" s="247" t="e">
        <f>SUM(#REF!+D150)</f>
        <v>#REF!</v>
      </c>
      <c r="E149" s="247" t="e">
        <f>SUM(#REF!+E150)</f>
        <v>#REF!</v>
      </c>
      <c r="F149" s="247" t="e">
        <f>SUM(#REF!+F150)</f>
        <v>#REF!</v>
      </c>
      <c r="G149" s="247" t="e">
        <f>SUM(#REF!+G150)</f>
        <v>#REF!</v>
      </c>
      <c r="H149" s="247" t="e">
        <f>SUM(#REF!+H150)</f>
        <v>#REF!</v>
      </c>
      <c r="I149" s="247">
        <f>SUM(I150)</f>
        <v>10719.099999999999</v>
      </c>
      <c r="J149" s="247">
        <f t="shared" ref="J149" si="128">SUM(J150)</f>
        <v>8247.25</v>
      </c>
      <c r="K149" s="247">
        <f t="shared" si="120"/>
        <v>76.93976173372765</v>
      </c>
    </row>
    <row r="150" spans="1:11" ht="18.75" x14ac:dyDescent="0.25">
      <c r="A150" s="166" t="s">
        <v>155</v>
      </c>
      <c r="B150" s="176" t="s">
        <v>156</v>
      </c>
      <c r="C150" s="247">
        <f t="shared" ref="C150:I150" si="129">SUM(C151:C152)</f>
        <v>10920.8</v>
      </c>
      <c r="D150" s="247">
        <f t="shared" si="129"/>
        <v>7284.7</v>
      </c>
      <c r="E150" s="247">
        <f t="shared" si="129"/>
        <v>10920.8</v>
      </c>
      <c r="F150" s="247">
        <f t="shared" si="129"/>
        <v>10920.8</v>
      </c>
      <c r="G150" s="247">
        <f t="shared" si="129"/>
        <v>10920.8</v>
      </c>
      <c r="H150" s="247">
        <f t="shared" si="129"/>
        <v>10920.8</v>
      </c>
      <c r="I150" s="247">
        <f t="shared" si="129"/>
        <v>10719.099999999999</v>
      </c>
      <c r="J150" s="247">
        <f t="shared" ref="J150" si="130">SUM(J151:J152)</f>
        <v>8247.25</v>
      </c>
      <c r="K150" s="247">
        <f t="shared" si="120"/>
        <v>76.93976173372765</v>
      </c>
    </row>
    <row r="151" spans="1:11" ht="110.25" x14ac:dyDescent="0.25">
      <c r="A151" s="321" t="s">
        <v>157</v>
      </c>
      <c r="B151" s="185" t="s">
        <v>973</v>
      </c>
      <c r="C151" s="261">
        <v>9227.5</v>
      </c>
      <c r="D151" s="261">
        <v>6274.7</v>
      </c>
      <c r="E151" s="261">
        <v>9227.5</v>
      </c>
      <c r="F151" s="261">
        <v>9227.5</v>
      </c>
      <c r="G151" s="261">
        <v>9227.5</v>
      </c>
      <c r="H151" s="261">
        <v>9227.5</v>
      </c>
      <c r="I151" s="261">
        <f>9227.5-157.2</f>
        <v>9070.2999999999993</v>
      </c>
      <c r="J151" s="261">
        <v>7056.46</v>
      </c>
      <c r="K151" s="261">
        <f t="shared" si="120"/>
        <v>77.797426766479617</v>
      </c>
    </row>
    <row r="152" spans="1:11" ht="126" x14ac:dyDescent="0.25">
      <c r="A152" s="321"/>
      <c r="B152" s="185" t="s">
        <v>974</v>
      </c>
      <c r="C152" s="261">
        <v>1693.3</v>
      </c>
      <c r="D152" s="261">
        <v>1010</v>
      </c>
      <c r="E152" s="261">
        <v>1693.3</v>
      </c>
      <c r="F152" s="261">
        <v>1693.3</v>
      </c>
      <c r="G152" s="261">
        <v>1693.3</v>
      </c>
      <c r="H152" s="261">
        <v>1693.3</v>
      </c>
      <c r="I152" s="261">
        <f>1693.3-44.5</f>
        <v>1648.8</v>
      </c>
      <c r="J152" s="261">
        <v>1190.79</v>
      </c>
      <c r="K152" s="261">
        <f t="shared" si="120"/>
        <v>72.221615720524014</v>
      </c>
    </row>
    <row r="153" spans="1:11" ht="18.75" x14ac:dyDescent="0.25">
      <c r="A153" s="20" t="s">
        <v>955</v>
      </c>
      <c r="B153" s="280" t="s">
        <v>956</v>
      </c>
      <c r="C153" s="281">
        <v>0</v>
      </c>
      <c r="D153" s="281">
        <f>SUM(D157)</f>
        <v>-1324.9</v>
      </c>
      <c r="E153" s="281">
        <f>SUM(E157)</f>
        <v>-1324.9</v>
      </c>
      <c r="F153" s="281">
        <f t="shared" ref="F153:H153" si="131">SUM(F157)</f>
        <v>0</v>
      </c>
      <c r="G153" s="281">
        <f t="shared" si="131"/>
        <v>0</v>
      </c>
      <c r="H153" s="281">
        <f t="shared" si="131"/>
        <v>0</v>
      </c>
      <c r="I153" s="281">
        <f>SUM(I154)</f>
        <v>46072.7</v>
      </c>
      <c r="J153" s="281">
        <f t="shared" ref="J153:J154" si="132">SUM(J154)</f>
        <v>23150</v>
      </c>
      <c r="K153" s="281">
        <f t="shared" si="120"/>
        <v>50.246675363067503</v>
      </c>
    </row>
    <row r="154" spans="1:11" ht="18.75" x14ac:dyDescent="0.25">
      <c r="A154" s="20" t="s">
        <v>957</v>
      </c>
      <c r="B154" s="280" t="s">
        <v>958</v>
      </c>
      <c r="C154" s="281"/>
      <c r="D154" s="281"/>
      <c r="E154" s="281"/>
      <c r="F154" s="281"/>
      <c r="G154" s="281"/>
      <c r="H154" s="281"/>
      <c r="I154" s="281">
        <f>SUM(I155)</f>
        <v>46072.7</v>
      </c>
      <c r="J154" s="281">
        <f t="shared" si="132"/>
        <v>23150</v>
      </c>
      <c r="K154" s="281">
        <f t="shared" si="120"/>
        <v>50.246675363067503</v>
      </c>
    </row>
    <row r="155" spans="1:11" ht="18.75" x14ac:dyDescent="0.25">
      <c r="A155" s="318" t="s">
        <v>959</v>
      </c>
      <c r="B155" s="284" t="s">
        <v>958</v>
      </c>
      <c r="C155" s="281"/>
      <c r="D155" s="281"/>
      <c r="E155" s="281"/>
      <c r="F155" s="281"/>
      <c r="G155" s="281"/>
      <c r="H155" s="281"/>
      <c r="I155" s="281">
        <f>SUM(I157:I160)</f>
        <v>46072.7</v>
      </c>
      <c r="J155" s="281">
        <f t="shared" ref="J155" si="133">SUM(J157:J160)</f>
        <v>23150</v>
      </c>
      <c r="K155" s="281">
        <f t="shared" si="120"/>
        <v>50.246675363067503</v>
      </c>
    </row>
    <row r="156" spans="1:11" ht="18.75" x14ac:dyDescent="0.25">
      <c r="A156" s="319"/>
      <c r="B156" s="284" t="s">
        <v>134</v>
      </c>
      <c r="C156" s="281"/>
      <c r="D156" s="281"/>
      <c r="E156" s="281"/>
      <c r="F156" s="281"/>
      <c r="G156" s="281"/>
      <c r="H156" s="281"/>
      <c r="I156" s="281"/>
      <c r="J156" s="281"/>
      <c r="K156" s="281"/>
    </row>
    <row r="157" spans="1:11" ht="110.25" x14ac:dyDescent="0.25">
      <c r="A157" s="319"/>
      <c r="B157" s="282" t="s">
        <v>992</v>
      </c>
      <c r="C157" s="261">
        <v>0</v>
      </c>
      <c r="D157" s="261">
        <v>-1324.9</v>
      </c>
      <c r="E157" s="261">
        <v>-1324.9</v>
      </c>
      <c r="F157" s="261">
        <v>0</v>
      </c>
      <c r="G157" s="261">
        <v>0</v>
      </c>
      <c r="H157" s="261">
        <v>0</v>
      </c>
      <c r="I157" s="261">
        <v>20000</v>
      </c>
      <c r="J157" s="261">
        <v>3650</v>
      </c>
      <c r="K157" s="261">
        <f t="shared" si="120"/>
        <v>18.25</v>
      </c>
    </row>
    <row r="158" spans="1:11" ht="78.75" x14ac:dyDescent="0.25">
      <c r="A158" s="319"/>
      <c r="B158" s="282" t="s">
        <v>1019</v>
      </c>
      <c r="C158" s="261"/>
      <c r="D158" s="261"/>
      <c r="E158" s="261"/>
      <c r="F158" s="261"/>
      <c r="G158" s="261"/>
      <c r="H158" s="261"/>
      <c r="I158" s="261">
        <v>20000</v>
      </c>
      <c r="J158" s="261">
        <v>19500</v>
      </c>
      <c r="K158" s="261">
        <f t="shared" si="120"/>
        <v>97.5</v>
      </c>
    </row>
    <row r="159" spans="1:11" ht="63" x14ac:dyDescent="0.25">
      <c r="A159" s="319"/>
      <c r="B159" s="282" t="s">
        <v>993</v>
      </c>
      <c r="C159" s="261">
        <v>0</v>
      </c>
      <c r="D159" s="261">
        <v>-1324.9</v>
      </c>
      <c r="E159" s="261">
        <v>-1324.9</v>
      </c>
      <c r="F159" s="261">
        <v>0</v>
      </c>
      <c r="G159" s="261">
        <v>0</v>
      </c>
      <c r="H159" s="261">
        <v>0</v>
      </c>
      <c r="I159" s="261">
        <v>2967.2</v>
      </c>
      <c r="J159" s="261">
        <v>0</v>
      </c>
      <c r="K159" s="261">
        <f t="shared" si="120"/>
        <v>0</v>
      </c>
    </row>
    <row r="160" spans="1:11" ht="78.75" x14ac:dyDescent="0.25">
      <c r="A160" s="320"/>
      <c r="B160" s="282" t="s">
        <v>991</v>
      </c>
      <c r="C160" s="261">
        <v>0</v>
      </c>
      <c r="D160" s="261">
        <v>-1324.9</v>
      </c>
      <c r="E160" s="261">
        <v>-1324.9</v>
      </c>
      <c r="F160" s="261">
        <v>0</v>
      </c>
      <c r="G160" s="261">
        <v>0</v>
      </c>
      <c r="H160" s="261">
        <v>0</v>
      </c>
      <c r="I160" s="261">
        <v>3105.5</v>
      </c>
      <c r="J160" s="261">
        <v>0</v>
      </c>
      <c r="K160" s="261">
        <f t="shared" si="120"/>
        <v>0</v>
      </c>
    </row>
    <row r="161" spans="1:18" s="285" customFormat="1" ht="31.5" x14ac:dyDescent="0.25">
      <c r="A161" s="310" t="s">
        <v>1045</v>
      </c>
      <c r="B161" s="311" t="s">
        <v>1043</v>
      </c>
      <c r="C161" s="281"/>
      <c r="D161" s="281"/>
      <c r="E161" s="281"/>
      <c r="F161" s="281"/>
      <c r="G161" s="281"/>
      <c r="H161" s="281"/>
      <c r="I161" s="281">
        <f>SUM(I162)</f>
        <v>0</v>
      </c>
      <c r="J161" s="281">
        <f>SUM(J162)</f>
        <v>-726.17128000000002</v>
      </c>
      <c r="K161" s="281" t="s">
        <v>1040</v>
      </c>
    </row>
    <row r="162" spans="1:18" s="285" customFormat="1" ht="47.25" x14ac:dyDescent="0.25">
      <c r="A162" s="310" t="s">
        <v>1046</v>
      </c>
      <c r="B162" s="311" t="s">
        <v>1042</v>
      </c>
      <c r="C162" s="281"/>
      <c r="D162" s="281"/>
      <c r="E162" s="281"/>
      <c r="F162" s="281"/>
      <c r="G162" s="281"/>
      <c r="H162" s="281"/>
      <c r="I162" s="281">
        <f>SUM(I163)</f>
        <v>0</v>
      </c>
      <c r="J162" s="281">
        <f>SUM(J163)</f>
        <v>-726.17128000000002</v>
      </c>
      <c r="K162" s="281" t="s">
        <v>1040</v>
      </c>
    </row>
    <row r="163" spans="1:18" ht="47.25" x14ac:dyDescent="0.25">
      <c r="A163" s="312" t="s">
        <v>1047</v>
      </c>
      <c r="B163" s="282" t="s">
        <v>1044</v>
      </c>
      <c r="C163" s="261"/>
      <c r="D163" s="261"/>
      <c r="E163" s="261"/>
      <c r="F163" s="261"/>
      <c r="G163" s="261"/>
      <c r="H163" s="261"/>
      <c r="I163" s="261">
        <v>0</v>
      </c>
      <c r="J163" s="261">
        <v>-726.17128000000002</v>
      </c>
      <c r="K163" s="261" t="s">
        <v>1040</v>
      </c>
    </row>
    <row r="164" spans="1:18" ht="18.75" x14ac:dyDescent="0.25">
      <c r="A164" s="304"/>
      <c r="B164" s="272" t="s">
        <v>158</v>
      </c>
      <c r="C164" s="247" t="e">
        <f t="shared" ref="C164:H164" si="134">SUM(C96+C17+C153)</f>
        <v>#REF!</v>
      </c>
      <c r="D164" s="247" t="e">
        <f t="shared" si="134"/>
        <v>#REF!</v>
      </c>
      <c r="E164" s="247" t="e">
        <f t="shared" si="134"/>
        <v>#REF!</v>
      </c>
      <c r="F164" s="247" t="e">
        <f t="shared" si="134"/>
        <v>#REF!</v>
      </c>
      <c r="G164" s="247" t="e">
        <f t="shared" si="134"/>
        <v>#REF!</v>
      </c>
      <c r="H164" s="247" t="e">
        <f t="shared" si="134"/>
        <v>#REF!</v>
      </c>
      <c r="I164" s="247">
        <f>SUM(I17+I96)</f>
        <v>711208.60000000009</v>
      </c>
      <c r="J164" s="247">
        <f>SUM(J17+J96)</f>
        <v>534685.89234000002</v>
      </c>
      <c r="K164" s="247">
        <f t="shared" si="120"/>
        <v>75.17989691631962</v>
      </c>
      <c r="M164" s="288"/>
      <c r="N164" s="142"/>
      <c r="R164" s="142">
        <f>I96-I99-I112</f>
        <v>253296.2</v>
      </c>
    </row>
    <row r="167" spans="1:18" x14ac:dyDescent="0.25">
      <c r="J167" s="142"/>
    </row>
  </sheetData>
  <mergeCells count="7">
    <mergeCell ref="A155:A160"/>
    <mergeCell ref="A151:A152"/>
    <mergeCell ref="A130:A144"/>
    <mergeCell ref="A110:A127"/>
    <mergeCell ref="A11:K11"/>
    <mergeCell ref="A12:K12"/>
    <mergeCell ref="A13:K13"/>
  </mergeCells>
  <pageMargins left="0.39370078740157483" right="0.39370078740157483" top="1.1811023622047245" bottom="0.39370078740157483" header="0.31496062992125984" footer="0.31496062992125984"/>
  <pageSetup paperSize="9" scale="65" fitToHeight="6" orientation="portrait" r:id="rId1"/>
  <ignoredErrors>
    <ignoredError sqref="I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Normal="100" zoomScaleSheetLayoutView="100" workbookViewId="0">
      <selection activeCell="A8" sqref="A8:K8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85546875" hidden="1" customWidth="1"/>
    <col min="5" max="5" width="16" hidden="1" customWidth="1"/>
    <col min="6" max="6" width="11.42578125" hidden="1" customWidth="1"/>
    <col min="7" max="7" width="12.42578125" hidden="1" customWidth="1"/>
    <col min="8" max="8" width="13.28515625" hidden="1" customWidth="1"/>
    <col min="9" max="9" width="13.140625" customWidth="1"/>
    <col min="10" max="10" width="15.85546875" customWidth="1"/>
    <col min="11" max="11" width="13.140625" customWidth="1"/>
  </cols>
  <sheetData>
    <row r="1" spans="1:11" ht="15.75" customHeight="1" x14ac:dyDescent="0.3">
      <c r="A1" s="12"/>
      <c r="B1" s="186"/>
      <c r="J1" s="345" t="s">
        <v>1017</v>
      </c>
      <c r="K1" s="316"/>
    </row>
    <row r="2" spans="1:11" ht="15.75" customHeight="1" x14ac:dyDescent="0.3">
      <c r="A2" s="12"/>
      <c r="B2" s="186"/>
      <c r="J2" s="345" t="s">
        <v>1050</v>
      </c>
      <c r="K2" s="316"/>
    </row>
    <row r="3" spans="1:11" ht="15.75" customHeight="1" x14ac:dyDescent="0.3">
      <c r="A3" s="12"/>
      <c r="B3" s="186"/>
      <c r="J3" s="345" t="s">
        <v>1052</v>
      </c>
      <c r="K3" s="316"/>
    </row>
    <row r="4" spans="1:11" ht="15.75" customHeight="1" x14ac:dyDescent="0.3">
      <c r="A4" s="12"/>
      <c r="B4" s="303"/>
      <c r="J4" s="345" t="s">
        <v>1051</v>
      </c>
      <c r="K4" s="316"/>
    </row>
    <row r="5" spans="1:11" ht="15.75" customHeight="1" x14ac:dyDescent="0.3">
      <c r="A5" s="12"/>
      <c r="B5" s="303"/>
      <c r="J5" s="345" t="s">
        <v>1053</v>
      </c>
      <c r="K5" s="316"/>
    </row>
    <row r="6" spans="1:11" ht="18.75" x14ac:dyDescent="0.3">
      <c r="A6" s="12"/>
      <c r="B6" s="303"/>
      <c r="C6" s="12"/>
      <c r="I6" s="275"/>
      <c r="K6" s="275"/>
    </row>
    <row r="7" spans="1:11" ht="16.5" x14ac:dyDescent="0.25">
      <c r="A7" s="328" t="s">
        <v>1030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ht="16.5" x14ac:dyDescent="0.25">
      <c r="A8" s="328" t="s">
        <v>754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</row>
    <row r="9" spans="1:11" ht="16.5" x14ac:dyDescent="0.25">
      <c r="A9" s="328" t="s">
        <v>1031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</row>
    <row r="10" spans="1:11" ht="15.75" x14ac:dyDescent="0.25">
      <c r="A10" s="326"/>
      <c r="B10" s="327"/>
      <c r="C10" s="327"/>
      <c r="D10" s="327"/>
    </row>
    <row r="11" spans="1:11" ht="15.75" x14ac:dyDescent="0.25">
      <c r="B11" s="114"/>
      <c r="C11" s="114"/>
      <c r="D11" s="115" t="s">
        <v>1</v>
      </c>
      <c r="I11" s="264"/>
      <c r="J11" s="264"/>
      <c r="K11" s="264"/>
    </row>
    <row r="12" spans="1:11" ht="66" customHeight="1" x14ac:dyDescent="0.25">
      <c r="A12" s="116" t="s">
        <v>755</v>
      </c>
      <c r="B12" s="116" t="s">
        <v>756</v>
      </c>
      <c r="C12" s="116" t="s">
        <v>757</v>
      </c>
      <c r="D12" s="78" t="s">
        <v>4</v>
      </c>
      <c r="E12" s="231" t="s">
        <v>876</v>
      </c>
      <c r="F12" s="245" t="s">
        <v>880</v>
      </c>
      <c r="G12" s="231" t="s">
        <v>877</v>
      </c>
      <c r="H12" s="231" t="s">
        <v>878</v>
      </c>
      <c r="I12" s="302" t="s">
        <v>1027</v>
      </c>
      <c r="J12" s="302" t="s">
        <v>1032</v>
      </c>
      <c r="K12" s="302" t="s">
        <v>1026</v>
      </c>
    </row>
    <row r="13" spans="1:11" ht="15.75" x14ac:dyDescent="0.25">
      <c r="A13" s="49" t="s">
        <v>168</v>
      </c>
      <c r="B13" s="25" t="s">
        <v>169</v>
      </c>
      <c r="C13" s="117"/>
      <c r="D13" s="118">
        <f>D14+D15+D16+D17+D19</f>
        <v>118780.09999999998</v>
      </c>
      <c r="E13" s="118">
        <f t="shared" ref="E13:I13" si="0">E14+E15+E16+E17+E19</f>
        <v>108948.27960784313</v>
      </c>
      <c r="F13" s="118">
        <f t="shared" si="0"/>
        <v>137733.79999999999</v>
      </c>
      <c r="G13" s="118">
        <f t="shared" si="0"/>
        <v>138680.9</v>
      </c>
      <c r="H13" s="118">
        <f t="shared" si="0"/>
        <v>139391.69999999998</v>
      </c>
      <c r="I13" s="118">
        <f t="shared" si="0"/>
        <v>143325.1</v>
      </c>
      <c r="J13" s="118">
        <f t="shared" ref="J13" si="1">J14+J15+J16+J17+J19</f>
        <v>102512.9</v>
      </c>
      <c r="K13" s="118">
        <f>J13/I13*100</f>
        <v>71.524736420906038</v>
      </c>
    </row>
    <row r="14" spans="1:11" ht="31.5" x14ac:dyDescent="0.25">
      <c r="A14" s="33" t="s">
        <v>627</v>
      </c>
      <c r="B14" s="21" t="s">
        <v>169</v>
      </c>
      <c r="C14" s="21" t="s">
        <v>264</v>
      </c>
      <c r="D14" s="28">
        <f>'ПРил.№3 Рд,пр, ЦС,ВР'!F13</f>
        <v>4133.6000000000004</v>
      </c>
      <c r="E14" s="28">
        <f>'ПРил.№3 Рд,пр, ЦС,ВР'!G13</f>
        <v>4411.6000000000004</v>
      </c>
      <c r="F14" s="28">
        <f>'ПРил.№3 Рд,пр, ЦС,ВР'!H13</f>
        <v>4342.8</v>
      </c>
      <c r="G14" s="28">
        <f>'ПРил.№3 Рд,пр, ЦС,ВР'!I13</f>
        <v>4342.8</v>
      </c>
      <c r="H14" s="28">
        <f>'ПРил.№3 Рд,пр, ЦС,ВР'!J13</f>
        <v>4342.8</v>
      </c>
      <c r="I14" s="28">
        <f>'ПРил.№3 Рд,пр, ЦС,ВР'!K13</f>
        <v>4342.8</v>
      </c>
      <c r="J14" s="28">
        <f>'ПРил.№3 Рд,пр, ЦС,ВР'!L13</f>
        <v>3551.5</v>
      </c>
      <c r="K14" s="308">
        <f t="shared" ref="K14:K53" si="2">J14/I14*100</f>
        <v>81.779036566270605</v>
      </c>
    </row>
    <row r="15" spans="1:11" ht="47.25" x14ac:dyDescent="0.25">
      <c r="A15" s="33" t="s">
        <v>630</v>
      </c>
      <c r="B15" s="21" t="s">
        <v>169</v>
      </c>
      <c r="C15" s="21" t="s">
        <v>266</v>
      </c>
      <c r="D15" s="28">
        <f>'ПРил.№3 Рд,пр, ЦС,ВР'!F21</f>
        <v>1138.7</v>
      </c>
      <c r="E15" s="28">
        <f>'ПРил.№3 Рд,пр, ЦС,ВР'!G21</f>
        <v>1302.7</v>
      </c>
      <c r="F15" s="28">
        <f>'ПРил.№3 Рд,пр, ЦС,ВР'!H21</f>
        <v>1049.5</v>
      </c>
      <c r="G15" s="28">
        <f>'ПРил.№3 Рд,пр, ЦС,ВР'!I21</f>
        <v>1049.5</v>
      </c>
      <c r="H15" s="28">
        <f>'ПРил.№3 Рд,пр, ЦС,ВР'!J21</f>
        <v>1049.5</v>
      </c>
      <c r="I15" s="28">
        <f>'ПРил.№3 Рд,пр, ЦС,ВР'!K21</f>
        <v>1049.5</v>
      </c>
      <c r="J15" s="28">
        <f>'ПРил.№3 Рд,пр, ЦС,ВР'!L21</f>
        <v>923.5</v>
      </c>
      <c r="K15" s="308">
        <f t="shared" si="2"/>
        <v>87.994282991900903</v>
      </c>
    </row>
    <row r="16" spans="1:11" ht="47.25" x14ac:dyDescent="0.25">
      <c r="A16" s="26" t="s">
        <v>200</v>
      </c>
      <c r="B16" s="21" t="s">
        <v>169</v>
      </c>
      <c r="C16" s="21" t="s">
        <v>201</v>
      </c>
      <c r="D16" s="28">
        <f>'ПРил.№3 Рд,пр, ЦС,ВР'!F31</f>
        <v>62597.19999999999</v>
      </c>
      <c r="E16" s="28">
        <f>'ПРил.№3 Рд,пр, ЦС,ВР'!G31</f>
        <v>59087.519607843133</v>
      </c>
      <c r="F16" s="28">
        <f>'ПРил.№3 Рд,пр, ЦС,ВР'!H31</f>
        <v>60573.200000000004</v>
      </c>
      <c r="G16" s="28">
        <f>'ПРил.№3 Рд,пр, ЦС,ВР'!I31</f>
        <v>60922.1</v>
      </c>
      <c r="H16" s="28">
        <f>'ПРил.№3 Рд,пр, ЦС,ВР'!J31</f>
        <v>61133.4</v>
      </c>
      <c r="I16" s="28">
        <f>'ПРил.№3 Рд,пр, ЦС,ВР'!K31</f>
        <v>62620.399999999994</v>
      </c>
      <c r="J16" s="28">
        <f>'ПРил.№3 Рд,пр, ЦС,ВР'!L31</f>
        <v>44101.69999999999</v>
      </c>
      <c r="K16" s="308">
        <f t="shared" si="2"/>
        <v>70.427049332166504</v>
      </c>
    </row>
    <row r="17" spans="1:11" ht="31.5" x14ac:dyDescent="0.25">
      <c r="A17" s="26" t="s">
        <v>170</v>
      </c>
      <c r="B17" s="21" t="s">
        <v>169</v>
      </c>
      <c r="C17" s="21" t="s">
        <v>171</v>
      </c>
      <c r="D17" s="28">
        <f>'ПРил.№3 Рд,пр, ЦС,ВР'!F56</f>
        <v>16933.86</v>
      </c>
      <c r="E17" s="28">
        <f>'ПРил.№3 Рд,пр, ЦС,ВР'!G56</f>
        <v>16560.599999999999</v>
      </c>
      <c r="F17" s="28">
        <f>'ПРил.№3 Рд,пр, ЦС,ВР'!H56</f>
        <v>20031.599999999999</v>
      </c>
      <c r="G17" s="28">
        <f>'ПРил.№3 Рд,пр, ЦС,ВР'!I56</f>
        <v>20031.599999999999</v>
      </c>
      <c r="H17" s="28">
        <f>'ПРил.№3 Рд,пр, ЦС,ВР'!J56</f>
        <v>20031.599999999999</v>
      </c>
      <c r="I17" s="28">
        <f>'ПРил.№3 Рд,пр, ЦС,ВР'!K56</f>
        <v>17015.400000000001</v>
      </c>
      <c r="J17" s="28">
        <f>'ПРил.№3 Рд,пр, ЦС,ВР'!L56</f>
        <v>10635.699999999999</v>
      </c>
      <c r="K17" s="308">
        <f t="shared" si="2"/>
        <v>62.50631780622259</v>
      </c>
    </row>
    <row r="18" spans="1:11" ht="15.75" hidden="1" x14ac:dyDescent="0.25">
      <c r="A18" s="26" t="s">
        <v>758</v>
      </c>
      <c r="B18" s="21" t="s">
        <v>169</v>
      </c>
      <c r="C18" s="21" t="s">
        <v>543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308" t="e">
        <f t="shared" si="2"/>
        <v>#DIV/0!</v>
      </c>
    </row>
    <row r="19" spans="1:11" ht="15.75" x14ac:dyDescent="0.25">
      <c r="A19" s="119" t="s">
        <v>190</v>
      </c>
      <c r="B19" s="21" t="s">
        <v>169</v>
      </c>
      <c r="C19" s="21" t="s">
        <v>191</v>
      </c>
      <c r="D19" s="28">
        <f>'ПРил.№3 Рд,пр, ЦС,ВР'!F74</f>
        <v>33976.74</v>
      </c>
      <c r="E19" s="28">
        <f>'ПРил.№3 Рд,пр, ЦС,ВР'!G74</f>
        <v>27585.86</v>
      </c>
      <c r="F19" s="28">
        <f>'ПРил.№3 Рд,пр, ЦС,ВР'!H74</f>
        <v>51736.7</v>
      </c>
      <c r="G19" s="28">
        <f>'ПРил.№3 Рд,пр, ЦС,ВР'!I74</f>
        <v>52334.9</v>
      </c>
      <c r="H19" s="28">
        <f>'ПРил.№3 Рд,пр, ЦС,ВР'!J74</f>
        <v>52834.400000000001</v>
      </c>
      <c r="I19" s="28">
        <f>'ПРил.№3 Рд,пр, ЦС,ВР'!K74</f>
        <v>58296.999999999993</v>
      </c>
      <c r="J19" s="28">
        <f>'ПРил.№3 Рд,пр, ЦС,ВР'!L74</f>
        <v>43300.500000000007</v>
      </c>
      <c r="K19" s="308">
        <f t="shared" si="2"/>
        <v>74.275691716554903</v>
      </c>
    </row>
    <row r="20" spans="1:11" ht="15.75" hidden="1" x14ac:dyDescent="0.25">
      <c r="A20" s="20" t="s">
        <v>263</v>
      </c>
      <c r="B20" s="25" t="s">
        <v>264</v>
      </c>
      <c r="C20" s="21"/>
      <c r="D20" s="46">
        <f>D21</f>
        <v>0</v>
      </c>
      <c r="E20" s="46">
        <f t="shared" ref="E20:J20" si="3">E21</f>
        <v>0</v>
      </c>
      <c r="F20" s="46">
        <f t="shared" si="3"/>
        <v>322.89999999999998</v>
      </c>
      <c r="G20" s="46">
        <f t="shared" si="3"/>
        <v>22.3</v>
      </c>
      <c r="H20" s="46">
        <f t="shared" si="3"/>
        <v>22.3</v>
      </c>
      <c r="I20" s="46">
        <f t="shared" si="3"/>
        <v>0</v>
      </c>
      <c r="J20" s="46">
        <f t="shared" si="3"/>
        <v>0</v>
      </c>
      <c r="K20" s="118" t="e">
        <f t="shared" si="2"/>
        <v>#DIV/0!</v>
      </c>
    </row>
    <row r="21" spans="1:11" ht="15.75" hidden="1" x14ac:dyDescent="0.25">
      <c r="A21" s="26" t="s">
        <v>269</v>
      </c>
      <c r="B21" s="21" t="s">
        <v>264</v>
      </c>
      <c r="C21" s="21" t="s">
        <v>270</v>
      </c>
      <c r="D21" s="28">
        <f>'ПРил.№3 Рд,пр, ЦС,ВР'!F208</f>
        <v>0</v>
      </c>
      <c r="E21" s="28">
        <f>'ПРил.№3 Рд,пр, ЦС,ВР'!G208</f>
        <v>0</v>
      </c>
      <c r="F21" s="28">
        <f>'ПРил.№3 Рд,пр, ЦС,ВР'!H208</f>
        <v>322.89999999999998</v>
      </c>
      <c r="G21" s="28">
        <f>'ПРил.№3 Рд,пр, ЦС,ВР'!I208</f>
        <v>22.3</v>
      </c>
      <c r="H21" s="28">
        <f>'ПРил.№3 Рд,пр, ЦС,ВР'!J208</f>
        <v>22.3</v>
      </c>
      <c r="I21" s="28">
        <f>'ПРил.№3 Рд,пр, ЦС,ВР'!K208</f>
        <v>0</v>
      </c>
      <c r="J21" s="28">
        <f>'ПРил.№3 Рд,пр, ЦС,ВР'!L208</f>
        <v>0</v>
      </c>
      <c r="K21" s="118" t="e">
        <f t="shared" si="2"/>
        <v>#DIV/0!</v>
      </c>
    </row>
    <row r="22" spans="1:11" ht="18" customHeight="1" x14ac:dyDescent="0.25">
      <c r="A22" s="36" t="s">
        <v>273</v>
      </c>
      <c r="B22" s="25" t="s">
        <v>266</v>
      </c>
      <c r="C22" s="25"/>
      <c r="D22" s="46">
        <f>D23</f>
        <v>7209.4000000000005</v>
      </c>
      <c r="E22" s="46">
        <f t="shared" ref="E22:J22" si="4">E23</f>
        <v>5540.3666666666668</v>
      </c>
      <c r="F22" s="46">
        <f t="shared" si="4"/>
        <v>10330.9</v>
      </c>
      <c r="G22" s="46">
        <f t="shared" si="4"/>
        <v>8923.6</v>
      </c>
      <c r="H22" s="46">
        <f t="shared" si="4"/>
        <v>8970.1</v>
      </c>
      <c r="I22" s="46">
        <f t="shared" si="4"/>
        <v>9234.4</v>
      </c>
      <c r="J22" s="46">
        <f t="shared" si="4"/>
        <v>3981.2999999999997</v>
      </c>
      <c r="K22" s="118">
        <f t="shared" si="2"/>
        <v>43.113791908515978</v>
      </c>
    </row>
    <row r="23" spans="1:11" ht="31.5" x14ac:dyDescent="0.25">
      <c r="A23" s="33" t="s">
        <v>274</v>
      </c>
      <c r="B23" s="21" t="s">
        <v>266</v>
      </c>
      <c r="C23" s="21" t="s">
        <v>270</v>
      </c>
      <c r="D23" s="28">
        <f>'ПРил.№3 Рд,пр, ЦС,ВР'!F215</f>
        <v>7209.4000000000005</v>
      </c>
      <c r="E23" s="28">
        <f>'ПРил.№3 Рд,пр, ЦС,ВР'!G215</f>
        <v>5540.3666666666668</v>
      </c>
      <c r="F23" s="28">
        <f>'ПРил.№3 Рд,пр, ЦС,ВР'!H215</f>
        <v>10330.9</v>
      </c>
      <c r="G23" s="28">
        <f>'ПРил.№3 Рд,пр, ЦС,ВР'!I215</f>
        <v>8923.6</v>
      </c>
      <c r="H23" s="28">
        <f>'ПРил.№3 Рд,пр, ЦС,ВР'!J215</f>
        <v>8970.1</v>
      </c>
      <c r="I23" s="28">
        <f>'ПРил.№3 Рд,пр, ЦС,ВР'!K215</f>
        <v>9234.4</v>
      </c>
      <c r="J23" s="28">
        <f>'ПРил.№3 Рд,пр, ЦС,ВР'!L215</f>
        <v>3981.2999999999997</v>
      </c>
      <c r="K23" s="308">
        <f t="shared" si="2"/>
        <v>43.113791908515978</v>
      </c>
    </row>
    <row r="24" spans="1:11" ht="15.75" x14ac:dyDescent="0.25">
      <c r="A24" s="49" t="s">
        <v>283</v>
      </c>
      <c r="B24" s="25" t="s">
        <v>201</v>
      </c>
      <c r="C24" s="25"/>
      <c r="D24" s="46">
        <f>D25+D26+D27+D28</f>
        <v>20153.2</v>
      </c>
      <c r="E24" s="46">
        <f t="shared" ref="E24:I24" si="5">E25+E26+E27+E28</f>
        <v>20153.2</v>
      </c>
      <c r="F24" s="46">
        <f t="shared" si="5"/>
        <v>20153.2</v>
      </c>
      <c r="G24" s="46">
        <f t="shared" si="5"/>
        <v>20793.2</v>
      </c>
      <c r="H24" s="46">
        <f t="shared" si="5"/>
        <v>20793.2</v>
      </c>
      <c r="I24" s="46">
        <f t="shared" si="5"/>
        <v>12273.400000000001</v>
      </c>
      <c r="J24" s="46">
        <f t="shared" ref="J24" si="6">J25+J26+J27+J28</f>
        <v>6652.3</v>
      </c>
      <c r="K24" s="118">
        <f t="shared" si="2"/>
        <v>54.200954910619714</v>
      </c>
    </row>
    <row r="25" spans="1:11" ht="15.75" x14ac:dyDescent="0.25">
      <c r="A25" s="120" t="s">
        <v>284</v>
      </c>
      <c r="B25" s="21" t="s">
        <v>201</v>
      </c>
      <c r="C25" s="21" t="s">
        <v>285</v>
      </c>
      <c r="D25" s="28">
        <f>'ПРил.№3 Рд,пр, ЦС,ВР'!F233</f>
        <v>450</v>
      </c>
      <c r="E25" s="28">
        <f>'ПРил.№3 Рд,пр, ЦС,ВР'!G233</f>
        <v>450</v>
      </c>
      <c r="F25" s="28">
        <f>'ПРил.№3 Рд,пр, ЦС,ВР'!H233</f>
        <v>450</v>
      </c>
      <c r="G25" s="28">
        <f>'ПРил.№3 Рд,пр, ЦС,ВР'!I233</f>
        <v>550</v>
      </c>
      <c r="H25" s="28">
        <f>'ПРил.№3 Рд,пр, ЦС,ВР'!J233</f>
        <v>550</v>
      </c>
      <c r="I25" s="28">
        <f>'ПРил.№3 Рд,пр, ЦС,ВР'!K233</f>
        <v>919.6</v>
      </c>
      <c r="J25" s="28">
        <f>'ПРил.№3 Рд,пр, ЦС,ВР'!L233</f>
        <v>555.6</v>
      </c>
      <c r="K25" s="308">
        <f t="shared" si="2"/>
        <v>60.417572857764249</v>
      </c>
    </row>
    <row r="26" spans="1:11" ht="15.75" x14ac:dyDescent="0.25">
      <c r="A26" s="119" t="s">
        <v>557</v>
      </c>
      <c r="B26" s="21" t="s">
        <v>201</v>
      </c>
      <c r="C26" s="21" t="s">
        <v>350</v>
      </c>
      <c r="D26" s="28">
        <f>'ПРил.№3 Рд,пр, ЦС,ВР'!F249</f>
        <v>3207.7</v>
      </c>
      <c r="E26" s="28">
        <f>'ПРил.№3 Рд,пр, ЦС,ВР'!G249</f>
        <v>3207.7</v>
      </c>
      <c r="F26" s="28">
        <f>'ПРил.№3 Рд,пр, ЦС,ВР'!H249</f>
        <v>3207.7</v>
      </c>
      <c r="G26" s="28">
        <f>'ПРил.№3 Рд,пр, ЦС,ВР'!I249</f>
        <v>3207.7</v>
      </c>
      <c r="H26" s="28">
        <f>'ПРил.№3 Рд,пр, ЦС,ВР'!J249</f>
        <v>3207.7</v>
      </c>
      <c r="I26" s="28">
        <f>'ПРил.№3 Рд,пр, ЦС,ВР'!K249</f>
        <v>3258.3</v>
      </c>
      <c r="J26" s="28">
        <f>'ПРил.№3 Рд,пр, ЦС,ВР'!L249</f>
        <v>2144.5</v>
      </c>
      <c r="K26" s="308">
        <f t="shared" si="2"/>
        <v>65.816530092379452</v>
      </c>
    </row>
    <row r="27" spans="1:11" ht="15.75" x14ac:dyDescent="0.25">
      <c r="A27" s="119" t="s">
        <v>560</v>
      </c>
      <c r="B27" s="21" t="s">
        <v>201</v>
      </c>
      <c r="C27" s="21" t="s">
        <v>270</v>
      </c>
      <c r="D27" s="28">
        <f>'ПРил.№3 Рд,пр, ЦС,ВР'!F255</f>
        <v>15124.1</v>
      </c>
      <c r="E27" s="28">
        <f>'ПРил.№3 Рд,пр, ЦС,ВР'!G255</f>
        <v>15124.1</v>
      </c>
      <c r="F27" s="28">
        <f>'ПРил.№3 Рд,пр, ЦС,ВР'!H255</f>
        <v>15124.1</v>
      </c>
      <c r="G27" s="28">
        <f>'ПРил.№3 Рд,пр, ЦС,ВР'!I255</f>
        <v>15124.1</v>
      </c>
      <c r="H27" s="28">
        <f>'ПРил.№3 Рд,пр, ЦС,ВР'!J255</f>
        <v>15124.1</v>
      </c>
      <c r="I27" s="28">
        <f>'ПРил.№3 Рд,пр, ЦС,ВР'!K255</f>
        <v>6895.3</v>
      </c>
      <c r="J27" s="28">
        <f>'ПРил.№3 Рд,пр, ЦС,ВР'!L255</f>
        <v>3675.9</v>
      </c>
      <c r="K27" s="308">
        <f t="shared" si="2"/>
        <v>53.310225805983791</v>
      </c>
    </row>
    <row r="28" spans="1:11" ht="15.75" x14ac:dyDescent="0.25">
      <c r="A28" s="121" t="s">
        <v>288</v>
      </c>
      <c r="B28" s="21" t="s">
        <v>201</v>
      </c>
      <c r="C28" s="21" t="s">
        <v>289</v>
      </c>
      <c r="D28" s="28">
        <f>'ПРил.№3 Рд,пр, ЦС,ВР'!F262</f>
        <v>1371.3999999999999</v>
      </c>
      <c r="E28" s="28">
        <f>'ПРил.№3 Рд,пр, ЦС,ВР'!G262</f>
        <v>1371.3999999999999</v>
      </c>
      <c r="F28" s="28">
        <f>'ПРил.№3 Рд,пр, ЦС,ВР'!H262</f>
        <v>1371.3999999999999</v>
      </c>
      <c r="G28" s="28">
        <f>'ПРил.№3 Рд,пр, ЦС,ВР'!I262</f>
        <v>1911.3999999999999</v>
      </c>
      <c r="H28" s="28">
        <f>'ПРил.№3 Рд,пр, ЦС,ВР'!J262</f>
        <v>1911.3999999999999</v>
      </c>
      <c r="I28" s="28">
        <f>'ПРил.№3 Рд,пр, ЦС,ВР'!K262</f>
        <v>1200.1999999999998</v>
      </c>
      <c r="J28" s="28">
        <f>'ПРил.№3 Рд,пр, ЦС,ВР'!L262</f>
        <v>276.3</v>
      </c>
      <c r="K28" s="308">
        <f t="shared" si="2"/>
        <v>23.021163139476759</v>
      </c>
    </row>
    <row r="29" spans="1:11" ht="15.75" x14ac:dyDescent="0.25">
      <c r="A29" s="49" t="s">
        <v>442</v>
      </c>
      <c r="B29" s="25" t="s">
        <v>285</v>
      </c>
      <c r="C29" s="25"/>
      <c r="D29" s="46">
        <f>SUM(D30:D33)</f>
        <v>109165.59999999999</v>
      </c>
      <c r="E29" s="46">
        <f t="shared" ref="E29:H29" si="7">SUM(E30:E33)</f>
        <v>90925.805882352943</v>
      </c>
      <c r="F29" s="46">
        <f t="shared" si="7"/>
        <v>65675</v>
      </c>
      <c r="G29" s="46">
        <f t="shared" si="7"/>
        <v>65971.899999999994</v>
      </c>
      <c r="H29" s="46">
        <f t="shared" si="7"/>
        <v>67991.899999999994</v>
      </c>
      <c r="I29" s="46">
        <f>SUM(I30:I33)</f>
        <v>131255.98000000001</v>
      </c>
      <c r="J29" s="46">
        <f t="shared" ref="J29" si="8">SUM(J30:J33)</f>
        <v>70912.600000000006</v>
      </c>
      <c r="K29" s="118">
        <f t="shared" si="2"/>
        <v>54.026186083102658</v>
      </c>
    </row>
    <row r="30" spans="1:11" ht="15.75" x14ac:dyDescent="0.25">
      <c r="A30" s="120" t="s">
        <v>443</v>
      </c>
      <c r="B30" s="21" t="s">
        <v>285</v>
      </c>
      <c r="C30" s="21" t="s">
        <v>169</v>
      </c>
      <c r="D30" s="28">
        <f>'ПРил.№3 Рд,пр, ЦС,ВР'!F278</f>
        <v>8865.2000000000007</v>
      </c>
      <c r="E30" s="28">
        <f>'ПРил.№3 Рд,пр, ЦС,ВР'!G278</f>
        <v>8757.6</v>
      </c>
      <c r="F30" s="28">
        <f>'ПРил.№3 Рд,пр, ЦС,ВР'!H278</f>
        <v>8964.4</v>
      </c>
      <c r="G30" s="28">
        <f>'ПРил.№3 Рд,пр, ЦС,ВР'!I278</f>
        <v>8964.4</v>
      </c>
      <c r="H30" s="28">
        <f>'ПРил.№3 Рд,пр, ЦС,ВР'!J278</f>
        <v>8964.4</v>
      </c>
      <c r="I30" s="28">
        <f>'ПРил.№3 Рд,пр, ЦС,ВР'!K278</f>
        <v>7821.7</v>
      </c>
      <c r="J30" s="28">
        <f>'ПРил.№3 Рд,пр, ЦС,ВР'!L278</f>
        <v>5658</v>
      </c>
      <c r="K30" s="308">
        <f t="shared" si="2"/>
        <v>72.337215694797806</v>
      </c>
    </row>
    <row r="31" spans="1:11" ht="15.75" x14ac:dyDescent="0.25">
      <c r="A31" s="120" t="s">
        <v>569</v>
      </c>
      <c r="B31" s="21" t="s">
        <v>285</v>
      </c>
      <c r="C31" s="21" t="s">
        <v>264</v>
      </c>
      <c r="D31" s="28">
        <f>'ПРил.№3 Рд,пр, ЦС,ВР'!F297</f>
        <v>53711.1</v>
      </c>
      <c r="E31" s="28">
        <f>'ПРил.№3 Рд,пр, ЦС,ВР'!G297</f>
        <v>44351.4</v>
      </c>
      <c r="F31" s="28">
        <f>'ПРил.№3 Рд,пр, ЦС,ВР'!H297</f>
        <v>12383.3</v>
      </c>
      <c r="G31" s="28">
        <f>'ПРил.№3 Рд,пр, ЦС,ВР'!I297</f>
        <v>12383.3</v>
      </c>
      <c r="H31" s="28">
        <f>'ПРил.№3 Рд,пр, ЦС,ВР'!J297</f>
        <v>12383.3</v>
      </c>
      <c r="I31" s="28">
        <f>'ПРил.№3 Рд,пр, ЦС,ВР'!K297</f>
        <v>74243.400000000009</v>
      </c>
      <c r="J31" s="28">
        <f>'ПРил.№3 Рд,пр, ЦС,ВР'!L297</f>
        <v>45884.399999999994</v>
      </c>
      <c r="K31" s="308">
        <f t="shared" si="2"/>
        <v>61.80266528741948</v>
      </c>
    </row>
    <row r="32" spans="1:11" ht="15.75" x14ac:dyDescent="0.25">
      <c r="A32" s="119" t="s">
        <v>593</v>
      </c>
      <c r="B32" s="21" t="s">
        <v>285</v>
      </c>
      <c r="C32" s="21" t="s">
        <v>266</v>
      </c>
      <c r="D32" s="28">
        <f>'ПРил.№3 Рд,пр, ЦС,ВР'!F361</f>
        <v>25464.6</v>
      </c>
      <c r="E32" s="28">
        <f>'ПРил.№3 Рд,пр, ЦС,ВР'!G361</f>
        <v>16228</v>
      </c>
      <c r="F32" s="28">
        <f>'ПРил.№3 Рд,пр, ЦС,ВР'!H361</f>
        <v>19935.400000000001</v>
      </c>
      <c r="G32" s="28">
        <f>'ПРил.№3 Рд,пр, ЦС,ВР'!I361</f>
        <v>20104</v>
      </c>
      <c r="H32" s="28">
        <f>'ПРил.№3 Рд,пр, ЦС,ВР'!J361</f>
        <v>22018.100000000002</v>
      </c>
      <c r="I32" s="28">
        <f>'ПРил.№3 Рд,пр, ЦС,ВР'!K361</f>
        <v>26098.479999999996</v>
      </c>
      <c r="J32" s="28">
        <f>'ПРил.№3 Рд,пр, ЦС,ВР'!L361</f>
        <v>4434.3</v>
      </c>
      <c r="K32" s="308">
        <f t="shared" si="2"/>
        <v>16.990644665896255</v>
      </c>
    </row>
    <row r="33" spans="1:11" ht="15.75" x14ac:dyDescent="0.25">
      <c r="A33" s="26" t="s">
        <v>621</v>
      </c>
      <c r="B33" s="21" t="s">
        <v>285</v>
      </c>
      <c r="C33" s="21" t="s">
        <v>285</v>
      </c>
      <c r="D33" s="28">
        <f>'ПРил.№3 Рд,пр, ЦС,ВР'!F421</f>
        <v>21124.699999999997</v>
      </c>
      <c r="E33" s="28">
        <f>'ПРил.№3 Рд,пр, ЦС,ВР'!G421</f>
        <v>21588.805882352943</v>
      </c>
      <c r="F33" s="28">
        <f>'ПРил.№3 Рд,пр, ЦС,ВР'!H421</f>
        <v>24391.9</v>
      </c>
      <c r="G33" s="28">
        <f>'ПРил.№3 Рд,пр, ЦС,ВР'!I421</f>
        <v>24520.199999999997</v>
      </c>
      <c r="H33" s="28">
        <f>'ПРил.№3 Рд,пр, ЦС,ВР'!J421</f>
        <v>24626.1</v>
      </c>
      <c r="I33" s="28">
        <f>'ПРил.№3 Рд,пр, ЦС,ВР'!K421</f>
        <v>23092.400000000001</v>
      </c>
      <c r="J33" s="28">
        <f>'ПРил.№3 Рд,пр, ЦС,ВР'!L421</f>
        <v>14935.900000000001</v>
      </c>
      <c r="K33" s="308">
        <f t="shared" si="2"/>
        <v>64.678855380991152</v>
      </c>
    </row>
    <row r="34" spans="1:11" ht="15.75" x14ac:dyDescent="0.25">
      <c r="A34" s="49" t="s">
        <v>314</v>
      </c>
      <c r="B34" s="25" t="s">
        <v>315</v>
      </c>
      <c r="C34" s="25"/>
      <c r="D34" s="46">
        <f>SUM(D35:D39)</f>
        <v>290484.59999999998</v>
      </c>
      <c r="E34" s="46">
        <f t="shared" ref="E34:I34" si="9">SUM(E35:E39)</f>
        <v>286378.90000000002</v>
      </c>
      <c r="F34" s="46">
        <f t="shared" si="9"/>
        <v>351290</v>
      </c>
      <c r="G34" s="46">
        <f t="shared" si="9"/>
        <v>343706.89999999997</v>
      </c>
      <c r="H34" s="46">
        <f t="shared" si="9"/>
        <v>337520.6</v>
      </c>
      <c r="I34" s="46">
        <f t="shared" si="9"/>
        <v>309377.89999999997</v>
      </c>
      <c r="J34" s="46">
        <f t="shared" ref="J34" si="10">SUM(J35:J39)</f>
        <v>249130.60000000003</v>
      </c>
      <c r="K34" s="118">
        <f t="shared" si="2"/>
        <v>80.526307793801706</v>
      </c>
    </row>
    <row r="35" spans="1:11" ht="15.75" x14ac:dyDescent="0.25">
      <c r="A35" s="119" t="s">
        <v>456</v>
      </c>
      <c r="B35" s="21" t="s">
        <v>315</v>
      </c>
      <c r="C35" s="21" t="s">
        <v>169</v>
      </c>
      <c r="D35" s="28">
        <f>'ПРил.№3 Рд,пр, ЦС,ВР'!F441</f>
        <v>84659.4</v>
      </c>
      <c r="E35" s="28">
        <f>'ПРил.№3 Рд,пр, ЦС,ВР'!G441</f>
        <v>85381.2</v>
      </c>
      <c r="F35" s="28">
        <f>'ПРил.№3 Рд,пр, ЦС,ВР'!H441</f>
        <v>122402.5</v>
      </c>
      <c r="G35" s="28">
        <f>'ПРил.№3 Рд,пр, ЦС,ВР'!I441</f>
        <v>117666.8</v>
      </c>
      <c r="H35" s="28">
        <f>'ПРил.№3 Рд,пр, ЦС,ВР'!J441</f>
        <v>112203.8</v>
      </c>
      <c r="I35" s="28">
        <f>'ПРил.№3 Рд,пр, ЦС,ВР'!K441</f>
        <v>95189.2</v>
      </c>
      <c r="J35" s="28">
        <f>'ПРил.№3 Рд,пр, ЦС,ВР'!L441</f>
        <v>75455.200000000012</v>
      </c>
      <c r="K35" s="308">
        <f t="shared" si="2"/>
        <v>79.26865652826163</v>
      </c>
    </row>
    <row r="36" spans="1:11" ht="15.75" x14ac:dyDescent="0.25">
      <c r="A36" s="119" t="s">
        <v>477</v>
      </c>
      <c r="B36" s="21" t="s">
        <v>315</v>
      </c>
      <c r="C36" s="21" t="s">
        <v>264</v>
      </c>
      <c r="D36" s="28">
        <f>'ПРил.№3 Рд,пр, ЦС,ВР'!F492</f>
        <v>130684.4</v>
      </c>
      <c r="E36" s="28">
        <f>'ПРил.№3 Рд,пр, ЦС,ВР'!G492</f>
        <v>129899.26666666666</v>
      </c>
      <c r="F36" s="28">
        <f>'ПРил.№3 Рд,пр, ЦС,ВР'!H492</f>
        <v>135586.40000000002</v>
      </c>
      <c r="G36" s="28">
        <f>'ПРил.№3 Рд,пр, ЦС,ВР'!I492</f>
        <v>132510.29999999999</v>
      </c>
      <c r="H36" s="28">
        <f>'ПРил.№3 Рд,пр, ЦС,ВР'!J492</f>
        <v>131125.70000000001</v>
      </c>
      <c r="I36" s="28">
        <f>'ПРил.№3 Рд,пр, ЦС,ВР'!K492</f>
        <v>136721.09999999998</v>
      </c>
      <c r="J36" s="28">
        <f>'ПРил.№3 Рд,пр, ЦС,ВР'!L492</f>
        <v>108214.00000000003</v>
      </c>
      <c r="K36" s="308">
        <f t="shared" si="2"/>
        <v>79.149450962580062</v>
      </c>
    </row>
    <row r="37" spans="1:11" ht="15.75" x14ac:dyDescent="0.25">
      <c r="A37" s="119" t="s">
        <v>316</v>
      </c>
      <c r="B37" s="21" t="s">
        <v>315</v>
      </c>
      <c r="C37" s="21" t="s">
        <v>266</v>
      </c>
      <c r="D37" s="28">
        <f>'ПРил.№3 Рд,пр, ЦС,ВР'!F569</f>
        <v>52029.9</v>
      </c>
      <c r="E37" s="28">
        <f>'ПРил.№3 Рд,пр, ЦС,ВР'!G569</f>
        <v>47647.133333333339</v>
      </c>
      <c r="F37" s="28">
        <f>'ПРил.№3 Рд,пр, ЦС,ВР'!H569</f>
        <v>67974.7</v>
      </c>
      <c r="G37" s="28">
        <f>'ПРил.№3 Рд,пр, ЦС,ВР'!I569</f>
        <v>68080.099999999991</v>
      </c>
      <c r="H37" s="28">
        <f>'ПРил.№3 Рд,пр, ЦС,ВР'!J569</f>
        <v>68616.799999999988</v>
      </c>
      <c r="I37" s="28">
        <f>'ПРил.№3 Рд,пр, ЦС,ВР'!K569</f>
        <v>53804.299999999996</v>
      </c>
      <c r="J37" s="28">
        <f>'ПРил.№3 Рд,пр, ЦС,ВР'!L569</f>
        <v>46520.499999999993</v>
      </c>
      <c r="K37" s="308">
        <f t="shared" si="2"/>
        <v>86.462420289828131</v>
      </c>
    </row>
    <row r="38" spans="1:11" ht="15.75" x14ac:dyDescent="0.25">
      <c r="A38" s="119" t="s">
        <v>518</v>
      </c>
      <c r="B38" s="21" t="s">
        <v>315</v>
      </c>
      <c r="C38" s="21" t="s">
        <v>315</v>
      </c>
      <c r="D38" s="28">
        <f>'ПРил.№3 Рд,пр, ЦС,ВР'!F639</f>
        <v>4788.6000000000004</v>
      </c>
      <c r="E38" s="28">
        <f>'ПРил.№3 Рд,пр, ЦС,ВР'!G639</f>
        <v>4788.6000000000004</v>
      </c>
      <c r="F38" s="28">
        <f>'ПРил.№3 Рд,пр, ЦС,ВР'!H639</f>
        <v>5474.8</v>
      </c>
      <c r="G38" s="28">
        <f>'ПРил.№3 Рд,пр, ЦС,ВР'!I639</f>
        <v>5474.8</v>
      </c>
      <c r="H38" s="28">
        <f>'ПРил.№3 Рд,пр, ЦС,ВР'!J639</f>
        <v>5474.8</v>
      </c>
      <c r="I38" s="28">
        <f>'ПРил.№3 Рд,пр, ЦС,ВР'!K639</f>
        <v>4887.8</v>
      </c>
      <c r="J38" s="28">
        <f>'ПРил.№3 Рд,пр, ЦС,ВР'!L639</f>
        <v>4887.8</v>
      </c>
      <c r="K38" s="308">
        <f t="shared" si="2"/>
        <v>100</v>
      </c>
    </row>
    <row r="39" spans="1:11" ht="15.75" x14ac:dyDescent="0.25">
      <c r="A39" s="119" t="s">
        <v>346</v>
      </c>
      <c r="B39" s="21" t="s">
        <v>315</v>
      </c>
      <c r="C39" s="21" t="s">
        <v>270</v>
      </c>
      <c r="D39" s="28">
        <f>'ПРил.№3 Рд,пр, ЦС,ВР'!F650</f>
        <v>18322.300000000003</v>
      </c>
      <c r="E39" s="28">
        <f>'ПРил.№3 Рд,пр, ЦС,ВР'!G650</f>
        <v>18662.7</v>
      </c>
      <c r="F39" s="28">
        <f>'ПРил.№3 Рд,пр, ЦС,ВР'!H650</f>
        <v>19851.600000000002</v>
      </c>
      <c r="G39" s="28">
        <f>'ПРил.№3 Рд,пр, ЦС,ВР'!I650</f>
        <v>19974.900000000001</v>
      </c>
      <c r="H39" s="28">
        <f>'ПРил.№3 Рд,пр, ЦС,ВР'!J650</f>
        <v>20099.5</v>
      </c>
      <c r="I39" s="28">
        <f>'ПРил.№3 Рд,пр, ЦС,ВР'!K650</f>
        <v>18775.5</v>
      </c>
      <c r="J39" s="28">
        <f>'ПРил.№3 Рд,пр, ЦС,ВР'!L650</f>
        <v>14053.100000000002</v>
      </c>
      <c r="K39" s="308">
        <f t="shared" si="2"/>
        <v>74.848073286996367</v>
      </c>
    </row>
    <row r="40" spans="1:11" ht="15.75" x14ac:dyDescent="0.25">
      <c r="A40" s="122" t="s">
        <v>349</v>
      </c>
      <c r="B40" s="25" t="s">
        <v>350</v>
      </c>
      <c r="C40" s="21"/>
      <c r="D40" s="46">
        <f>D41+D42</f>
        <v>61699.8</v>
      </c>
      <c r="E40" s="46">
        <f t="shared" ref="E40:I40" si="11">E41+E42</f>
        <v>62134.184313725498</v>
      </c>
      <c r="F40" s="46">
        <f t="shared" si="11"/>
        <v>72053.100000000006</v>
      </c>
      <c r="G40" s="46">
        <f t="shared" si="11"/>
        <v>73293.100000000006</v>
      </c>
      <c r="H40" s="46">
        <f t="shared" si="11"/>
        <v>74048.899999999994</v>
      </c>
      <c r="I40" s="46">
        <f t="shared" si="11"/>
        <v>59789</v>
      </c>
      <c r="J40" s="46">
        <f t="shared" ref="J40" si="12">J41+J42</f>
        <v>48414.899999999994</v>
      </c>
      <c r="K40" s="118">
        <f t="shared" si="2"/>
        <v>80.9762665373229</v>
      </c>
    </row>
    <row r="41" spans="1:11" ht="15.75" x14ac:dyDescent="0.25">
      <c r="A41" s="121" t="s">
        <v>351</v>
      </c>
      <c r="B41" s="21" t="s">
        <v>350</v>
      </c>
      <c r="C41" s="21" t="s">
        <v>169</v>
      </c>
      <c r="D41" s="28">
        <f>'ПРил.№3 Рд,пр, ЦС,ВР'!F683</f>
        <v>44421.000000000007</v>
      </c>
      <c r="E41" s="28">
        <f>'ПРил.№3 Рд,пр, ЦС,ВР'!G683</f>
        <v>44421.000000000007</v>
      </c>
      <c r="F41" s="28">
        <f>'ПРил.№3 Рд,пр, ЦС,ВР'!H683</f>
        <v>52460.700000000004</v>
      </c>
      <c r="G41" s="28">
        <f>'ПРил.№3 Рд,пр, ЦС,ВР'!I683</f>
        <v>53585</v>
      </c>
      <c r="H41" s="28">
        <f>'ПРил.№3 Рд,пр, ЦС,ВР'!J683</f>
        <v>54232.700000000004</v>
      </c>
      <c r="I41" s="28">
        <f>'ПРил.№3 Рд,пр, ЦС,ВР'!K683</f>
        <v>43156.6</v>
      </c>
      <c r="J41" s="28">
        <f>'ПРил.№3 Рд,пр, ЦС,ВР'!L683</f>
        <v>34911.399999999994</v>
      </c>
      <c r="K41" s="308">
        <f t="shared" si="2"/>
        <v>80.894695133536914</v>
      </c>
    </row>
    <row r="42" spans="1:11" ht="15.75" x14ac:dyDescent="0.25">
      <c r="A42" s="121" t="s">
        <v>384</v>
      </c>
      <c r="B42" s="21" t="s">
        <v>350</v>
      </c>
      <c r="C42" s="21" t="s">
        <v>201</v>
      </c>
      <c r="D42" s="28">
        <f>'ПРил.№3 Рд,пр, ЦС,ВР'!F774</f>
        <v>17278.8</v>
      </c>
      <c r="E42" s="28">
        <f>'ПРил.№3 Рд,пр, ЦС,ВР'!G774</f>
        <v>17713.184313725491</v>
      </c>
      <c r="F42" s="28">
        <f>'ПРил.№3 Рд,пр, ЦС,ВР'!H774</f>
        <v>19592.400000000001</v>
      </c>
      <c r="G42" s="28">
        <f>'ПРил.№3 Рд,пр, ЦС,ВР'!I774</f>
        <v>19708.099999999999</v>
      </c>
      <c r="H42" s="28">
        <f>'ПРил.№3 Рд,пр, ЦС,ВР'!J774</f>
        <v>19816.199999999997</v>
      </c>
      <c r="I42" s="28">
        <f>'ПРил.№3 Рд,пр, ЦС,ВР'!K774</f>
        <v>16632.400000000001</v>
      </c>
      <c r="J42" s="28">
        <f>'ПРил.№3 Рд,пр, ЦС,ВР'!L774</f>
        <v>13503.5</v>
      </c>
      <c r="K42" s="308">
        <f t="shared" si="2"/>
        <v>81.187922368389394</v>
      </c>
    </row>
    <row r="43" spans="1:11" ht="15.75" x14ac:dyDescent="0.25">
      <c r="A43" s="49" t="s">
        <v>294</v>
      </c>
      <c r="B43" s="25" t="s">
        <v>295</v>
      </c>
      <c r="C43" s="25"/>
      <c r="D43" s="46">
        <f>D44+D45+D46+D47</f>
        <v>16937</v>
      </c>
      <c r="E43" s="46">
        <f t="shared" ref="E43:I43" si="13">E44+E45+E46+E47</f>
        <v>16927</v>
      </c>
      <c r="F43" s="46">
        <f t="shared" si="13"/>
        <v>17517.8</v>
      </c>
      <c r="G43" s="46">
        <f t="shared" si="13"/>
        <v>17632.8</v>
      </c>
      <c r="H43" s="46">
        <f t="shared" si="13"/>
        <v>17677.8</v>
      </c>
      <c r="I43" s="46">
        <f t="shared" si="13"/>
        <v>16848.3</v>
      </c>
      <c r="J43" s="46">
        <f t="shared" ref="J43" si="14">J44+J45+J46+J47</f>
        <v>11083.7</v>
      </c>
      <c r="K43" s="118">
        <f t="shared" si="2"/>
        <v>65.785272104604033</v>
      </c>
    </row>
    <row r="44" spans="1:11" ht="15.75" x14ac:dyDescent="0.25">
      <c r="A44" s="119" t="s">
        <v>296</v>
      </c>
      <c r="B44" s="21" t="s">
        <v>295</v>
      </c>
      <c r="C44" s="21" t="s">
        <v>169</v>
      </c>
      <c r="D44" s="28">
        <f>'ПРил.№3 Рд,пр, ЦС,ВР'!F805</f>
        <v>9066.4</v>
      </c>
      <c r="E44" s="28">
        <f>'ПРил.№3 Рд,пр, ЦС,ВР'!G805</f>
        <v>9066.4</v>
      </c>
      <c r="F44" s="28">
        <f>'ПРил.№3 Рд,пр, ЦС,ВР'!H805</f>
        <v>9066.5</v>
      </c>
      <c r="G44" s="28">
        <f>'ПРил.№3 Рд,пр, ЦС,ВР'!I805</f>
        <v>9066.5</v>
      </c>
      <c r="H44" s="28">
        <f>'ПРил.№3 Рд,пр, ЦС,ВР'!J805</f>
        <v>9066.5</v>
      </c>
      <c r="I44" s="28">
        <f>'ПРил.№3 Рд,пр, ЦС,ВР'!K805</f>
        <v>9066.4</v>
      </c>
      <c r="J44" s="28">
        <f>'ПРил.№3 Рд,пр, ЦС,ВР'!L805</f>
        <v>6805.2</v>
      </c>
      <c r="K44" s="308">
        <f t="shared" si="2"/>
        <v>75.059560575311039</v>
      </c>
    </row>
    <row r="45" spans="1:11" ht="15.75" x14ac:dyDescent="0.25">
      <c r="A45" s="26" t="s">
        <v>303</v>
      </c>
      <c r="B45" s="21" t="s">
        <v>295</v>
      </c>
      <c r="C45" s="21" t="s">
        <v>266</v>
      </c>
      <c r="D45" s="28">
        <f>'ПРил.№3 Рд,пр, ЦС,ВР'!F811</f>
        <v>4635</v>
      </c>
      <c r="E45" s="28">
        <f>'ПРил.№3 Рд,пр, ЦС,ВР'!G811</f>
        <v>4625</v>
      </c>
      <c r="F45" s="28">
        <f>'ПРил.№3 Рд,пр, ЦС,ВР'!H811</f>
        <v>5195</v>
      </c>
      <c r="G45" s="28">
        <f>'ПРил.№3 Рд,пр, ЦС,ВР'!I811</f>
        <v>5310</v>
      </c>
      <c r="H45" s="28">
        <f>'ПРил.№3 Рд,пр, ЦС,ВР'!J811</f>
        <v>5355</v>
      </c>
      <c r="I45" s="28">
        <f>'ПРил.№3 Рд,пр, ЦС,ВР'!K811</f>
        <v>4546.1000000000004</v>
      </c>
      <c r="J45" s="28">
        <f>'ПРил.№3 Рд,пр, ЦС,ВР'!L811</f>
        <v>2174.4</v>
      </c>
      <c r="K45" s="308">
        <f t="shared" si="2"/>
        <v>47.830008138844285</v>
      </c>
    </row>
    <row r="46" spans="1:11" ht="15.75" hidden="1" x14ac:dyDescent="0.25">
      <c r="A46" s="121" t="s">
        <v>452</v>
      </c>
      <c r="B46" s="21" t="s">
        <v>295</v>
      </c>
      <c r="C46" s="21" t="s">
        <v>201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f>'ПРил.№3 Рд,пр, ЦС,ВР'!K889</f>
        <v>0</v>
      </c>
      <c r="J46" s="28">
        <f>'ПРил.№3 Рд,пр, ЦС,ВР'!L889</f>
        <v>0</v>
      </c>
      <c r="K46" s="308" t="e">
        <f t="shared" si="2"/>
        <v>#DIV/0!</v>
      </c>
    </row>
    <row r="47" spans="1:11" ht="15.75" x14ac:dyDescent="0.25">
      <c r="A47" s="26" t="s">
        <v>309</v>
      </c>
      <c r="B47" s="21" t="s">
        <v>295</v>
      </c>
      <c r="C47" s="21" t="s">
        <v>171</v>
      </c>
      <c r="D47" s="28">
        <f>'ПРил.№3 Рд,пр, ЦС,ВР'!F897</f>
        <v>3235.6000000000004</v>
      </c>
      <c r="E47" s="28">
        <f>'ПРил.№3 Рд,пр, ЦС,ВР'!G897</f>
        <v>3235.6000000000004</v>
      </c>
      <c r="F47" s="28">
        <f>'ПРил.№3 Рд,пр, ЦС,ВР'!H897</f>
        <v>3256.3000000000006</v>
      </c>
      <c r="G47" s="28">
        <f>'ПРил.№3 Рд,пр, ЦС,ВР'!I897</f>
        <v>3256.3000000000006</v>
      </c>
      <c r="H47" s="28">
        <f>'ПРил.№3 Рд,пр, ЦС,ВР'!J897</f>
        <v>3256.3000000000006</v>
      </c>
      <c r="I47" s="28">
        <f>'ПРил.№3 Рд,пр, ЦС,ВР'!K897</f>
        <v>3235.8</v>
      </c>
      <c r="J47" s="28">
        <f>'ПРил.№3 Рд,пр, ЦС,ВР'!L897</f>
        <v>2104.1</v>
      </c>
      <c r="K47" s="308">
        <f t="shared" si="2"/>
        <v>65.02565053464366</v>
      </c>
    </row>
    <row r="48" spans="1:11" ht="15.75" x14ac:dyDescent="0.25">
      <c r="A48" s="122" t="s">
        <v>542</v>
      </c>
      <c r="B48" s="25" t="s">
        <v>543</v>
      </c>
      <c r="C48" s="21"/>
      <c r="D48" s="46">
        <f>D49+D50</f>
        <v>34702.699999999997</v>
      </c>
      <c r="E48" s="46">
        <f t="shared" ref="E48:I48" si="15">E49+E50</f>
        <v>40816.800000000003</v>
      </c>
      <c r="F48" s="46">
        <f t="shared" si="15"/>
        <v>64029.599999999999</v>
      </c>
      <c r="G48" s="46">
        <f t="shared" si="15"/>
        <v>65815.3</v>
      </c>
      <c r="H48" s="46">
        <f t="shared" si="15"/>
        <v>66895.899999999994</v>
      </c>
      <c r="I48" s="46">
        <f t="shared" si="15"/>
        <v>51617.8</v>
      </c>
      <c r="J48" s="46">
        <f t="shared" ref="J48" si="16">J49+J50</f>
        <v>33596.100000000006</v>
      </c>
      <c r="K48" s="118">
        <f t="shared" si="2"/>
        <v>65.086268690258024</v>
      </c>
    </row>
    <row r="49" spans="1:11" ht="15.75" x14ac:dyDescent="0.25">
      <c r="A49" s="121" t="s">
        <v>544</v>
      </c>
      <c r="B49" s="21" t="s">
        <v>543</v>
      </c>
      <c r="C49" s="21" t="s">
        <v>169</v>
      </c>
      <c r="D49" s="28">
        <f>'ПРил.№3 Рд,пр, ЦС,ВР'!F914</f>
        <v>23173.9</v>
      </c>
      <c r="E49" s="28">
        <f>'ПРил.№3 Рд,пр, ЦС,ВР'!G914</f>
        <v>28397</v>
      </c>
      <c r="F49" s="28">
        <f>'ПРил.№3 Рд,пр, ЦС,ВР'!H914</f>
        <v>52737</v>
      </c>
      <c r="G49" s="28">
        <f>'ПРил.№3 Рд,пр, ЦС,ВР'!I914</f>
        <v>54355.7</v>
      </c>
      <c r="H49" s="28">
        <f>'ПРил.№3 Рд,пр, ЦС,ВР'!J914</f>
        <v>55263.1</v>
      </c>
      <c r="I49" s="28">
        <f>'ПРил.№3 Рд,пр, ЦС,ВР'!K914</f>
        <v>40805.5</v>
      </c>
      <c r="J49" s="28">
        <f>'ПРил.№3 Рд,пр, ЦС,ВР'!L914</f>
        <v>25874.200000000004</v>
      </c>
      <c r="K49" s="308">
        <f t="shared" si="2"/>
        <v>63.408609133572689</v>
      </c>
    </row>
    <row r="50" spans="1:11" ht="15.75" x14ac:dyDescent="0.25">
      <c r="A50" s="121" t="s">
        <v>552</v>
      </c>
      <c r="B50" s="21" t="s">
        <v>543</v>
      </c>
      <c r="C50" s="21" t="s">
        <v>285</v>
      </c>
      <c r="D50" s="28">
        <f>'ПРил.№3 Рд,пр, ЦС,ВР'!F941</f>
        <v>11528.8</v>
      </c>
      <c r="E50" s="28">
        <f>'ПРил.№3 Рд,пр, ЦС,ВР'!G941</f>
        <v>12419.8</v>
      </c>
      <c r="F50" s="28">
        <f>'ПРил.№3 Рд,пр, ЦС,ВР'!H941</f>
        <v>11292.6</v>
      </c>
      <c r="G50" s="28">
        <f>'ПРил.№3 Рд,пр, ЦС,ВР'!I941</f>
        <v>11459.6</v>
      </c>
      <c r="H50" s="28">
        <f>'ПРил.№3 Рд,пр, ЦС,ВР'!J941</f>
        <v>11632.800000000001</v>
      </c>
      <c r="I50" s="28">
        <f>'ПРил.№3 Рд,пр, ЦС,ВР'!K941</f>
        <v>10812.3</v>
      </c>
      <c r="J50" s="28">
        <f>'ПРил.№3 Рд,пр, ЦС,ВР'!L941</f>
        <v>7721.9</v>
      </c>
      <c r="K50" s="308">
        <f t="shared" si="2"/>
        <v>71.417737206699783</v>
      </c>
    </row>
    <row r="51" spans="1:11" ht="15.75" x14ac:dyDescent="0.25">
      <c r="A51" s="20" t="s">
        <v>634</v>
      </c>
      <c r="B51" s="25" t="s">
        <v>289</v>
      </c>
      <c r="C51" s="21"/>
      <c r="D51" s="46">
        <f>D52</f>
        <v>6309.8</v>
      </c>
      <c r="E51" s="46">
        <f t="shared" ref="E51:J51" si="17">E52</f>
        <v>6309.8</v>
      </c>
      <c r="F51" s="46">
        <f t="shared" si="17"/>
        <v>8181.7000000000007</v>
      </c>
      <c r="G51" s="46">
        <f t="shared" si="17"/>
        <v>8258.7000000000007</v>
      </c>
      <c r="H51" s="46">
        <f t="shared" si="17"/>
        <v>8332.7000000000007</v>
      </c>
      <c r="I51" s="46">
        <f t="shared" si="17"/>
        <v>6283.5</v>
      </c>
      <c r="J51" s="46">
        <f t="shared" si="17"/>
        <v>4413.2000000000007</v>
      </c>
      <c r="K51" s="118">
        <f t="shared" si="2"/>
        <v>70.234741784037567</v>
      </c>
    </row>
    <row r="52" spans="1:11" ht="15.75" x14ac:dyDescent="0.25">
      <c r="A52" s="33" t="s">
        <v>635</v>
      </c>
      <c r="B52" s="21" t="s">
        <v>289</v>
      </c>
      <c r="C52" s="21" t="s">
        <v>264</v>
      </c>
      <c r="D52" s="28">
        <f>'ПРил.№3 Рд,пр, ЦС,ВР'!F965</f>
        <v>6309.8</v>
      </c>
      <c r="E52" s="28">
        <f>'ПРил.№3 Рд,пр, ЦС,ВР'!G965</f>
        <v>6309.8</v>
      </c>
      <c r="F52" s="28">
        <f>'ПРил.№3 Рд,пр, ЦС,ВР'!H965</f>
        <v>8181.7000000000007</v>
      </c>
      <c r="G52" s="28">
        <f>'ПРил.№3 Рд,пр, ЦС,ВР'!I965</f>
        <v>8258.7000000000007</v>
      </c>
      <c r="H52" s="28">
        <f>'ПРил.№3 Рд,пр, ЦС,ВР'!J965</f>
        <v>8332.7000000000007</v>
      </c>
      <c r="I52" s="28">
        <f>'ПРил.№3 Рд,пр, ЦС,ВР'!K965</f>
        <v>6283.5</v>
      </c>
      <c r="J52" s="28">
        <f>'ПРил.№3 Рд,пр, ЦС,ВР'!L965</f>
        <v>4413.2000000000007</v>
      </c>
      <c r="K52" s="308">
        <f t="shared" si="2"/>
        <v>70.234741784037567</v>
      </c>
    </row>
    <row r="53" spans="1:11" ht="15.75" x14ac:dyDescent="0.25">
      <c r="A53" s="117" t="s">
        <v>759</v>
      </c>
      <c r="B53" s="25"/>
      <c r="C53" s="25"/>
      <c r="D53" s="46">
        <f>D13+D22+D24+D29+D34+D40+D43+D48+D51+D20</f>
        <v>665442.19999999995</v>
      </c>
      <c r="E53" s="46">
        <f t="shared" ref="E53:I53" si="18">E13+E22+E24+E29+E34+E40+E43+E48+E51+E20</f>
        <v>638134.33647058834</v>
      </c>
      <c r="F53" s="46">
        <f t="shared" si="18"/>
        <v>747288</v>
      </c>
      <c r="G53" s="46">
        <f t="shared" si="18"/>
        <v>743098.70000000007</v>
      </c>
      <c r="H53" s="46">
        <f t="shared" si="18"/>
        <v>741645.10000000009</v>
      </c>
      <c r="I53" s="46">
        <f t="shared" si="18"/>
        <v>740005.38000000012</v>
      </c>
      <c r="J53" s="46">
        <f t="shared" ref="J53" si="19">J13+J22+J24+J29+J34+J40+J43+J48+J51+J20</f>
        <v>530697.60000000009</v>
      </c>
      <c r="K53" s="118">
        <f t="shared" si="2"/>
        <v>71.715370501765804</v>
      </c>
    </row>
    <row r="54" spans="1:11" hidden="1" x14ac:dyDescent="0.25">
      <c r="D54">
        <f>'Прил.№4 ведомств.'!G1135</f>
        <v>665442.19999999995</v>
      </c>
      <c r="E54">
        <f>'Прил.№4 ведомств.'!I1135</f>
        <v>638134.33647058823</v>
      </c>
      <c r="F54">
        <f>'Прил.№4 ведомств.'!J1135</f>
        <v>747927.99999999988</v>
      </c>
      <c r="G54">
        <f>'Прил.№4 ведомств.'!K1135</f>
        <v>743098.70000000007</v>
      </c>
      <c r="H54">
        <f>'Прил.№4 ведомств.'!L1135</f>
        <v>741645.1</v>
      </c>
      <c r="I54">
        <f>'Прил.№4 ведомств.'!M1135</f>
        <v>740005.38</v>
      </c>
      <c r="J54">
        <f>'Прил.№4 ведомств.'!N1135</f>
        <v>530697.60000000009</v>
      </c>
      <c r="K54">
        <f>'Прил.№4 ведомств.'!O1135</f>
        <v>71.715370501765818</v>
      </c>
    </row>
    <row r="55" spans="1:11" hidden="1" x14ac:dyDescent="0.25">
      <c r="D55" s="23">
        <f>D54-D53</f>
        <v>0</v>
      </c>
      <c r="E55" s="23">
        <f t="shared" ref="E55:I55" si="20">E54-E53</f>
        <v>0</v>
      </c>
      <c r="F55" s="23">
        <f t="shared" si="20"/>
        <v>639.99999999988358</v>
      </c>
      <c r="G55" s="23">
        <f t="shared" si="20"/>
        <v>0</v>
      </c>
      <c r="H55" s="23">
        <f t="shared" si="20"/>
        <v>0</v>
      </c>
      <c r="I55" s="23">
        <f t="shared" si="20"/>
        <v>0</v>
      </c>
      <c r="J55" s="23">
        <f t="shared" ref="J55:K55" si="21">J54-J53</f>
        <v>0</v>
      </c>
      <c r="K55" s="23">
        <f t="shared" si="21"/>
        <v>0</v>
      </c>
    </row>
    <row r="56" spans="1:11" x14ac:dyDescent="0.25">
      <c r="I56">
        <v>665442.19999999995</v>
      </c>
      <c r="J56">
        <v>665442.19999999995</v>
      </c>
      <c r="K56">
        <v>665442.19999999995</v>
      </c>
    </row>
    <row r="57" spans="1:11" x14ac:dyDescent="0.25">
      <c r="I57" s="23">
        <f>I53-I56</f>
        <v>74563.180000000168</v>
      </c>
      <c r="J57" s="23">
        <f t="shared" ref="J57:K57" si="22">J53-J56</f>
        <v>-134744.59999999986</v>
      </c>
      <c r="K57" s="23">
        <f t="shared" si="22"/>
        <v>-665370.48462949821</v>
      </c>
    </row>
    <row r="61" spans="1:11" x14ac:dyDescent="0.25">
      <c r="I61">
        <f>164414.9-112075.6</f>
        <v>52339.299999999988</v>
      </c>
      <c r="J61">
        <f t="shared" ref="J61:K61" si="23">164414.9-112075.6</f>
        <v>52339.299999999988</v>
      </c>
      <c r="K61">
        <f t="shared" si="23"/>
        <v>52339.299999999988</v>
      </c>
    </row>
  </sheetData>
  <mergeCells count="4">
    <mergeCell ref="A10:D10"/>
    <mergeCell ref="A7:K7"/>
    <mergeCell ref="A8:K8"/>
    <mergeCell ref="A9:K9"/>
  </mergeCells>
  <pageMargins left="1.1811023622047245" right="0.39370078740157483" top="0.39370078740157483" bottom="0.3937007874015748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7"/>
  <sheetViews>
    <sheetView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1.7109375" hidden="1" customWidth="1"/>
    <col min="7" max="7" width="12" hidden="1" customWidth="1"/>
    <col min="8" max="8" width="10.85546875" hidden="1" customWidth="1"/>
    <col min="9" max="9" width="12.28515625" hidden="1" customWidth="1"/>
    <col min="10" max="10" width="11.7109375" hidden="1" customWidth="1"/>
    <col min="11" max="13" width="14.28515625" customWidth="1"/>
  </cols>
  <sheetData>
    <row r="1" spans="1:13" ht="15.75" customHeight="1" x14ac:dyDescent="0.3">
      <c r="A1" s="58"/>
      <c r="B1" s="29"/>
      <c r="C1" s="29"/>
      <c r="D1" s="186"/>
      <c r="F1" s="29"/>
      <c r="L1" s="345" t="s">
        <v>965</v>
      </c>
      <c r="M1" s="275"/>
    </row>
    <row r="2" spans="1:13" ht="15.75" customHeight="1" x14ac:dyDescent="0.3">
      <c r="A2" s="58"/>
      <c r="B2" s="29"/>
      <c r="C2" s="29"/>
      <c r="D2" s="186"/>
      <c r="F2" s="60"/>
      <c r="L2" s="345" t="s">
        <v>1050</v>
      </c>
      <c r="M2" s="275"/>
    </row>
    <row r="3" spans="1:13" ht="15.75" customHeight="1" x14ac:dyDescent="0.3">
      <c r="A3" s="58"/>
      <c r="B3" s="29"/>
      <c r="C3" s="29"/>
      <c r="D3" s="303"/>
      <c r="F3" s="60"/>
      <c r="L3" s="345" t="s">
        <v>1052</v>
      </c>
      <c r="M3" s="275"/>
    </row>
    <row r="4" spans="1:13" ht="15.75" customHeight="1" x14ac:dyDescent="0.3">
      <c r="A4" s="58"/>
      <c r="B4" s="29"/>
      <c r="C4" s="29"/>
      <c r="E4" s="275"/>
      <c r="F4" s="60"/>
      <c r="L4" s="345" t="s">
        <v>1051</v>
      </c>
      <c r="M4" s="316"/>
    </row>
    <row r="5" spans="1:13" ht="15.75" customHeight="1" x14ac:dyDescent="0.3">
      <c r="A5" s="58"/>
      <c r="B5" s="29"/>
      <c r="C5" s="29"/>
      <c r="E5" s="275"/>
      <c r="F5" s="60"/>
      <c r="L5" s="345" t="s">
        <v>1053</v>
      </c>
      <c r="M5" s="316"/>
    </row>
    <row r="6" spans="1:13" x14ac:dyDescent="0.25">
      <c r="A6" s="58"/>
      <c r="B6" s="29"/>
      <c r="C6" s="29"/>
      <c r="D6" s="29"/>
      <c r="E6" s="29"/>
      <c r="F6" s="58"/>
    </row>
    <row r="7" spans="1:13" ht="48.75" customHeight="1" x14ac:dyDescent="0.25">
      <c r="A7" s="329" t="s">
        <v>1037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</row>
    <row r="8" spans="1:13" ht="9" customHeight="1" x14ac:dyDescent="0.25">
      <c r="A8" s="58"/>
      <c r="B8" s="29"/>
      <c r="C8" s="29"/>
      <c r="D8" s="29"/>
      <c r="E8" s="29"/>
      <c r="F8" s="61" t="s">
        <v>1</v>
      </c>
      <c r="K8" s="264"/>
      <c r="L8" s="264"/>
      <c r="M8" s="264"/>
    </row>
    <row r="9" spans="1:13" ht="30" customHeight="1" x14ac:dyDescent="0.25">
      <c r="A9" s="330" t="s">
        <v>645</v>
      </c>
      <c r="B9" s="332" t="s">
        <v>163</v>
      </c>
      <c r="C9" s="332" t="s">
        <v>164</v>
      </c>
      <c r="D9" s="332" t="s">
        <v>165</v>
      </c>
      <c r="E9" s="332" t="s">
        <v>166</v>
      </c>
      <c r="F9" s="334" t="s">
        <v>4</v>
      </c>
      <c r="G9" s="334" t="s">
        <v>876</v>
      </c>
      <c r="H9" s="334" t="s">
        <v>880</v>
      </c>
      <c r="I9" s="334" t="s">
        <v>877</v>
      </c>
      <c r="J9" s="334" t="s">
        <v>878</v>
      </c>
      <c r="K9" s="334" t="s">
        <v>1027</v>
      </c>
      <c r="L9" s="334" t="s">
        <v>1032</v>
      </c>
      <c r="M9" s="334" t="s">
        <v>1026</v>
      </c>
    </row>
    <row r="10" spans="1:13" ht="36" customHeight="1" x14ac:dyDescent="0.25">
      <c r="A10" s="331"/>
      <c r="B10" s="333"/>
      <c r="C10" s="333"/>
      <c r="D10" s="333"/>
      <c r="E10" s="333"/>
      <c r="F10" s="335"/>
      <c r="G10" s="335"/>
      <c r="H10" s="335"/>
      <c r="I10" s="335"/>
      <c r="J10" s="335"/>
      <c r="K10" s="335"/>
      <c r="L10" s="335"/>
      <c r="M10" s="335"/>
    </row>
    <row r="11" spans="1:13" ht="15.75" x14ac:dyDescent="0.25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62">
        <v>6</v>
      </c>
      <c r="G11" s="62">
        <v>7</v>
      </c>
      <c r="H11" s="62">
        <v>6</v>
      </c>
      <c r="I11" s="62">
        <v>9</v>
      </c>
      <c r="J11" s="62">
        <v>10</v>
      </c>
      <c r="K11" s="62">
        <v>6</v>
      </c>
      <c r="L11" s="62">
        <v>7</v>
      </c>
      <c r="M11" s="62">
        <v>8</v>
      </c>
    </row>
    <row r="12" spans="1:13" ht="15.75" x14ac:dyDescent="0.25">
      <c r="A12" s="43" t="s">
        <v>168</v>
      </c>
      <c r="B12" s="8" t="s">
        <v>169</v>
      </c>
      <c r="C12" s="8"/>
      <c r="D12" s="8"/>
      <c r="E12" s="8"/>
      <c r="F12" s="4">
        <f t="shared" ref="F12:K12" si="0">F13+F21+F31+F56+F74</f>
        <v>118780.09999999998</v>
      </c>
      <c r="G12" s="4">
        <f t="shared" si="0"/>
        <v>108948.27960784313</v>
      </c>
      <c r="H12" s="4">
        <f t="shared" si="0"/>
        <v>137733.79999999999</v>
      </c>
      <c r="I12" s="4">
        <f t="shared" si="0"/>
        <v>138680.9</v>
      </c>
      <c r="J12" s="4">
        <f t="shared" si="0"/>
        <v>139391.69999999998</v>
      </c>
      <c r="K12" s="4">
        <f t="shared" si="0"/>
        <v>143325.1</v>
      </c>
      <c r="L12" s="4">
        <f t="shared" ref="L12" si="1">L13+L21+L31+L56+L74</f>
        <v>102512.9</v>
      </c>
      <c r="M12" s="4">
        <f>L12/K12*100</f>
        <v>71.524736420906038</v>
      </c>
    </row>
    <row r="13" spans="1:13" ht="47.25" x14ac:dyDescent="0.25">
      <c r="A13" s="43" t="s">
        <v>627</v>
      </c>
      <c r="B13" s="8" t="s">
        <v>169</v>
      </c>
      <c r="C13" s="8" t="s">
        <v>264</v>
      </c>
      <c r="D13" s="8"/>
      <c r="E13" s="8"/>
      <c r="F13" s="4">
        <f>F14</f>
        <v>4133.6000000000004</v>
      </c>
      <c r="G13" s="4">
        <f t="shared" ref="G13:L15" si="2">G14</f>
        <v>4411.6000000000004</v>
      </c>
      <c r="H13" s="4">
        <f t="shared" si="2"/>
        <v>4342.8</v>
      </c>
      <c r="I13" s="4">
        <f t="shared" si="2"/>
        <v>4342.8</v>
      </c>
      <c r="J13" s="4">
        <f t="shared" si="2"/>
        <v>4342.8</v>
      </c>
      <c r="K13" s="4">
        <f t="shared" si="2"/>
        <v>4342.8</v>
      </c>
      <c r="L13" s="4">
        <f t="shared" si="2"/>
        <v>3551.5</v>
      </c>
      <c r="M13" s="4">
        <f t="shared" ref="M13:M76" si="3">L13/K13*100</f>
        <v>81.779036566270605</v>
      </c>
    </row>
    <row r="14" spans="1:13" ht="15.75" x14ac:dyDescent="0.25">
      <c r="A14" s="31" t="s">
        <v>172</v>
      </c>
      <c r="B14" s="42" t="s">
        <v>169</v>
      </c>
      <c r="C14" s="42" t="s">
        <v>264</v>
      </c>
      <c r="D14" s="42" t="s">
        <v>173</v>
      </c>
      <c r="E14" s="42"/>
      <c r="F14" s="7">
        <f>F15</f>
        <v>4133.6000000000004</v>
      </c>
      <c r="G14" s="7">
        <f t="shared" si="2"/>
        <v>4411.6000000000004</v>
      </c>
      <c r="H14" s="7">
        <f t="shared" si="2"/>
        <v>4342.8</v>
      </c>
      <c r="I14" s="7">
        <f t="shared" si="2"/>
        <v>4342.8</v>
      </c>
      <c r="J14" s="7">
        <f t="shared" si="2"/>
        <v>4342.8</v>
      </c>
      <c r="K14" s="7">
        <f t="shared" si="2"/>
        <v>4342.8</v>
      </c>
      <c r="L14" s="7">
        <f t="shared" si="2"/>
        <v>3551.5</v>
      </c>
      <c r="M14" s="7">
        <f t="shared" si="3"/>
        <v>81.779036566270605</v>
      </c>
    </row>
    <row r="15" spans="1:13" ht="31.5" x14ac:dyDescent="0.25">
      <c r="A15" s="31" t="s">
        <v>174</v>
      </c>
      <c r="B15" s="42" t="s">
        <v>169</v>
      </c>
      <c r="C15" s="42" t="s">
        <v>264</v>
      </c>
      <c r="D15" s="42" t="s">
        <v>175</v>
      </c>
      <c r="E15" s="42"/>
      <c r="F15" s="7">
        <f>F16</f>
        <v>4133.6000000000004</v>
      </c>
      <c r="G15" s="7">
        <f t="shared" si="2"/>
        <v>4411.6000000000004</v>
      </c>
      <c r="H15" s="7">
        <f t="shared" si="2"/>
        <v>4342.8</v>
      </c>
      <c r="I15" s="7">
        <f t="shared" si="2"/>
        <v>4342.8</v>
      </c>
      <c r="J15" s="7">
        <f t="shared" si="2"/>
        <v>4342.8</v>
      </c>
      <c r="K15" s="7">
        <f t="shared" si="2"/>
        <v>4342.8</v>
      </c>
      <c r="L15" s="7">
        <f t="shared" si="2"/>
        <v>3551.5</v>
      </c>
      <c r="M15" s="7">
        <f t="shared" si="3"/>
        <v>81.779036566270605</v>
      </c>
    </row>
    <row r="16" spans="1:13" ht="31.5" x14ac:dyDescent="0.25">
      <c r="A16" s="31" t="s">
        <v>628</v>
      </c>
      <c r="B16" s="42" t="s">
        <v>169</v>
      </c>
      <c r="C16" s="42" t="s">
        <v>264</v>
      </c>
      <c r="D16" s="42" t="s">
        <v>629</v>
      </c>
      <c r="E16" s="42"/>
      <c r="F16" s="7">
        <f>F17+F19</f>
        <v>4133.6000000000004</v>
      </c>
      <c r="G16" s="7">
        <f>G17+G19</f>
        <v>4411.6000000000004</v>
      </c>
      <c r="H16" s="7">
        <f t="shared" ref="H16:K16" si="4">H17+H19</f>
        <v>4342.8</v>
      </c>
      <c r="I16" s="7">
        <f t="shared" si="4"/>
        <v>4342.8</v>
      </c>
      <c r="J16" s="7">
        <f t="shared" si="4"/>
        <v>4342.8</v>
      </c>
      <c r="K16" s="7">
        <f t="shared" si="4"/>
        <v>4342.8</v>
      </c>
      <c r="L16" s="7">
        <f t="shared" ref="L16" si="5">L17+L19</f>
        <v>3551.5</v>
      </c>
      <c r="M16" s="7">
        <f t="shared" si="3"/>
        <v>81.779036566270605</v>
      </c>
    </row>
    <row r="17" spans="1:13" ht="78.75" x14ac:dyDescent="0.25">
      <c r="A17" s="31" t="s">
        <v>178</v>
      </c>
      <c r="B17" s="42" t="s">
        <v>169</v>
      </c>
      <c r="C17" s="42" t="s">
        <v>264</v>
      </c>
      <c r="D17" s="42" t="s">
        <v>629</v>
      </c>
      <c r="E17" s="42" t="s">
        <v>179</v>
      </c>
      <c r="F17" s="63">
        <f>F18</f>
        <v>4100.6000000000004</v>
      </c>
      <c r="G17" s="63">
        <f t="shared" ref="G17:L17" si="6">G18</f>
        <v>4378.6000000000004</v>
      </c>
      <c r="H17" s="63">
        <f t="shared" si="6"/>
        <v>3873.8</v>
      </c>
      <c r="I17" s="63">
        <f t="shared" si="6"/>
        <v>3873.8</v>
      </c>
      <c r="J17" s="63">
        <f t="shared" si="6"/>
        <v>3873.8</v>
      </c>
      <c r="K17" s="63">
        <f t="shared" si="6"/>
        <v>4342.8</v>
      </c>
      <c r="L17" s="63">
        <f t="shared" si="6"/>
        <v>3551.5</v>
      </c>
      <c r="M17" s="7">
        <f t="shared" si="3"/>
        <v>81.779036566270605</v>
      </c>
    </row>
    <row r="18" spans="1:13" ht="31.5" x14ac:dyDescent="0.25">
      <c r="A18" s="31" t="s">
        <v>180</v>
      </c>
      <c r="B18" s="42" t="s">
        <v>169</v>
      </c>
      <c r="C18" s="42" t="s">
        <v>264</v>
      </c>
      <c r="D18" s="42" t="s">
        <v>629</v>
      </c>
      <c r="E18" s="42" t="s">
        <v>181</v>
      </c>
      <c r="F18" s="63">
        <f>'Прил.№4 ведомств.'!G1086</f>
        <v>4100.6000000000004</v>
      </c>
      <c r="G18" s="63">
        <f>'Прил.№4 ведомств.'!I1086</f>
        <v>4378.6000000000004</v>
      </c>
      <c r="H18" s="63">
        <f>'Прил.№4 ведомств.'!J1086</f>
        <v>3873.8</v>
      </c>
      <c r="I18" s="63">
        <f>'Прил.№4 ведомств.'!K1086</f>
        <v>3873.8</v>
      </c>
      <c r="J18" s="63">
        <f>'Прил.№4 ведомств.'!L1086</f>
        <v>3873.8</v>
      </c>
      <c r="K18" s="63">
        <f>'Прил.№4 ведомств.'!M1086</f>
        <v>4342.8</v>
      </c>
      <c r="L18" s="63">
        <f>'Прил.№4 ведомств.'!N1086</f>
        <v>3551.5</v>
      </c>
      <c r="M18" s="7">
        <f t="shared" si="3"/>
        <v>81.779036566270605</v>
      </c>
    </row>
    <row r="19" spans="1:13" ht="31.5" hidden="1" x14ac:dyDescent="0.25">
      <c r="A19" s="31" t="s">
        <v>182</v>
      </c>
      <c r="B19" s="42" t="s">
        <v>169</v>
      </c>
      <c r="C19" s="42" t="s">
        <v>264</v>
      </c>
      <c r="D19" s="42" t="s">
        <v>629</v>
      </c>
      <c r="E19" s="42" t="s">
        <v>183</v>
      </c>
      <c r="F19" s="30">
        <f>F20</f>
        <v>33</v>
      </c>
      <c r="G19" s="30">
        <f t="shared" ref="G19:L19" si="7">G20</f>
        <v>33</v>
      </c>
      <c r="H19" s="30">
        <f t="shared" si="7"/>
        <v>469</v>
      </c>
      <c r="I19" s="30">
        <f t="shared" si="7"/>
        <v>469</v>
      </c>
      <c r="J19" s="30">
        <f t="shared" si="7"/>
        <v>469</v>
      </c>
      <c r="K19" s="30">
        <f t="shared" si="7"/>
        <v>0</v>
      </c>
      <c r="L19" s="30">
        <f t="shared" si="7"/>
        <v>0</v>
      </c>
      <c r="M19" s="4" t="e">
        <f t="shared" si="3"/>
        <v>#DIV/0!</v>
      </c>
    </row>
    <row r="20" spans="1:13" ht="47.25" hidden="1" x14ac:dyDescent="0.25">
      <c r="A20" s="31" t="s">
        <v>184</v>
      </c>
      <c r="B20" s="42" t="s">
        <v>169</v>
      </c>
      <c r="C20" s="42" t="s">
        <v>264</v>
      </c>
      <c r="D20" s="42" t="s">
        <v>629</v>
      </c>
      <c r="E20" s="42" t="s">
        <v>185</v>
      </c>
      <c r="F20" s="30">
        <f>'Прил.№4 ведомств.'!G1088</f>
        <v>33</v>
      </c>
      <c r="G20" s="30">
        <f>'Прил.№4 ведомств.'!I1088</f>
        <v>33</v>
      </c>
      <c r="H20" s="30">
        <f>'Прил.№4 ведомств.'!J1088</f>
        <v>469</v>
      </c>
      <c r="I20" s="30">
        <f>'Прил.№4 ведомств.'!K1088</f>
        <v>469</v>
      </c>
      <c r="J20" s="30">
        <f>'Прил.№4 ведомств.'!L1088</f>
        <v>469</v>
      </c>
      <c r="K20" s="30">
        <f>'Прил.№4 ведомств.'!M1088</f>
        <v>0</v>
      </c>
      <c r="L20" s="30">
        <f>'Прил.№4 ведомств.'!N1088</f>
        <v>0</v>
      </c>
      <c r="M20" s="4" t="e">
        <f t="shared" si="3"/>
        <v>#DIV/0!</v>
      </c>
    </row>
    <row r="21" spans="1:13" ht="63" x14ac:dyDescent="0.25">
      <c r="A21" s="43" t="s">
        <v>630</v>
      </c>
      <c r="B21" s="8" t="s">
        <v>169</v>
      </c>
      <c r="C21" s="8" t="s">
        <v>266</v>
      </c>
      <c r="D21" s="8"/>
      <c r="E21" s="8"/>
      <c r="F21" s="4">
        <f>F22</f>
        <v>1138.7</v>
      </c>
      <c r="G21" s="4">
        <f t="shared" ref="G21:L23" si="8">G22</f>
        <v>1302.7</v>
      </c>
      <c r="H21" s="4">
        <f t="shared" si="8"/>
        <v>1049.5</v>
      </c>
      <c r="I21" s="4">
        <f t="shared" si="8"/>
        <v>1049.5</v>
      </c>
      <c r="J21" s="4">
        <f t="shared" si="8"/>
        <v>1049.5</v>
      </c>
      <c r="K21" s="4">
        <f t="shared" si="8"/>
        <v>1049.5</v>
      </c>
      <c r="L21" s="4">
        <f t="shared" si="8"/>
        <v>923.5</v>
      </c>
      <c r="M21" s="4">
        <f t="shared" si="3"/>
        <v>87.994282991900903</v>
      </c>
    </row>
    <row r="22" spans="1:13" ht="15.75" x14ac:dyDescent="0.25">
      <c r="A22" s="31" t="s">
        <v>172</v>
      </c>
      <c r="B22" s="42" t="s">
        <v>169</v>
      </c>
      <c r="C22" s="42" t="s">
        <v>266</v>
      </c>
      <c r="D22" s="42" t="s">
        <v>173</v>
      </c>
      <c r="E22" s="8"/>
      <c r="F22" s="7">
        <f>F23</f>
        <v>1138.7</v>
      </c>
      <c r="G22" s="7">
        <f t="shared" si="8"/>
        <v>1302.7</v>
      </c>
      <c r="H22" s="7">
        <f t="shared" si="8"/>
        <v>1049.5</v>
      </c>
      <c r="I22" s="7">
        <f t="shared" si="8"/>
        <v>1049.5</v>
      </c>
      <c r="J22" s="7">
        <f t="shared" si="8"/>
        <v>1049.5</v>
      </c>
      <c r="K22" s="7">
        <f t="shared" si="8"/>
        <v>1049.5</v>
      </c>
      <c r="L22" s="7">
        <f t="shared" si="8"/>
        <v>923.5</v>
      </c>
      <c r="M22" s="7">
        <f t="shared" si="3"/>
        <v>87.994282991900903</v>
      </c>
    </row>
    <row r="23" spans="1:13" ht="31.5" x14ac:dyDescent="0.25">
      <c r="A23" s="31" t="s">
        <v>174</v>
      </c>
      <c r="B23" s="42" t="s">
        <v>169</v>
      </c>
      <c r="C23" s="42" t="s">
        <v>266</v>
      </c>
      <c r="D23" s="42" t="s">
        <v>175</v>
      </c>
      <c r="E23" s="8"/>
      <c r="F23" s="7">
        <f>F24</f>
        <v>1138.7</v>
      </c>
      <c r="G23" s="7">
        <f t="shared" si="8"/>
        <v>1302.7</v>
      </c>
      <c r="H23" s="7">
        <f t="shared" si="8"/>
        <v>1049.5</v>
      </c>
      <c r="I23" s="7">
        <f t="shared" si="8"/>
        <v>1049.5</v>
      </c>
      <c r="J23" s="7">
        <f t="shared" si="8"/>
        <v>1049.5</v>
      </c>
      <c r="K23" s="7">
        <f t="shared" si="8"/>
        <v>1049.5</v>
      </c>
      <c r="L23" s="7">
        <f t="shared" si="8"/>
        <v>923.5</v>
      </c>
      <c r="M23" s="7">
        <f t="shared" si="3"/>
        <v>87.994282991900903</v>
      </c>
    </row>
    <row r="24" spans="1:13" ht="47.25" x14ac:dyDescent="0.25">
      <c r="A24" s="31" t="s">
        <v>631</v>
      </c>
      <c r="B24" s="42" t="s">
        <v>169</v>
      </c>
      <c r="C24" s="42" t="s">
        <v>266</v>
      </c>
      <c r="D24" s="42" t="s">
        <v>632</v>
      </c>
      <c r="E24" s="42"/>
      <c r="F24" s="7">
        <f>F25+F27</f>
        <v>1138.7</v>
      </c>
      <c r="G24" s="7">
        <f t="shared" ref="G24:K24" si="9">G25+G27</f>
        <v>1302.7</v>
      </c>
      <c r="H24" s="7">
        <f t="shared" si="9"/>
        <v>1049.5</v>
      </c>
      <c r="I24" s="7">
        <f t="shared" si="9"/>
        <v>1049.5</v>
      </c>
      <c r="J24" s="7">
        <f t="shared" si="9"/>
        <v>1049.5</v>
      </c>
      <c r="K24" s="7">
        <f t="shared" si="9"/>
        <v>1049.5</v>
      </c>
      <c r="L24" s="7">
        <f t="shared" ref="L24" si="10">L25+L27</f>
        <v>923.5</v>
      </c>
      <c r="M24" s="7">
        <f t="shared" si="3"/>
        <v>87.994282991900903</v>
      </c>
    </row>
    <row r="25" spans="1:13" ht="78.75" x14ac:dyDescent="0.25">
      <c r="A25" s="31" t="s">
        <v>178</v>
      </c>
      <c r="B25" s="42" t="s">
        <v>169</v>
      </c>
      <c r="C25" s="42" t="s">
        <v>266</v>
      </c>
      <c r="D25" s="42" t="s">
        <v>632</v>
      </c>
      <c r="E25" s="42" t="s">
        <v>179</v>
      </c>
      <c r="F25" s="63">
        <f>F26</f>
        <v>1003.7</v>
      </c>
      <c r="G25" s="63">
        <f t="shared" ref="G25:L25" si="11">G26</f>
        <v>1164.7</v>
      </c>
      <c r="H25" s="63">
        <f t="shared" si="11"/>
        <v>956.5</v>
      </c>
      <c r="I25" s="63">
        <f t="shared" si="11"/>
        <v>956.5</v>
      </c>
      <c r="J25" s="63">
        <f t="shared" si="11"/>
        <v>956.5</v>
      </c>
      <c r="K25" s="63">
        <f t="shared" si="11"/>
        <v>956.5</v>
      </c>
      <c r="L25" s="63">
        <f t="shared" si="11"/>
        <v>857.3</v>
      </c>
      <c r="M25" s="7">
        <f t="shared" si="3"/>
        <v>89.628855201254567</v>
      </c>
    </row>
    <row r="26" spans="1:13" ht="31.5" x14ac:dyDescent="0.25">
      <c r="A26" s="31" t="s">
        <v>180</v>
      </c>
      <c r="B26" s="42" t="s">
        <v>169</v>
      </c>
      <c r="C26" s="42" t="s">
        <v>266</v>
      </c>
      <c r="D26" s="42" t="s">
        <v>632</v>
      </c>
      <c r="E26" s="42" t="s">
        <v>181</v>
      </c>
      <c r="F26" s="63">
        <f>'Прил.№4 ведомств.'!G1094</f>
        <v>1003.7</v>
      </c>
      <c r="G26" s="63">
        <f>'Прил.№4 ведомств.'!I1094</f>
        <v>1164.7</v>
      </c>
      <c r="H26" s="63">
        <f>'Прил.№4 ведомств.'!J1094</f>
        <v>956.5</v>
      </c>
      <c r="I26" s="63">
        <f>'Прил.№4 ведомств.'!K1094</f>
        <v>956.5</v>
      </c>
      <c r="J26" s="63">
        <f>'Прил.№4 ведомств.'!L1094</f>
        <v>956.5</v>
      </c>
      <c r="K26" s="63">
        <f>'Прил.№4 ведомств.'!M1094</f>
        <v>956.5</v>
      </c>
      <c r="L26" s="63">
        <f>'Прил.№4 ведомств.'!N1094</f>
        <v>857.3</v>
      </c>
      <c r="M26" s="7">
        <f t="shared" si="3"/>
        <v>89.628855201254567</v>
      </c>
    </row>
    <row r="27" spans="1:13" ht="31.5" x14ac:dyDescent="0.25">
      <c r="A27" s="31" t="s">
        <v>182</v>
      </c>
      <c r="B27" s="42" t="s">
        <v>169</v>
      </c>
      <c r="C27" s="42" t="s">
        <v>266</v>
      </c>
      <c r="D27" s="42" t="s">
        <v>632</v>
      </c>
      <c r="E27" s="42" t="s">
        <v>183</v>
      </c>
      <c r="F27" s="7">
        <f>F28</f>
        <v>135</v>
      </c>
      <c r="G27" s="7">
        <f t="shared" ref="G27:L27" si="12">G28</f>
        <v>138</v>
      </c>
      <c r="H27" s="7">
        <f t="shared" si="12"/>
        <v>93</v>
      </c>
      <c r="I27" s="7">
        <f t="shared" si="12"/>
        <v>93</v>
      </c>
      <c r="J27" s="7">
        <f t="shared" si="12"/>
        <v>93</v>
      </c>
      <c r="K27" s="7">
        <f t="shared" si="12"/>
        <v>93</v>
      </c>
      <c r="L27" s="7">
        <f t="shared" si="12"/>
        <v>66.2</v>
      </c>
      <c r="M27" s="7">
        <f t="shared" si="3"/>
        <v>71.182795698924735</v>
      </c>
    </row>
    <row r="28" spans="1:13" ht="47.25" x14ac:dyDescent="0.25">
      <c r="A28" s="31" t="s">
        <v>184</v>
      </c>
      <c r="B28" s="42" t="s">
        <v>169</v>
      </c>
      <c r="C28" s="42" t="s">
        <v>266</v>
      </c>
      <c r="D28" s="42" t="s">
        <v>632</v>
      </c>
      <c r="E28" s="42" t="s">
        <v>185</v>
      </c>
      <c r="F28" s="7">
        <f>'Прил.№4 ведомств.'!G1096</f>
        <v>135</v>
      </c>
      <c r="G28" s="7">
        <f>'Прил.№4 ведомств.'!I1096</f>
        <v>138</v>
      </c>
      <c r="H28" s="7">
        <f>'Прил.№4 ведомств.'!J1096</f>
        <v>93</v>
      </c>
      <c r="I28" s="7">
        <f>'Прил.№4 ведомств.'!K1096</f>
        <v>93</v>
      </c>
      <c r="J28" s="7">
        <f>'Прил.№4 ведомств.'!L1096</f>
        <v>93</v>
      </c>
      <c r="K28" s="7">
        <f>'Прил.№4 ведомств.'!M1096</f>
        <v>93</v>
      </c>
      <c r="L28" s="7">
        <f>'Прил.№4 ведомств.'!N1096</f>
        <v>66.2</v>
      </c>
      <c r="M28" s="7">
        <f t="shared" si="3"/>
        <v>71.182795698924735</v>
      </c>
    </row>
    <row r="29" spans="1:13" ht="15.75" hidden="1" customHeight="1" x14ac:dyDescent="0.25">
      <c r="A29" s="31" t="s">
        <v>186</v>
      </c>
      <c r="B29" s="42" t="s">
        <v>169</v>
      </c>
      <c r="C29" s="42" t="s">
        <v>266</v>
      </c>
      <c r="D29" s="42" t="s">
        <v>632</v>
      </c>
      <c r="E29" s="42" t="s">
        <v>196</v>
      </c>
      <c r="F29" s="7">
        <f>F30</f>
        <v>0</v>
      </c>
      <c r="G29" s="7">
        <f t="shared" ref="G29:L29" si="13">G30</f>
        <v>0</v>
      </c>
      <c r="H29" s="7">
        <f t="shared" si="13"/>
        <v>0</v>
      </c>
      <c r="I29" s="7">
        <f t="shared" si="13"/>
        <v>0</v>
      </c>
      <c r="J29" s="7">
        <f t="shared" si="13"/>
        <v>0</v>
      </c>
      <c r="K29" s="7">
        <f t="shared" si="13"/>
        <v>0</v>
      </c>
      <c r="L29" s="7">
        <f t="shared" si="13"/>
        <v>0</v>
      </c>
      <c r="M29" s="4" t="e">
        <f t="shared" si="3"/>
        <v>#DIV/0!</v>
      </c>
    </row>
    <row r="30" spans="1:13" ht="15.75" hidden="1" customHeight="1" x14ac:dyDescent="0.25">
      <c r="A30" s="31" t="s">
        <v>188</v>
      </c>
      <c r="B30" s="42" t="s">
        <v>169</v>
      </c>
      <c r="C30" s="42" t="s">
        <v>266</v>
      </c>
      <c r="D30" s="42" t="s">
        <v>632</v>
      </c>
      <c r="E30" s="42" t="s">
        <v>189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4" t="e">
        <f t="shared" si="3"/>
        <v>#DIV/0!</v>
      </c>
    </row>
    <row r="31" spans="1:13" ht="70.5" customHeight="1" x14ac:dyDescent="0.25">
      <c r="A31" s="43" t="s">
        <v>200</v>
      </c>
      <c r="B31" s="8" t="s">
        <v>169</v>
      </c>
      <c r="C31" s="8" t="s">
        <v>201</v>
      </c>
      <c r="D31" s="8"/>
      <c r="E31" s="8"/>
      <c r="F31" s="4">
        <f>F32</f>
        <v>62597.19999999999</v>
      </c>
      <c r="G31" s="4">
        <f t="shared" ref="G31:L31" si="14">G32</f>
        <v>59087.519607843133</v>
      </c>
      <c r="H31" s="4">
        <f t="shared" si="14"/>
        <v>60573.200000000004</v>
      </c>
      <c r="I31" s="4">
        <f t="shared" si="14"/>
        <v>60922.1</v>
      </c>
      <c r="J31" s="4">
        <f t="shared" si="14"/>
        <v>61133.4</v>
      </c>
      <c r="K31" s="4">
        <f t="shared" si="14"/>
        <v>62620.399999999994</v>
      </c>
      <c r="L31" s="4">
        <f t="shared" si="14"/>
        <v>44101.69999999999</v>
      </c>
      <c r="M31" s="4">
        <f t="shared" si="3"/>
        <v>70.427049332166504</v>
      </c>
    </row>
    <row r="32" spans="1:13" ht="15.75" x14ac:dyDescent="0.25">
      <c r="A32" s="31" t="s">
        <v>172</v>
      </c>
      <c r="B32" s="42" t="s">
        <v>169</v>
      </c>
      <c r="C32" s="42" t="s">
        <v>201</v>
      </c>
      <c r="D32" s="42" t="s">
        <v>173</v>
      </c>
      <c r="E32" s="42"/>
      <c r="F32" s="7">
        <f t="shared" ref="F32:K32" si="15">F33+F50</f>
        <v>62597.19999999999</v>
      </c>
      <c r="G32" s="7">
        <f t="shared" si="15"/>
        <v>59087.519607843133</v>
      </c>
      <c r="H32" s="7">
        <f t="shared" si="15"/>
        <v>60573.200000000004</v>
      </c>
      <c r="I32" s="7">
        <f t="shared" si="15"/>
        <v>60922.1</v>
      </c>
      <c r="J32" s="7">
        <f t="shared" si="15"/>
        <v>61133.4</v>
      </c>
      <c r="K32" s="7">
        <f t="shared" si="15"/>
        <v>62620.399999999994</v>
      </c>
      <c r="L32" s="7">
        <f t="shared" ref="L32" si="16">L33+L50</f>
        <v>44101.69999999999</v>
      </c>
      <c r="M32" s="7">
        <f t="shared" si="3"/>
        <v>70.427049332166504</v>
      </c>
    </row>
    <row r="33" spans="1:16" ht="31.5" x14ac:dyDescent="0.25">
      <c r="A33" s="31" t="s">
        <v>174</v>
      </c>
      <c r="B33" s="42" t="s">
        <v>169</v>
      </c>
      <c r="C33" s="42" t="s">
        <v>201</v>
      </c>
      <c r="D33" s="42" t="s">
        <v>175</v>
      </c>
      <c r="E33" s="42"/>
      <c r="F33" s="7">
        <f>F34+F42</f>
        <v>54518.19999999999</v>
      </c>
      <c r="G33" s="7">
        <f t="shared" ref="G33:J33" si="17">G34+G42</f>
        <v>51051.919607843134</v>
      </c>
      <c r="H33" s="7">
        <f t="shared" si="17"/>
        <v>58233.3</v>
      </c>
      <c r="I33" s="7">
        <f t="shared" si="17"/>
        <v>58582.2</v>
      </c>
      <c r="J33" s="7">
        <f t="shared" si="17"/>
        <v>58793.5</v>
      </c>
      <c r="K33" s="7">
        <f>K34+K42+K45</f>
        <v>60066.899999999994</v>
      </c>
      <c r="L33" s="7">
        <f t="shared" ref="L33" si="18">L34+L42+L45</f>
        <v>42299.999999999993</v>
      </c>
      <c r="M33" s="7">
        <f t="shared" si="3"/>
        <v>70.421480049744531</v>
      </c>
    </row>
    <row r="34" spans="1:16" ht="47.25" x14ac:dyDescent="0.25">
      <c r="A34" s="31" t="s">
        <v>176</v>
      </c>
      <c r="B34" s="42" t="s">
        <v>169</v>
      </c>
      <c r="C34" s="42" t="s">
        <v>201</v>
      </c>
      <c r="D34" s="42" t="s">
        <v>177</v>
      </c>
      <c r="E34" s="42"/>
      <c r="F34" s="7">
        <f>F35+F37+F39</f>
        <v>50972.599999999991</v>
      </c>
      <c r="G34" s="7">
        <f t="shared" ref="G34:K34" si="19">G35+G37+G39</f>
        <v>47506.319607843136</v>
      </c>
      <c r="H34" s="7">
        <f t="shared" si="19"/>
        <v>55000.5</v>
      </c>
      <c r="I34" s="7">
        <f t="shared" si="19"/>
        <v>55349.399999999994</v>
      </c>
      <c r="J34" s="7">
        <f t="shared" si="19"/>
        <v>55560.7</v>
      </c>
      <c r="K34" s="7">
        <f t="shared" si="19"/>
        <v>53569.7</v>
      </c>
      <c r="L34" s="7">
        <f t="shared" ref="L34" si="20">L35+L37+L39</f>
        <v>38118.6</v>
      </c>
      <c r="M34" s="7">
        <f t="shared" si="3"/>
        <v>71.157015999716251</v>
      </c>
    </row>
    <row r="35" spans="1:16" ht="78.75" x14ac:dyDescent="0.25">
      <c r="A35" s="31" t="s">
        <v>178</v>
      </c>
      <c r="B35" s="42" t="s">
        <v>169</v>
      </c>
      <c r="C35" s="42" t="s">
        <v>201</v>
      </c>
      <c r="D35" s="42" t="s">
        <v>177</v>
      </c>
      <c r="E35" s="42" t="s">
        <v>179</v>
      </c>
      <c r="F35" s="63">
        <f>F36</f>
        <v>44371.199999999997</v>
      </c>
      <c r="G35" s="63">
        <f t="shared" ref="G35:L35" si="21">G36</f>
        <v>42661.552941176473</v>
      </c>
      <c r="H35" s="63">
        <f t="shared" si="21"/>
        <v>46277.4</v>
      </c>
      <c r="I35" s="63">
        <f t="shared" si="21"/>
        <v>46277.4</v>
      </c>
      <c r="J35" s="63">
        <f t="shared" si="21"/>
        <v>46277.4</v>
      </c>
      <c r="K35" s="63">
        <f t="shared" si="21"/>
        <v>45570.1</v>
      </c>
      <c r="L35" s="63">
        <f t="shared" si="21"/>
        <v>34580.800000000003</v>
      </c>
      <c r="M35" s="7">
        <f t="shared" si="3"/>
        <v>75.884845545653846</v>
      </c>
    </row>
    <row r="36" spans="1:16" ht="31.5" x14ac:dyDescent="0.25">
      <c r="A36" s="31" t="s">
        <v>180</v>
      </c>
      <c r="B36" s="42" t="s">
        <v>169</v>
      </c>
      <c r="C36" s="42" t="s">
        <v>201</v>
      </c>
      <c r="D36" s="42" t="s">
        <v>177</v>
      </c>
      <c r="E36" s="42" t="s">
        <v>181</v>
      </c>
      <c r="F36" s="63">
        <f>'Прил.№4 ведомств.'!G534+'Прил.№4 ведомств.'!G35</f>
        <v>44371.199999999997</v>
      </c>
      <c r="G36" s="63">
        <f>'Прил.№4 ведомств.'!I534+'Прил.№4 ведомств.'!I35</f>
        <v>42661.552941176473</v>
      </c>
      <c r="H36" s="63">
        <f>'Прил.№4 ведомств.'!J534+'Прил.№4 ведомств.'!J35</f>
        <v>46277.4</v>
      </c>
      <c r="I36" s="63">
        <f>'Прил.№4 ведомств.'!K534+'Прил.№4 ведомств.'!K35</f>
        <v>46277.4</v>
      </c>
      <c r="J36" s="63">
        <f>'Прил.№4 ведомств.'!L534+'Прил.№4 ведомств.'!L35</f>
        <v>46277.4</v>
      </c>
      <c r="K36" s="63">
        <f>'Прил.№4 ведомств.'!M534+'Прил.№4 ведомств.'!M35</f>
        <v>45570.1</v>
      </c>
      <c r="L36" s="63">
        <f>'Прил.№4 ведомств.'!N534+'Прил.№4 ведомств.'!N35</f>
        <v>34580.800000000003</v>
      </c>
      <c r="M36" s="7">
        <f t="shared" si="3"/>
        <v>75.884845545653846</v>
      </c>
      <c r="N36" s="23">
        <f>K36+K44+K47+K53</f>
        <v>53995.399999999994</v>
      </c>
      <c r="O36" s="23">
        <f>L36+L44+L47+L53</f>
        <v>40177.699999999997</v>
      </c>
      <c r="P36">
        <f>O36/N36</f>
        <v>0.7440948673405513</v>
      </c>
    </row>
    <row r="37" spans="1:16" ht="31.5" x14ac:dyDescent="0.25">
      <c r="A37" s="31" t="s">
        <v>182</v>
      </c>
      <c r="B37" s="42" t="s">
        <v>169</v>
      </c>
      <c r="C37" s="42" t="s">
        <v>201</v>
      </c>
      <c r="D37" s="42" t="s">
        <v>177</v>
      </c>
      <c r="E37" s="42" t="s">
        <v>183</v>
      </c>
      <c r="F37" s="7">
        <f>F38</f>
        <v>6404.2</v>
      </c>
      <c r="G37" s="7">
        <f t="shared" ref="G37:L37" si="22">G38</f>
        <v>4499.2666666666664</v>
      </c>
      <c r="H37" s="7">
        <f t="shared" si="22"/>
        <v>8525.9000000000015</v>
      </c>
      <c r="I37" s="7">
        <f t="shared" si="22"/>
        <v>8874.7999999999993</v>
      </c>
      <c r="J37" s="7">
        <f t="shared" si="22"/>
        <v>9086.1</v>
      </c>
      <c r="K37" s="7">
        <f t="shared" si="22"/>
        <v>7649</v>
      </c>
      <c r="L37" s="7">
        <f t="shared" si="22"/>
        <v>3357.6</v>
      </c>
      <c r="M37" s="7">
        <f t="shared" si="3"/>
        <v>43.89593410903386</v>
      </c>
    </row>
    <row r="38" spans="1:16" ht="47.25" x14ac:dyDescent="0.25">
      <c r="A38" s="31" t="s">
        <v>184</v>
      </c>
      <c r="B38" s="42" t="s">
        <v>169</v>
      </c>
      <c r="C38" s="42" t="s">
        <v>201</v>
      </c>
      <c r="D38" s="42" t="s">
        <v>177</v>
      </c>
      <c r="E38" s="42" t="s">
        <v>185</v>
      </c>
      <c r="F38" s="7">
        <f>'Прил.№4 ведомств.'!G37+'Прил.№4 ведомств.'!G536</f>
        <v>6404.2</v>
      </c>
      <c r="G38" s="7">
        <f>'Прил.№4 ведомств.'!I37+'Прил.№4 ведомств.'!I536</f>
        <v>4499.2666666666664</v>
      </c>
      <c r="H38" s="7">
        <f>'Прил.№4 ведомств.'!J37+'Прил.№4 ведомств.'!J536</f>
        <v>8525.9000000000015</v>
      </c>
      <c r="I38" s="7">
        <f>'Прил.№4 ведомств.'!K37+'Прил.№4 ведомств.'!K536</f>
        <v>8874.7999999999993</v>
      </c>
      <c r="J38" s="7">
        <f>'Прил.№4 ведомств.'!L37+'Прил.№4 ведомств.'!L536</f>
        <v>9086.1</v>
      </c>
      <c r="K38" s="7">
        <f>'Прил.№4 ведомств.'!M37+'Прил.№4 ведомств.'!M536</f>
        <v>7649</v>
      </c>
      <c r="L38" s="7">
        <f>'Прил.№4 ведомств.'!N37+'Прил.№4 ведомств.'!N536</f>
        <v>3357.6</v>
      </c>
      <c r="M38" s="7">
        <f t="shared" si="3"/>
        <v>43.89593410903386</v>
      </c>
    </row>
    <row r="39" spans="1:16" ht="15.75" x14ac:dyDescent="0.25">
      <c r="A39" s="31" t="s">
        <v>186</v>
      </c>
      <c r="B39" s="42" t="s">
        <v>169</v>
      </c>
      <c r="C39" s="42" t="s">
        <v>201</v>
      </c>
      <c r="D39" s="42" t="s">
        <v>177</v>
      </c>
      <c r="E39" s="42" t="s">
        <v>196</v>
      </c>
      <c r="F39" s="7">
        <f>F40</f>
        <v>197.2</v>
      </c>
      <c r="G39" s="7">
        <f t="shared" ref="G39:L39" si="23">G40</f>
        <v>345.5</v>
      </c>
      <c r="H39" s="7">
        <f t="shared" si="23"/>
        <v>197.2</v>
      </c>
      <c r="I39" s="7">
        <f t="shared" si="23"/>
        <v>197.2</v>
      </c>
      <c r="J39" s="7">
        <f t="shared" si="23"/>
        <v>197.2</v>
      </c>
      <c r="K39" s="7">
        <f t="shared" si="23"/>
        <v>350.6</v>
      </c>
      <c r="L39" s="7">
        <f t="shared" si="23"/>
        <v>180.2</v>
      </c>
      <c r="M39" s="7">
        <f t="shared" si="3"/>
        <v>51.397604107244717</v>
      </c>
    </row>
    <row r="40" spans="1:16" ht="15.75" x14ac:dyDescent="0.25">
      <c r="A40" s="31" t="s">
        <v>620</v>
      </c>
      <c r="B40" s="42" t="s">
        <v>169</v>
      </c>
      <c r="C40" s="42" t="s">
        <v>201</v>
      </c>
      <c r="D40" s="42" t="s">
        <v>177</v>
      </c>
      <c r="E40" s="42" t="s">
        <v>189</v>
      </c>
      <c r="F40" s="7">
        <f>'Прил.№4 ведомств.'!G538+'Прил.№4 ведомств.'!G39</f>
        <v>197.2</v>
      </c>
      <c r="G40" s="7">
        <f>'Прил.№4 ведомств.'!I538+'Прил.№4 ведомств.'!I39</f>
        <v>345.5</v>
      </c>
      <c r="H40" s="7">
        <f>'Прил.№4 ведомств.'!J538+'Прил.№4 ведомств.'!J39</f>
        <v>197.2</v>
      </c>
      <c r="I40" s="7">
        <f>'Прил.№4 ведомств.'!K538+'Прил.№4 ведомств.'!K39</f>
        <v>197.2</v>
      </c>
      <c r="J40" s="7">
        <f>'Прил.№4 ведомств.'!L538+'Прил.№4 ведомств.'!L39</f>
        <v>197.2</v>
      </c>
      <c r="K40" s="7">
        <f>'Прил.№4 ведомств.'!M538+'Прил.№4 ведомств.'!M39</f>
        <v>350.6</v>
      </c>
      <c r="L40" s="7">
        <f>'Прил.№4 ведомств.'!N538+'Прил.№4 ведомств.'!N39</f>
        <v>180.2</v>
      </c>
      <c r="M40" s="7">
        <f t="shared" si="3"/>
        <v>51.397604107244717</v>
      </c>
    </row>
    <row r="41" spans="1:16" ht="31.5" x14ac:dyDescent="0.25">
      <c r="A41" s="26" t="s">
        <v>646</v>
      </c>
      <c r="B41" s="42" t="s">
        <v>169</v>
      </c>
      <c r="C41" s="42" t="s">
        <v>201</v>
      </c>
      <c r="D41" s="42" t="s">
        <v>203</v>
      </c>
      <c r="E41" s="42"/>
      <c r="F41" s="7">
        <f>F42</f>
        <v>3545.6</v>
      </c>
      <c r="G41" s="7">
        <f t="shared" ref="G41:L43" si="24">G42</f>
        <v>3545.6</v>
      </c>
      <c r="H41" s="7">
        <f t="shared" si="24"/>
        <v>3232.8</v>
      </c>
      <c r="I41" s="7">
        <f t="shared" si="24"/>
        <v>3232.8</v>
      </c>
      <c r="J41" s="7">
        <f t="shared" si="24"/>
        <v>3232.8</v>
      </c>
      <c r="K41" s="7">
        <f t="shared" si="24"/>
        <v>3545.6</v>
      </c>
      <c r="L41" s="7">
        <f t="shared" si="24"/>
        <v>2091.6999999999998</v>
      </c>
      <c r="M41" s="7">
        <f t="shared" si="3"/>
        <v>58.994246389891693</v>
      </c>
    </row>
    <row r="42" spans="1:16" ht="31.5" x14ac:dyDescent="0.25">
      <c r="A42" s="31" t="s">
        <v>202</v>
      </c>
      <c r="B42" s="42" t="s">
        <v>169</v>
      </c>
      <c r="C42" s="42" t="s">
        <v>201</v>
      </c>
      <c r="D42" s="42" t="s">
        <v>203</v>
      </c>
      <c r="E42" s="42"/>
      <c r="F42" s="7">
        <f>F43</f>
        <v>3545.6</v>
      </c>
      <c r="G42" s="7">
        <f t="shared" si="24"/>
        <v>3545.6</v>
      </c>
      <c r="H42" s="7">
        <f t="shared" si="24"/>
        <v>3232.8</v>
      </c>
      <c r="I42" s="7">
        <f t="shared" si="24"/>
        <v>3232.8</v>
      </c>
      <c r="J42" s="7">
        <f t="shared" si="24"/>
        <v>3232.8</v>
      </c>
      <c r="K42" s="7">
        <f t="shared" si="24"/>
        <v>3545.6</v>
      </c>
      <c r="L42" s="7">
        <f t="shared" si="24"/>
        <v>2091.6999999999998</v>
      </c>
      <c r="M42" s="7">
        <f t="shared" si="3"/>
        <v>58.994246389891693</v>
      </c>
    </row>
    <row r="43" spans="1:16" ht="78.75" x14ac:dyDescent="0.25">
      <c r="A43" s="31" t="s">
        <v>178</v>
      </c>
      <c r="B43" s="42" t="s">
        <v>169</v>
      </c>
      <c r="C43" s="42" t="s">
        <v>201</v>
      </c>
      <c r="D43" s="42" t="s">
        <v>203</v>
      </c>
      <c r="E43" s="42" t="s">
        <v>179</v>
      </c>
      <c r="F43" s="63">
        <f>F44</f>
        <v>3545.6</v>
      </c>
      <c r="G43" s="63">
        <f t="shared" si="24"/>
        <v>3545.6</v>
      </c>
      <c r="H43" s="63">
        <f t="shared" si="24"/>
        <v>3232.8</v>
      </c>
      <c r="I43" s="63">
        <f t="shared" si="24"/>
        <v>3232.8</v>
      </c>
      <c r="J43" s="63">
        <f t="shared" si="24"/>
        <v>3232.8</v>
      </c>
      <c r="K43" s="63">
        <f t="shared" si="24"/>
        <v>3545.6</v>
      </c>
      <c r="L43" s="63">
        <f t="shared" si="24"/>
        <v>2091.6999999999998</v>
      </c>
      <c r="M43" s="7">
        <f t="shared" si="3"/>
        <v>58.994246389891693</v>
      </c>
    </row>
    <row r="44" spans="1:16" ht="31.5" x14ac:dyDescent="0.25">
      <c r="A44" s="31" t="s">
        <v>180</v>
      </c>
      <c r="B44" s="42" t="s">
        <v>169</v>
      </c>
      <c r="C44" s="42" t="s">
        <v>201</v>
      </c>
      <c r="D44" s="42" t="s">
        <v>203</v>
      </c>
      <c r="E44" s="42" t="s">
        <v>181</v>
      </c>
      <c r="F44" s="63">
        <f>'Прил.№4 ведомств.'!G42</f>
        <v>3545.6</v>
      </c>
      <c r="G44" s="63">
        <f>'Прил.№4 ведомств.'!I42</f>
        <v>3545.6</v>
      </c>
      <c r="H44" s="63">
        <f>'Прил.№4 ведомств.'!J42</f>
        <v>3232.8</v>
      </c>
      <c r="I44" s="63">
        <f>'Прил.№4 ведомств.'!K42</f>
        <v>3232.8</v>
      </c>
      <c r="J44" s="63">
        <f>'Прил.№4 ведомств.'!L42</f>
        <v>3232.8</v>
      </c>
      <c r="K44" s="63">
        <f>'Прил.№4 ведомств.'!M42</f>
        <v>3545.6</v>
      </c>
      <c r="L44" s="63">
        <f>'Прил.№4 ведомств.'!N42</f>
        <v>2091.6999999999998</v>
      </c>
      <c r="M44" s="7">
        <f t="shared" si="3"/>
        <v>58.994246389891693</v>
      </c>
    </row>
    <row r="45" spans="1:16" ht="47.25" x14ac:dyDescent="0.25">
      <c r="A45" s="31" t="s">
        <v>261</v>
      </c>
      <c r="B45" s="42" t="s">
        <v>169</v>
      </c>
      <c r="C45" s="42" t="s">
        <v>201</v>
      </c>
      <c r="D45" s="42" t="s">
        <v>960</v>
      </c>
      <c r="E45" s="42"/>
      <c r="F45" s="63"/>
      <c r="G45" s="63"/>
      <c r="H45" s="63"/>
      <c r="I45" s="63"/>
      <c r="J45" s="63"/>
      <c r="K45" s="63">
        <f>K46+K48</f>
        <v>2951.6000000000004</v>
      </c>
      <c r="L45" s="63">
        <f t="shared" ref="L45" si="25">L46+L48</f>
        <v>2089.6999999999998</v>
      </c>
      <c r="M45" s="7">
        <f t="shared" si="3"/>
        <v>70.798888738311405</v>
      </c>
    </row>
    <row r="46" spans="1:16" ht="78.75" x14ac:dyDescent="0.25">
      <c r="A46" s="31" t="s">
        <v>178</v>
      </c>
      <c r="B46" s="42" t="s">
        <v>169</v>
      </c>
      <c r="C46" s="42" t="s">
        <v>201</v>
      </c>
      <c r="D46" s="42" t="s">
        <v>960</v>
      </c>
      <c r="E46" s="42" t="s">
        <v>179</v>
      </c>
      <c r="F46" s="63"/>
      <c r="G46" s="63"/>
      <c r="H46" s="63"/>
      <c r="I46" s="63"/>
      <c r="J46" s="63"/>
      <c r="K46" s="63">
        <f>K47</f>
        <v>2326.2000000000003</v>
      </c>
      <c r="L46" s="63">
        <f t="shared" ref="L46" si="26">L47</f>
        <v>1703.5</v>
      </c>
      <c r="M46" s="7">
        <f t="shared" si="3"/>
        <v>73.231020548534076</v>
      </c>
    </row>
    <row r="47" spans="1:16" ht="31.5" x14ac:dyDescent="0.25">
      <c r="A47" s="31" t="s">
        <v>180</v>
      </c>
      <c r="B47" s="42" t="s">
        <v>169</v>
      </c>
      <c r="C47" s="42" t="s">
        <v>201</v>
      </c>
      <c r="D47" s="42" t="s">
        <v>960</v>
      </c>
      <c r="E47" s="42" t="s">
        <v>181</v>
      </c>
      <c r="F47" s="63"/>
      <c r="G47" s="63"/>
      <c r="H47" s="63"/>
      <c r="I47" s="63"/>
      <c r="J47" s="63"/>
      <c r="K47" s="63">
        <f>'Прил.№4 ведомств.'!M45</f>
        <v>2326.2000000000003</v>
      </c>
      <c r="L47" s="63">
        <f>'Прил.№4 ведомств.'!N45</f>
        <v>1703.5</v>
      </c>
      <c r="M47" s="7">
        <f t="shared" si="3"/>
        <v>73.231020548534076</v>
      </c>
    </row>
    <row r="48" spans="1:16" ht="31.5" x14ac:dyDescent="0.25">
      <c r="A48" s="31" t="s">
        <v>182</v>
      </c>
      <c r="B48" s="42" t="s">
        <v>169</v>
      </c>
      <c r="C48" s="42" t="s">
        <v>201</v>
      </c>
      <c r="D48" s="42" t="s">
        <v>960</v>
      </c>
      <c r="E48" s="42" t="s">
        <v>183</v>
      </c>
      <c r="F48" s="63"/>
      <c r="G48" s="63"/>
      <c r="H48" s="63"/>
      <c r="I48" s="63"/>
      <c r="J48" s="63"/>
      <c r="K48" s="63">
        <f>K49</f>
        <v>625.4</v>
      </c>
      <c r="L48" s="63">
        <f t="shared" ref="L48" si="27">L49</f>
        <v>386.2</v>
      </c>
      <c r="M48" s="7">
        <f t="shared" si="3"/>
        <v>61.752478413815162</v>
      </c>
    </row>
    <row r="49" spans="1:13" ht="48" customHeight="1" x14ac:dyDescent="0.25">
      <c r="A49" s="31" t="s">
        <v>184</v>
      </c>
      <c r="B49" s="42" t="s">
        <v>169</v>
      </c>
      <c r="C49" s="42" t="s">
        <v>201</v>
      </c>
      <c r="D49" s="42" t="s">
        <v>960</v>
      </c>
      <c r="E49" s="42" t="s">
        <v>185</v>
      </c>
      <c r="F49" s="63"/>
      <c r="G49" s="63"/>
      <c r="H49" s="63"/>
      <c r="I49" s="63"/>
      <c r="J49" s="63"/>
      <c r="K49" s="63">
        <f>'Прил.№4 ведомств.'!M47</f>
        <v>625.4</v>
      </c>
      <c r="L49" s="63">
        <f>'Прил.№4 ведомств.'!N47</f>
        <v>386.2</v>
      </c>
      <c r="M49" s="7">
        <f t="shared" si="3"/>
        <v>61.752478413815162</v>
      </c>
    </row>
    <row r="50" spans="1:13" ht="15.75" x14ac:dyDescent="0.25">
      <c r="A50" s="26" t="s">
        <v>192</v>
      </c>
      <c r="B50" s="21" t="s">
        <v>169</v>
      </c>
      <c r="C50" s="21" t="s">
        <v>201</v>
      </c>
      <c r="D50" s="21" t="s">
        <v>193</v>
      </c>
      <c r="E50" s="21"/>
      <c r="F50" s="30">
        <f>F51</f>
        <v>8079</v>
      </c>
      <c r="G50" s="30">
        <f t="shared" ref="G50:L50" si="28">G51</f>
        <v>8035.6</v>
      </c>
      <c r="H50" s="30">
        <f t="shared" si="28"/>
        <v>2339.9</v>
      </c>
      <c r="I50" s="30">
        <f t="shared" si="28"/>
        <v>2339.9</v>
      </c>
      <c r="J50" s="30">
        <f t="shared" si="28"/>
        <v>2339.9</v>
      </c>
      <c r="K50" s="30">
        <f t="shared" si="28"/>
        <v>2553.5</v>
      </c>
      <c r="L50" s="30">
        <f t="shared" si="28"/>
        <v>1801.7</v>
      </c>
      <c r="M50" s="7">
        <f t="shared" si="3"/>
        <v>70.558057568043864</v>
      </c>
    </row>
    <row r="51" spans="1:13" ht="36.75" customHeight="1" x14ac:dyDescent="0.25">
      <c r="A51" s="26" t="s">
        <v>204</v>
      </c>
      <c r="B51" s="21" t="s">
        <v>169</v>
      </c>
      <c r="C51" s="21" t="s">
        <v>201</v>
      </c>
      <c r="D51" s="21" t="s">
        <v>205</v>
      </c>
      <c r="E51" s="21"/>
      <c r="F51" s="27">
        <f>F52+F54</f>
        <v>8079</v>
      </c>
      <c r="G51" s="27">
        <f t="shared" ref="G51:K51" si="29">G52+G54</f>
        <v>8035.6</v>
      </c>
      <c r="H51" s="27">
        <f t="shared" si="29"/>
        <v>2339.9</v>
      </c>
      <c r="I51" s="27">
        <f t="shared" si="29"/>
        <v>2339.9</v>
      </c>
      <c r="J51" s="27">
        <f t="shared" si="29"/>
        <v>2339.9</v>
      </c>
      <c r="K51" s="27">
        <f t="shared" si="29"/>
        <v>2553.5</v>
      </c>
      <c r="L51" s="27">
        <f t="shared" ref="L51" si="30">L52+L54</f>
        <v>1801.7</v>
      </c>
      <c r="M51" s="7">
        <f t="shared" si="3"/>
        <v>70.558057568043864</v>
      </c>
    </row>
    <row r="52" spans="1:13" ht="84" customHeight="1" x14ac:dyDescent="0.25">
      <c r="A52" s="26" t="s">
        <v>178</v>
      </c>
      <c r="B52" s="21" t="s">
        <v>169</v>
      </c>
      <c r="C52" s="21" t="s">
        <v>201</v>
      </c>
      <c r="D52" s="21" t="s">
        <v>205</v>
      </c>
      <c r="E52" s="21" t="s">
        <v>179</v>
      </c>
      <c r="F52" s="27">
        <f>F53</f>
        <v>5821.2</v>
      </c>
      <c r="G52" s="27">
        <f t="shared" ref="G52:L52" si="31">G53</f>
        <v>5817.2</v>
      </c>
      <c r="H52" s="27">
        <f t="shared" si="31"/>
        <v>2339.9</v>
      </c>
      <c r="I52" s="27">
        <f t="shared" si="31"/>
        <v>2339.9</v>
      </c>
      <c r="J52" s="27">
        <f t="shared" si="31"/>
        <v>2339.9</v>
      </c>
      <c r="K52" s="27">
        <f t="shared" si="31"/>
        <v>2553.5</v>
      </c>
      <c r="L52" s="27">
        <f t="shared" si="31"/>
        <v>1801.7</v>
      </c>
      <c r="M52" s="7">
        <f t="shared" si="3"/>
        <v>70.558057568043864</v>
      </c>
    </row>
    <row r="53" spans="1:13" ht="31.5" x14ac:dyDescent="0.25">
      <c r="A53" s="26" t="s">
        <v>180</v>
      </c>
      <c r="B53" s="21" t="s">
        <v>169</v>
      </c>
      <c r="C53" s="21" t="s">
        <v>201</v>
      </c>
      <c r="D53" s="21" t="s">
        <v>205</v>
      </c>
      <c r="E53" s="21" t="s">
        <v>181</v>
      </c>
      <c r="F53" s="28">
        <f>'Прил.№4 ведомств.'!G51</f>
        <v>5821.2</v>
      </c>
      <c r="G53" s="28">
        <f>'Прил.№4 ведомств.'!I51</f>
        <v>5817.2</v>
      </c>
      <c r="H53" s="28">
        <f>'Прил.№4 ведомств.'!J51</f>
        <v>2339.9</v>
      </c>
      <c r="I53" s="28">
        <f>'Прил.№4 ведомств.'!K51</f>
        <v>2339.9</v>
      </c>
      <c r="J53" s="28">
        <f>'Прил.№4 ведомств.'!L51</f>
        <v>2339.9</v>
      </c>
      <c r="K53" s="28">
        <f>'Прил.№4 ведомств.'!M51</f>
        <v>2553.5</v>
      </c>
      <c r="L53" s="28">
        <f>'Прил.№4 ведомств.'!N51</f>
        <v>1801.7</v>
      </c>
      <c r="M53" s="7">
        <f t="shared" si="3"/>
        <v>70.558057568043864</v>
      </c>
    </row>
    <row r="54" spans="1:13" ht="31.5" hidden="1" x14ac:dyDescent="0.25">
      <c r="A54" s="26" t="s">
        <v>182</v>
      </c>
      <c r="B54" s="21" t="s">
        <v>169</v>
      </c>
      <c r="C54" s="21" t="s">
        <v>201</v>
      </c>
      <c r="D54" s="21" t="s">
        <v>205</v>
      </c>
      <c r="E54" s="21" t="s">
        <v>183</v>
      </c>
      <c r="F54" s="27">
        <f>F55</f>
        <v>2257.8000000000002</v>
      </c>
      <c r="G54" s="27">
        <f t="shared" ref="G54:L54" si="32">G55</f>
        <v>2218.4</v>
      </c>
      <c r="H54" s="27">
        <f t="shared" si="32"/>
        <v>0</v>
      </c>
      <c r="I54" s="27">
        <f t="shared" si="32"/>
        <v>0</v>
      </c>
      <c r="J54" s="27">
        <f t="shared" si="32"/>
        <v>0</v>
      </c>
      <c r="K54" s="27">
        <f t="shared" si="32"/>
        <v>0</v>
      </c>
      <c r="L54" s="27">
        <f t="shared" si="32"/>
        <v>0</v>
      </c>
      <c r="M54" s="4" t="e">
        <f t="shared" si="3"/>
        <v>#DIV/0!</v>
      </c>
    </row>
    <row r="55" spans="1:13" ht="47.25" hidden="1" x14ac:dyDescent="0.25">
      <c r="A55" s="26" t="s">
        <v>184</v>
      </c>
      <c r="B55" s="21" t="s">
        <v>169</v>
      </c>
      <c r="C55" s="21" t="s">
        <v>201</v>
      </c>
      <c r="D55" s="21" t="s">
        <v>205</v>
      </c>
      <c r="E55" s="21" t="s">
        <v>185</v>
      </c>
      <c r="F55" s="28">
        <f>'Прил.№4 ведомств.'!G53</f>
        <v>2257.8000000000002</v>
      </c>
      <c r="G55" s="28">
        <f>'Прил.№4 ведомств.'!I53</f>
        <v>2218.4</v>
      </c>
      <c r="H55" s="28">
        <f>'Прил.№4 ведомств.'!J53</f>
        <v>0</v>
      </c>
      <c r="I55" s="28">
        <f>'Прил.№4 ведомств.'!K53</f>
        <v>0</v>
      </c>
      <c r="J55" s="28">
        <f>'Прил.№4 ведомств.'!L53</f>
        <v>0</v>
      </c>
      <c r="K55" s="28">
        <f>'Прил.№4 ведомств.'!M53</f>
        <v>0</v>
      </c>
      <c r="L55" s="28">
        <f>'Прил.№4 ведомств.'!N53</f>
        <v>0</v>
      </c>
      <c r="M55" s="4" t="e">
        <f t="shared" si="3"/>
        <v>#DIV/0!</v>
      </c>
    </row>
    <row r="56" spans="1:13" ht="47.25" x14ac:dyDescent="0.25">
      <c r="A56" s="43" t="s">
        <v>170</v>
      </c>
      <c r="B56" s="8" t="s">
        <v>169</v>
      </c>
      <c r="C56" s="8" t="s">
        <v>171</v>
      </c>
      <c r="D56" s="8"/>
      <c r="E56" s="8"/>
      <c r="F56" s="4">
        <f>F57</f>
        <v>16933.86</v>
      </c>
      <c r="G56" s="4">
        <f t="shared" ref="G56:L58" si="33">G57</f>
        <v>16560.599999999999</v>
      </c>
      <c r="H56" s="4">
        <f t="shared" si="33"/>
        <v>20031.599999999999</v>
      </c>
      <c r="I56" s="4">
        <f t="shared" si="33"/>
        <v>20031.599999999999</v>
      </c>
      <c r="J56" s="4">
        <f t="shared" si="33"/>
        <v>20031.599999999999</v>
      </c>
      <c r="K56" s="4">
        <f t="shared" si="33"/>
        <v>17015.400000000001</v>
      </c>
      <c r="L56" s="4">
        <f t="shared" si="33"/>
        <v>10635.699999999999</v>
      </c>
      <c r="M56" s="4">
        <f t="shared" si="3"/>
        <v>62.50631780622259</v>
      </c>
    </row>
    <row r="57" spans="1:13" ht="15.75" x14ac:dyDescent="0.25">
      <c r="A57" s="31" t="s">
        <v>172</v>
      </c>
      <c r="B57" s="42" t="s">
        <v>169</v>
      </c>
      <c r="C57" s="42" t="s">
        <v>171</v>
      </c>
      <c r="D57" s="42" t="s">
        <v>173</v>
      </c>
      <c r="E57" s="42"/>
      <c r="F57" s="7">
        <f>F58</f>
        <v>16933.86</v>
      </c>
      <c r="G57" s="7">
        <f t="shared" si="33"/>
        <v>16560.599999999999</v>
      </c>
      <c r="H57" s="7">
        <f t="shared" si="33"/>
        <v>20031.599999999999</v>
      </c>
      <c r="I57" s="7">
        <f t="shared" si="33"/>
        <v>20031.599999999999</v>
      </c>
      <c r="J57" s="7">
        <f t="shared" si="33"/>
        <v>20031.599999999999</v>
      </c>
      <c r="K57" s="7">
        <f t="shared" si="33"/>
        <v>17015.400000000001</v>
      </c>
      <c r="L57" s="7">
        <f t="shared" si="33"/>
        <v>10635.699999999999</v>
      </c>
      <c r="M57" s="7">
        <f t="shared" si="3"/>
        <v>62.50631780622259</v>
      </c>
    </row>
    <row r="58" spans="1:13" ht="31.5" x14ac:dyDescent="0.25">
      <c r="A58" s="31" t="s">
        <v>174</v>
      </c>
      <c r="B58" s="42" t="s">
        <v>169</v>
      </c>
      <c r="C58" s="42" t="s">
        <v>171</v>
      </c>
      <c r="D58" s="42" t="s">
        <v>175</v>
      </c>
      <c r="E58" s="42"/>
      <c r="F58" s="7">
        <f>F59</f>
        <v>16933.86</v>
      </c>
      <c r="G58" s="7">
        <f t="shared" si="33"/>
        <v>16560.599999999999</v>
      </c>
      <c r="H58" s="7">
        <f t="shared" si="33"/>
        <v>20031.599999999999</v>
      </c>
      <c r="I58" s="7">
        <f t="shared" si="33"/>
        <v>20031.599999999999</v>
      </c>
      <c r="J58" s="7">
        <f t="shared" si="33"/>
        <v>20031.599999999999</v>
      </c>
      <c r="K58" s="7">
        <f t="shared" si="33"/>
        <v>17015.400000000001</v>
      </c>
      <c r="L58" s="7">
        <f t="shared" si="33"/>
        <v>10635.699999999999</v>
      </c>
      <c r="M58" s="7">
        <f t="shared" si="3"/>
        <v>62.50631780622259</v>
      </c>
    </row>
    <row r="59" spans="1:13" ht="47.25" x14ac:dyDescent="0.25">
      <c r="A59" s="31" t="s">
        <v>176</v>
      </c>
      <c r="B59" s="42" t="s">
        <v>169</v>
      </c>
      <c r="C59" s="42" t="s">
        <v>171</v>
      </c>
      <c r="D59" s="42" t="s">
        <v>177</v>
      </c>
      <c r="E59" s="42"/>
      <c r="F59" s="7">
        <f>F60+F62+F64</f>
        <v>16933.86</v>
      </c>
      <c r="G59" s="7">
        <f t="shared" ref="G59:K59" si="34">G60+G62+G64</f>
        <v>16560.599999999999</v>
      </c>
      <c r="H59" s="7">
        <f t="shared" si="34"/>
        <v>20031.599999999999</v>
      </c>
      <c r="I59" s="7">
        <f t="shared" si="34"/>
        <v>20031.599999999999</v>
      </c>
      <c r="J59" s="7">
        <f t="shared" si="34"/>
        <v>20031.599999999999</v>
      </c>
      <c r="K59" s="7">
        <f t="shared" si="34"/>
        <v>17015.400000000001</v>
      </c>
      <c r="L59" s="7">
        <f t="shared" ref="L59" si="35">L60+L62+L64</f>
        <v>10635.699999999999</v>
      </c>
      <c r="M59" s="7">
        <f t="shared" si="3"/>
        <v>62.50631780622259</v>
      </c>
    </row>
    <row r="60" spans="1:13" ht="78.75" x14ac:dyDescent="0.25">
      <c r="A60" s="31" t="s">
        <v>178</v>
      </c>
      <c r="B60" s="42" t="s">
        <v>169</v>
      </c>
      <c r="C60" s="42" t="s">
        <v>171</v>
      </c>
      <c r="D60" s="42" t="s">
        <v>177</v>
      </c>
      <c r="E60" s="42" t="s">
        <v>179</v>
      </c>
      <c r="F60" s="7">
        <f>F61</f>
        <v>15585.2</v>
      </c>
      <c r="G60" s="7">
        <f t="shared" ref="G60:L60" si="36">G61</f>
        <v>15200.9</v>
      </c>
      <c r="H60" s="7">
        <f t="shared" si="36"/>
        <v>17912.3</v>
      </c>
      <c r="I60" s="7">
        <f t="shared" si="36"/>
        <v>17912.3</v>
      </c>
      <c r="J60" s="7">
        <f t="shared" si="36"/>
        <v>17912.3</v>
      </c>
      <c r="K60" s="7">
        <f t="shared" si="36"/>
        <v>15436.7</v>
      </c>
      <c r="L60" s="7">
        <f t="shared" si="36"/>
        <v>10255.899999999998</v>
      </c>
      <c r="M60" s="7">
        <f t="shared" si="3"/>
        <v>66.438422719881814</v>
      </c>
    </row>
    <row r="61" spans="1:13" ht="31.5" x14ac:dyDescent="0.25">
      <c r="A61" s="31" t="s">
        <v>180</v>
      </c>
      <c r="B61" s="42" t="s">
        <v>169</v>
      </c>
      <c r="C61" s="42" t="s">
        <v>171</v>
      </c>
      <c r="D61" s="42" t="s">
        <v>177</v>
      </c>
      <c r="E61" s="42" t="s">
        <v>181</v>
      </c>
      <c r="F61" s="63">
        <f>'Прил.№4 ведомств.'!G18+'Прил.№4 ведомств.'!G59+'Прил.№4 ведомств.'!G1104</f>
        <v>15585.2</v>
      </c>
      <c r="G61" s="63">
        <f>'Прил.№4 ведомств.'!I18+'Прил.№4 ведомств.'!I59+'Прил.№4 ведомств.'!I1104</f>
        <v>15200.9</v>
      </c>
      <c r="H61" s="63">
        <f>'Прил.№4 ведомств.'!J18+'Прил.№4 ведомств.'!J59+'Прил.№4 ведомств.'!J1104</f>
        <v>17912.3</v>
      </c>
      <c r="I61" s="63">
        <f>'Прил.№4 ведомств.'!K18+'Прил.№4 ведомств.'!K59+'Прил.№4 ведомств.'!K1104</f>
        <v>17912.3</v>
      </c>
      <c r="J61" s="63">
        <f>'Прил.№4 ведомств.'!L18+'Прил.№4 ведомств.'!L59+'Прил.№4 ведомств.'!L1104</f>
        <v>17912.3</v>
      </c>
      <c r="K61" s="63">
        <f>'Прил.№4 ведомств.'!M18+'Прил.№4 ведомств.'!M59+'Прил.№4 ведомств.'!M1104</f>
        <v>15436.7</v>
      </c>
      <c r="L61" s="63">
        <f>'Прил.№4 ведомств.'!N18+'Прил.№4 ведомств.'!N59+'Прил.№4 ведомств.'!N1104</f>
        <v>10255.899999999998</v>
      </c>
      <c r="M61" s="7">
        <f t="shared" si="3"/>
        <v>66.438422719881814</v>
      </c>
    </row>
    <row r="62" spans="1:13" ht="31.5" x14ac:dyDescent="0.25">
      <c r="A62" s="31" t="s">
        <v>182</v>
      </c>
      <c r="B62" s="42" t="s">
        <v>169</v>
      </c>
      <c r="C62" s="42" t="s">
        <v>171</v>
      </c>
      <c r="D62" s="42" t="s">
        <v>177</v>
      </c>
      <c r="E62" s="42" t="s">
        <v>183</v>
      </c>
      <c r="F62" s="7">
        <f>F63</f>
        <v>1320.6599999999999</v>
      </c>
      <c r="G62" s="7">
        <f t="shared" ref="G62:L62" si="37">G63</f>
        <v>1320.7</v>
      </c>
      <c r="H62" s="7">
        <f t="shared" si="37"/>
        <v>2091.3000000000002</v>
      </c>
      <c r="I62" s="7">
        <f t="shared" si="37"/>
        <v>2091.3000000000002</v>
      </c>
      <c r="J62" s="7">
        <f t="shared" si="37"/>
        <v>2091.3000000000002</v>
      </c>
      <c r="K62" s="7">
        <f t="shared" si="37"/>
        <v>1550.7</v>
      </c>
      <c r="L62" s="7">
        <f t="shared" si="37"/>
        <v>379.1</v>
      </c>
      <c r="M62" s="7">
        <f t="shared" si="3"/>
        <v>24.447023924679179</v>
      </c>
    </row>
    <row r="63" spans="1:13" ht="47.25" x14ac:dyDescent="0.25">
      <c r="A63" s="31" t="s">
        <v>184</v>
      </c>
      <c r="B63" s="42" t="s">
        <v>169</v>
      </c>
      <c r="C63" s="42" t="s">
        <v>171</v>
      </c>
      <c r="D63" s="42" t="s">
        <v>177</v>
      </c>
      <c r="E63" s="42" t="s">
        <v>185</v>
      </c>
      <c r="F63" s="7">
        <f>'Прил.№4 ведомств.'!G1106+'Прил.№4 ведомств.'!G20</f>
        <v>1320.6599999999999</v>
      </c>
      <c r="G63" s="7">
        <f>'Прил.№4 ведомств.'!I1106+'Прил.№4 ведомств.'!I20</f>
        <v>1320.7</v>
      </c>
      <c r="H63" s="7">
        <f>'Прил.№4 ведомств.'!J1106+'Прил.№4 ведомств.'!J20</f>
        <v>2091.3000000000002</v>
      </c>
      <c r="I63" s="7">
        <f>'Прил.№4 ведомств.'!K1106+'Прил.№4 ведомств.'!K20</f>
        <v>2091.3000000000002</v>
      </c>
      <c r="J63" s="7">
        <f>'Прил.№4 ведомств.'!L1106+'Прил.№4 ведомств.'!L20</f>
        <v>2091.3000000000002</v>
      </c>
      <c r="K63" s="7">
        <f>'Прил.№4 ведомств.'!M1106+'Прил.№4 ведомств.'!M20</f>
        <v>1550.7</v>
      </c>
      <c r="L63" s="7">
        <f>'Прил.№4 ведомств.'!N1106+'Прил.№4 ведомств.'!N20</f>
        <v>379.1</v>
      </c>
      <c r="M63" s="7">
        <f t="shared" si="3"/>
        <v>24.447023924679179</v>
      </c>
    </row>
    <row r="64" spans="1:13" ht="15.75" x14ac:dyDescent="0.25">
      <c r="A64" s="31" t="s">
        <v>186</v>
      </c>
      <c r="B64" s="42" t="s">
        <v>169</v>
      </c>
      <c r="C64" s="42" t="s">
        <v>171</v>
      </c>
      <c r="D64" s="42" t="s">
        <v>177</v>
      </c>
      <c r="E64" s="42" t="s">
        <v>196</v>
      </c>
      <c r="F64" s="7">
        <f>F65</f>
        <v>28</v>
      </c>
      <c r="G64" s="7">
        <f t="shared" ref="G64:L64" si="38">G65</f>
        <v>39</v>
      </c>
      <c r="H64" s="7">
        <f t="shared" si="38"/>
        <v>28</v>
      </c>
      <c r="I64" s="7">
        <f t="shared" si="38"/>
        <v>28</v>
      </c>
      <c r="J64" s="7">
        <f t="shared" si="38"/>
        <v>28</v>
      </c>
      <c r="K64" s="7">
        <f t="shared" si="38"/>
        <v>28</v>
      </c>
      <c r="L64" s="7">
        <f t="shared" si="38"/>
        <v>0.7</v>
      </c>
      <c r="M64" s="7">
        <f t="shared" si="3"/>
        <v>2.5</v>
      </c>
    </row>
    <row r="65" spans="1:15" ht="15.75" x14ac:dyDescent="0.25">
      <c r="A65" s="31" t="s">
        <v>620</v>
      </c>
      <c r="B65" s="42" t="s">
        <v>169</v>
      </c>
      <c r="C65" s="42" t="s">
        <v>171</v>
      </c>
      <c r="D65" s="42" t="s">
        <v>177</v>
      </c>
      <c r="E65" s="42" t="s">
        <v>189</v>
      </c>
      <c r="F65" s="7">
        <f>'Прил.№4 ведомств.'!G22</f>
        <v>28</v>
      </c>
      <c r="G65" s="7">
        <f>'Прил.№4 ведомств.'!I22</f>
        <v>39</v>
      </c>
      <c r="H65" s="7">
        <f>'Прил.№4 ведомств.'!J22</f>
        <v>28</v>
      </c>
      <c r="I65" s="7">
        <f>'Прил.№4 ведомств.'!K22</f>
        <v>28</v>
      </c>
      <c r="J65" s="7">
        <f>'Прил.№4 ведомств.'!L22</f>
        <v>28</v>
      </c>
      <c r="K65" s="7">
        <f>'Прил.№4 ведомств.'!M22</f>
        <v>28</v>
      </c>
      <c r="L65" s="7">
        <f>'Прил.№4 ведомств.'!N22</f>
        <v>0.7</v>
      </c>
      <c r="M65" s="7">
        <f t="shared" si="3"/>
        <v>2.5</v>
      </c>
    </row>
    <row r="66" spans="1:15" ht="31.5" hidden="1" customHeight="1" x14ac:dyDescent="0.25">
      <c r="A66" s="64" t="s">
        <v>647</v>
      </c>
      <c r="B66" s="9" t="s">
        <v>169</v>
      </c>
      <c r="C66" s="9" t="s">
        <v>315</v>
      </c>
      <c r="D66" s="9"/>
      <c r="E66" s="9"/>
      <c r="F66" s="7">
        <f t="shared" ref="F66:L70" si="39">F67</f>
        <v>0</v>
      </c>
      <c r="G66" s="7">
        <f t="shared" si="39"/>
        <v>0</v>
      </c>
      <c r="H66" s="7">
        <f t="shared" si="39"/>
        <v>0</v>
      </c>
      <c r="I66" s="7">
        <f t="shared" si="39"/>
        <v>0</v>
      </c>
      <c r="J66" s="7">
        <f t="shared" si="39"/>
        <v>0</v>
      </c>
      <c r="K66" s="7">
        <f t="shared" si="39"/>
        <v>0</v>
      </c>
      <c r="L66" s="7">
        <f t="shared" si="39"/>
        <v>0</v>
      </c>
      <c r="M66" s="4" t="e">
        <f t="shared" si="3"/>
        <v>#DIV/0!</v>
      </c>
    </row>
    <row r="67" spans="1:15" ht="15.75" hidden="1" customHeight="1" x14ac:dyDescent="0.25">
      <c r="A67" s="47" t="s">
        <v>172</v>
      </c>
      <c r="B67" s="10" t="s">
        <v>169</v>
      </c>
      <c r="C67" s="10" t="s">
        <v>315</v>
      </c>
      <c r="D67" s="10" t="s">
        <v>648</v>
      </c>
      <c r="E67" s="10"/>
      <c r="F67" s="7">
        <f t="shared" si="39"/>
        <v>0</v>
      </c>
      <c r="G67" s="7">
        <f t="shared" si="39"/>
        <v>0</v>
      </c>
      <c r="H67" s="7">
        <f t="shared" si="39"/>
        <v>0</v>
      </c>
      <c r="I67" s="7">
        <f t="shared" si="39"/>
        <v>0</v>
      </c>
      <c r="J67" s="7">
        <f t="shared" si="39"/>
        <v>0</v>
      </c>
      <c r="K67" s="7">
        <f t="shared" si="39"/>
        <v>0</v>
      </c>
      <c r="L67" s="7">
        <f t="shared" si="39"/>
        <v>0</v>
      </c>
      <c r="M67" s="4" t="e">
        <f t="shared" si="3"/>
        <v>#DIV/0!</v>
      </c>
    </row>
    <row r="68" spans="1:15" ht="15.75" hidden="1" customHeight="1" x14ac:dyDescent="0.25">
      <c r="A68" s="47" t="s">
        <v>192</v>
      </c>
      <c r="B68" s="10" t="s">
        <v>169</v>
      </c>
      <c r="C68" s="10" t="s">
        <v>315</v>
      </c>
      <c r="D68" s="10" t="s">
        <v>649</v>
      </c>
      <c r="E68" s="10"/>
      <c r="F68" s="7">
        <f t="shared" si="39"/>
        <v>0</v>
      </c>
      <c r="G68" s="7">
        <f t="shared" si="39"/>
        <v>0</v>
      </c>
      <c r="H68" s="7">
        <f t="shared" si="39"/>
        <v>0</v>
      </c>
      <c r="I68" s="7">
        <f t="shared" si="39"/>
        <v>0</v>
      </c>
      <c r="J68" s="7">
        <f t="shared" si="39"/>
        <v>0</v>
      </c>
      <c r="K68" s="7">
        <f t="shared" si="39"/>
        <v>0</v>
      </c>
      <c r="L68" s="7">
        <f t="shared" si="39"/>
        <v>0</v>
      </c>
      <c r="M68" s="4" t="e">
        <f t="shared" si="3"/>
        <v>#DIV/0!</v>
      </c>
    </row>
    <row r="69" spans="1:15" ht="15.75" hidden="1" customHeight="1" x14ac:dyDescent="0.25">
      <c r="A69" s="65" t="s">
        <v>650</v>
      </c>
      <c r="B69" s="10" t="s">
        <v>169</v>
      </c>
      <c r="C69" s="10" t="s">
        <v>315</v>
      </c>
      <c r="D69" s="6" t="s">
        <v>651</v>
      </c>
      <c r="E69" s="6"/>
      <c r="F69" s="7">
        <f>F70+F72</f>
        <v>0</v>
      </c>
      <c r="G69" s="7">
        <f t="shared" ref="G69:K69" si="40">G70+G72</f>
        <v>0</v>
      </c>
      <c r="H69" s="7">
        <f t="shared" si="40"/>
        <v>0</v>
      </c>
      <c r="I69" s="7">
        <f t="shared" si="40"/>
        <v>0</v>
      </c>
      <c r="J69" s="7">
        <f t="shared" si="40"/>
        <v>0</v>
      </c>
      <c r="K69" s="7">
        <f t="shared" si="40"/>
        <v>0</v>
      </c>
      <c r="L69" s="7">
        <f t="shared" ref="L69" si="41">L70+L72</f>
        <v>0</v>
      </c>
      <c r="M69" s="4" t="e">
        <f t="shared" si="3"/>
        <v>#DIV/0!</v>
      </c>
    </row>
    <row r="70" spans="1:15" ht="31.5" hidden="1" customHeight="1" x14ac:dyDescent="0.25">
      <c r="A70" s="47" t="s">
        <v>182</v>
      </c>
      <c r="B70" s="10" t="s">
        <v>169</v>
      </c>
      <c r="C70" s="10" t="s">
        <v>315</v>
      </c>
      <c r="D70" s="6" t="s">
        <v>651</v>
      </c>
      <c r="E70" s="10" t="s">
        <v>183</v>
      </c>
      <c r="F70" s="7">
        <f t="shared" si="39"/>
        <v>0</v>
      </c>
      <c r="G70" s="7">
        <f t="shared" si="39"/>
        <v>0</v>
      </c>
      <c r="H70" s="7">
        <f t="shared" si="39"/>
        <v>0</v>
      </c>
      <c r="I70" s="7">
        <f t="shared" si="39"/>
        <v>0</v>
      </c>
      <c r="J70" s="7">
        <f t="shared" si="39"/>
        <v>0</v>
      </c>
      <c r="K70" s="7">
        <f t="shared" si="39"/>
        <v>0</v>
      </c>
      <c r="L70" s="7">
        <f t="shared" si="39"/>
        <v>0</v>
      </c>
      <c r="M70" s="4" t="e">
        <f t="shared" si="3"/>
        <v>#DIV/0!</v>
      </c>
    </row>
    <row r="71" spans="1:15" ht="47.25" hidden="1" customHeight="1" x14ac:dyDescent="0.25">
      <c r="A71" s="47" t="s">
        <v>184</v>
      </c>
      <c r="B71" s="10" t="s">
        <v>169</v>
      </c>
      <c r="C71" s="10" t="s">
        <v>315</v>
      </c>
      <c r="D71" s="6" t="s">
        <v>651</v>
      </c>
      <c r="E71" s="10" t="s">
        <v>185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4" t="e">
        <f t="shared" si="3"/>
        <v>#DIV/0!</v>
      </c>
    </row>
    <row r="72" spans="1:15" ht="15.75" hidden="1" customHeight="1" x14ac:dyDescent="0.25">
      <c r="A72" s="31" t="s">
        <v>186</v>
      </c>
      <c r="B72" s="10" t="s">
        <v>169</v>
      </c>
      <c r="C72" s="10" t="s">
        <v>315</v>
      </c>
      <c r="D72" s="6" t="s">
        <v>651</v>
      </c>
      <c r="E72" s="10" t="s">
        <v>196</v>
      </c>
      <c r="F72" s="7">
        <f>F73</f>
        <v>0</v>
      </c>
      <c r="G72" s="7">
        <f t="shared" ref="G72:L72" si="42">G73</f>
        <v>0</v>
      </c>
      <c r="H72" s="7">
        <f t="shared" si="42"/>
        <v>0</v>
      </c>
      <c r="I72" s="7">
        <f t="shared" si="42"/>
        <v>0</v>
      </c>
      <c r="J72" s="7">
        <f t="shared" si="42"/>
        <v>0</v>
      </c>
      <c r="K72" s="7">
        <f t="shared" si="42"/>
        <v>0</v>
      </c>
      <c r="L72" s="7">
        <f t="shared" si="42"/>
        <v>0</v>
      </c>
      <c r="M72" s="4" t="e">
        <f t="shared" si="3"/>
        <v>#DIV/0!</v>
      </c>
    </row>
    <row r="73" spans="1:15" ht="15.75" hidden="1" customHeight="1" x14ac:dyDescent="0.25">
      <c r="A73" s="31" t="s">
        <v>188</v>
      </c>
      <c r="B73" s="10" t="s">
        <v>169</v>
      </c>
      <c r="C73" s="10" t="s">
        <v>315</v>
      </c>
      <c r="D73" s="6" t="s">
        <v>651</v>
      </c>
      <c r="E73" s="10" t="s">
        <v>189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4" t="e">
        <f t="shared" si="3"/>
        <v>#DIV/0!</v>
      </c>
    </row>
    <row r="74" spans="1:15" ht="15.75" x14ac:dyDescent="0.25">
      <c r="A74" s="43" t="s">
        <v>190</v>
      </c>
      <c r="B74" s="8" t="s">
        <v>169</v>
      </c>
      <c r="C74" s="8" t="s">
        <v>191</v>
      </c>
      <c r="D74" s="8"/>
      <c r="E74" s="8"/>
      <c r="F74" s="4">
        <f>F75+F79+F94+F107+F144+F127+F111</f>
        <v>33976.74</v>
      </c>
      <c r="G74" s="4">
        <f>G75+G79+G94+G107+G144+G127+G111</f>
        <v>27585.86</v>
      </c>
      <c r="H74" s="4">
        <f>H75+H79+H94+H107+H144+H127+H111</f>
        <v>51736.7</v>
      </c>
      <c r="I74" s="4">
        <f>I75+I79+I94+I107+I144+I127+I111</f>
        <v>52334.9</v>
      </c>
      <c r="J74" s="4">
        <f>J75+J79+J94+J107+J144+J127+J111</f>
        <v>52834.400000000001</v>
      </c>
      <c r="K74" s="4">
        <f>K75+K79+K94+K107+K144+K127+K111+K140</f>
        <v>58296.999999999993</v>
      </c>
      <c r="L74" s="4">
        <f t="shared" ref="L74" si="43">L75+L79+L94+L107+L144+L127+L111+L140</f>
        <v>43300.500000000007</v>
      </c>
      <c r="M74" s="4">
        <f t="shared" si="3"/>
        <v>74.275691716554903</v>
      </c>
      <c r="O74" s="23">
        <f>K74-N74</f>
        <v>58296.999999999993</v>
      </c>
    </row>
    <row r="75" spans="1:15" ht="47.25" hidden="1" x14ac:dyDescent="0.25">
      <c r="A75" s="31" t="s">
        <v>206</v>
      </c>
      <c r="B75" s="42" t="s">
        <v>169</v>
      </c>
      <c r="C75" s="42" t="s">
        <v>191</v>
      </c>
      <c r="D75" s="42" t="s">
        <v>207</v>
      </c>
      <c r="E75" s="42"/>
      <c r="F75" s="7">
        <f>F77</f>
        <v>250</v>
      </c>
      <c r="G75" s="7">
        <f t="shared" ref="G75:K75" si="44">G77</f>
        <v>250</v>
      </c>
      <c r="H75" s="7">
        <f t="shared" si="44"/>
        <v>0</v>
      </c>
      <c r="I75" s="7">
        <f t="shared" si="44"/>
        <v>0</v>
      </c>
      <c r="J75" s="7">
        <f t="shared" si="44"/>
        <v>0</v>
      </c>
      <c r="K75" s="7">
        <f t="shared" si="44"/>
        <v>0</v>
      </c>
      <c r="L75" s="7">
        <f t="shared" ref="L75" si="45">L77</f>
        <v>0</v>
      </c>
      <c r="M75" s="4" t="e">
        <f t="shared" si="3"/>
        <v>#DIV/0!</v>
      </c>
    </row>
    <row r="76" spans="1:15" ht="31.5" hidden="1" x14ac:dyDescent="0.25">
      <c r="A76" s="31" t="s">
        <v>208</v>
      </c>
      <c r="B76" s="42" t="s">
        <v>169</v>
      </c>
      <c r="C76" s="42" t="s">
        <v>191</v>
      </c>
      <c r="D76" s="42" t="s">
        <v>209</v>
      </c>
      <c r="E76" s="42"/>
      <c r="F76" s="7">
        <f>F77</f>
        <v>250</v>
      </c>
      <c r="G76" s="7">
        <f t="shared" ref="G76:L77" si="46">G77</f>
        <v>250</v>
      </c>
      <c r="H76" s="7">
        <f t="shared" si="46"/>
        <v>0</v>
      </c>
      <c r="I76" s="7">
        <f t="shared" si="46"/>
        <v>0</v>
      </c>
      <c r="J76" s="7">
        <f t="shared" si="46"/>
        <v>0</v>
      </c>
      <c r="K76" s="7">
        <f t="shared" si="46"/>
        <v>0</v>
      </c>
      <c r="L76" s="7">
        <f t="shared" si="46"/>
        <v>0</v>
      </c>
      <c r="M76" s="4" t="e">
        <f t="shared" si="3"/>
        <v>#DIV/0!</v>
      </c>
    </row>
    <row r="77" spans="1:15" ht="15.75" hidden="1" x14ac:dyDescent="0.25">
      <c r="A77" s="31" t="s">
        <v>186</v>
      </c>
      <c r="B77" s="42" t="s">
        <v>169</v>
      </c>
      <c r="C77" s="42" t="s">
        <v>191</v>
      </c>
      <c r="D77" s="42" t="s">
        <v>209</v>
      </c>
      <c r="E77" s="42" t="s">
        <v>196</v>
      </c>
      <c r="F77" s="7">
        <f>F78</f>
        <v>250</v>
      </c>
      <c r="G77" s="7">
        <f t="shared" si="46"/>
        <v>250</v>
      </c>
      <c r="H77" s="7">
        <f t="shared" si="46"/>
        <v>0</v>
      </c>
      <c r="I77" s="7">
        <f t="shared" si="46"/>
        <v>0</v>
      </c>
      <c r="J77" s="7">
        <f t="shared" si="46"/>
        <v>0</v>
      </c>
      <c r="K77" s="7">
        <f t="shared" si="46"/>
        <v>0</v>
      </c>
      <c r="L77" s="7">
        <f t="shared" si="46"/>
        <v>0</v>
      </c>
      <c r="M77" s="4" t="e">
        <f t="shared" ref="M77:M140" si="47">L77/K77*100</f>
        <v>#DIV/0!</v>
      </c>
    </row>
    <row r="78" spans="1:15" ht="47.25" hidden="1" x14ac:dyDescent="0.25">
      <c r="A78" s="31" t="s">
        <v>235</v>
      </c>
      <c r="B78" s="42" t="s">
        <v>169</v>
      </c>
      <c r="C78" s="42" t="s">
        <v>191</v>
      </c>
      <c r="D78" s="42" t="s">
        <v>209</v>
      </c>
      <c r="E78" s="42" t="s">
        <v>211</v>
      </c>
      <c r="F78" s="7">
        <f>'Прил.№4 ведомств.'!G66</f>
        <v>250</v>
      </c>
      <c r="G78" s="7">
        <f>'Прил.№4 ведомств.'!I66</f>
        <v>250</v>
      </c>
      <c r="H78" s="7">
        <f>'Прил.№4 ведомств.'!J66</f>
        <v>0</v>
      </c>
      <c r="I78" s="7">
        <f>'Прил.№4 ведомств.'!K66</f>
        <v>0</v>
      </c>
      <c r="J78" s="7">
        <f>'Прил.№4 ведомств.'!L66</f>
        <v>0</v>
      </c>
      <c r="K78" s="7">
        <f>'Прил.№4 ведомств.'!M66</f>
        <v>0</v>
      </c>
      <c r="L78" s="7">
        <f>'Прил.№4 ведомств.'!N66</f>
        <v>0</v>
      </c>
      <c r="M78" s="4" t="e">
        <f t="shared" si="47"/>
        <v>#DIV/0!</v>
      </c>
    </row>
    <row r="79" spans="1:15" ht="47.25" x14ac:dyDescent="0.25">
      <c r="A79" s="31" t="s">
        <v>999</v>
      </c>
      <c r="B79" s="42" t="s">
        <v>169</v>
      </c>
      <c r="C79" s="42" t="s">
        <v>191</v>
      </c>
      <c r="D79" s="42" t="s">
        <v>213</v>
      </c>
      <c r="E79" s="42"/>
      <c r="F79" s="7">
        <f>F80+F83+F88+F91</f>
        <v>654</v>
      </c>
      <c r="G79" s="7">
        <f t="shared" ref="G79:K79" si="48">G80+G83+G88+G91</f>
        <v>654</v>
      </c>
      <c r="H79" s="7">
        <f t="shared" si="48"/>
        <v>669</v>
      </c>
      <c r="I79" s="7">
        <f t="shared" si="48"/>
        <v>669</v>
      </c>
      <c r="J79" s="7">
        <f t="shared" si="48"/>
        <v>669</v>
      </c>
      <c r="K79" s="7">
        <f t="shared" si="48"/>
        <v>741</v>
      </c>
      <c r="L79" s="7">
        <f t="shared" ref="L79" si="49">L80+L83+L88+L91</f>
        <v>468.3</v>
      </c>
      <c r="M79" s="7">
        <f t="shared" si="47"/>
        <v>63.198380566801625</v>
      </c>
      <c r="O79">
        <v>30255.1</v>
      </c>
    </row>
    <row r="80" spans="1:15" ht="31.5" x14ac:dyDescent="0.25">
      <c r="A80" s="31" t="s">
        <v>214</v>
      </c>
      <c r="B80" s="42" t="s">
        <v>169</v>
      </c>
      <c r="C80" s="42" t="s">
        <v>191</v>
      </c>
      <c r="D80" s="42" t="s">
        <v>215</v>
      </c>
      <c r="E80" s="42"/>
      <c r="F80" s="7">
        <f>F81</f>
        <v>428.1</v>
      </c>
      <c r="G80" s="7">
        <f t="shared" ref="G80:L81" si="50">G81</f>
        <v>428.1</v>
      </c>
      <c r="H80" s="7">
        <f t="shared" si="50"/>
        <v>428.1</v>
      </c>
      <c r="I80" s="7">
        <f t="shared" si="50"/>
        <v>428.1</v>
      </c>
      <c r="J80" s="7">
        <f t="shared" si="50"/>
        <v>428.1</v>
      </c>
      <c r="K80" s="7">
        <f t="shared" si="50"/>
        <v>491</v>
      </c>
      <c r="L80" s="7">
        <f t="shared" si="50"/>
        <v>323.60000000000002</v>
      </c>
      <c r="M80" s="7">
        <f t="shared" si="47"/>
        <v>65.906313645621182</v>
      </c>
      <c r="O80" s="23">
        <f>O74-O79</f>
        <v>28041.899999999994</v>
      </c>
    </row>
    <row r="81" spans="1:15" ht="31.5" x14ac:dyDescent="0.25">
      <c r="A81" s="31" t="s">
        <v>182</v>
      </c>
      <c r="B81" s="42" t="s">
        <v>169</v>
      </c>
      <c r="C81" s="42" t="s">
        <v>191</v>
      </c>
      <c r="D81" s="42" t="s">
        <v>215</v>
      </c>
      <c r="E81" s="42" t="s">
        <v>183</v>
      </c>
      <c r="F81" s="7">
        <f>F82</f>
        <v>428.1</v>
      </c>
      <c r="G81" s="7">
        <f t="shared" si="50"/>
        <v>428.1</v>
      </c>
      <c r="H81" s="7">
        <f t="shared" si="50"/>
        <v>428.1</v>
      </c>
      <c r="I81" s="7">
        <f t="shared" si="50"/>
        <v>428.1</v>
      </c>
      <c r="J81" s="7">
        <f t="shared" si="50"/>
        <v>428.1</v>
      </c>
      <c r="K81" s="7">
        <f t="shared" si="50"/>
        <v>491</v>
      </c>
      <c r="L81" s="7">
        <f t="shared" si="50"/>
        <v>323.60000000000002</v>
      </c>
      <c r="M81" s="7">
        <f t="shared" si="47"/>
        <v>65.906313645621182</v>
      </c>
      <c r="O81">
        <f>3624.1-29</f>
        <v>3595.1</v>
      </c>
    </row>
    <row r="82" spans="1:15" ht="47.25" x14ac:dyDescent="0.25">
      <c r="A82" s="31" t="s">
        <v>184</v>
      </c>
      <c r="B82" s="42" t="s">
        <v>169</v>
      </c>
      <c r="C82" s="42" t="s">
        <v>191</v>
      </c>
      <c r="D82" s="42" t="s">
        <v>215</v>
      </c>
      <c r="E82" s="42" t="s">
        <v>185</v>
      </c>
      <c r="F82" s="7">
        <f>'Прил.№4 ведомств.'!G70</f>
        <v>428.1</v>
      </c>
      <c r="G82" s="7">
        <f>'Прил.№4 ведомств.'!I70</f>
        <v>428.1</v>
      </c>
      <c r="H82" s="7">
        <f>'Прил.№4 ведомств.'!J70</f>
        <v>428.1</v>
      </c>
      <c r="I82" s="7">
        <f>'Прил.№4 ведомств.'!K70</f>
        <v>428.1</v>
      </c>
      <c r="J82" s="7">
        <f>'Прил.№4 ведомств.'!L70</f>
        <v>428.1</v>
      </c>
      <c r="K82" s="7">
        <f>'Прил.№4 ведомств.'!M70</f>
        <v>491</v>
      </c>
      <c r="L82" s="7">
        <f>'Прил.№4 ведомств.'!N70</f>
        <v>323.60000000000002</v>
      </c>
      <c r="M82" s="7">
        <f t="shared" si="47"/>
        <v>65.906313645621182</v>
      </c>
      <c r="O82">
        <f>3624.1+175</f>
        <v>3799.1</v>
      </c>
    </row>
    <row r="83" spans="1:15" ht="63" x14ac:dyDescent="0.25">
      <c r="A83" s="123" t="s">
        <v>216</v>
      </c>
      <c r="B83" s="42" t="s">
        <v>169</v>
      </c>
      <c r="C83" s="42" t="s">
        <v>191</v>
      </c>
      <c r="D83" s="42" t="s">
        <v>217</v>
      </c>
      <c r="E83" s="42"/>
      <c r="F83" s="7">
        <f>F84+F86</f>
        <v>224.89999999999998</v>
      </c>
      <c r="G83" s="7">
        <f t="shared" ref="G83:K83" si="51">G84+G86</f>
        <v>224.89999999999998</v>
      </c>
      <c r="H83" s="7">
        <f t="shared" si="51"/>
        <v>239.89999999999998</v>
      </c>
      <c r="I83" s="7">
        <f t="shared" si="51"/>
        <v>239.89999999999998</v>
      </c>
      <c r="J83" s="7">
        <f t="shared" si="51"/>
        <v>239.89999999999998</v>
      </c>
      <c r="K83" s="7">
        <f t="shared" si="51"/>
        <v>249.5</v>
      </c>
      <c r="L83" s="7">
        <f t="shared" ref="L83" si="52">L84+L86</f>
        <v>144.19999999999999</v>
      </c>
      <c r="M83" s="7">
        <f t="shared" si="47"/>
        <v>57.795591182364724</v>
      </c>
    </row>
    <row r="84" spans="1:15" ht="78.75" x14ac:dyDescent="0.25">
      <c r="A84" s="31" t="s">
        <v>178</v>
      </c>
      <c r="B84" s="42" t="s">
        <v>169</v>
      </c>
      <c r="C84" s="42" t="s">
        <v>191</v>
      </c>
      <c r="D84" s="42" t="s">
        <v>217</v>
      </c>
      <c r="E84" s="42" t="s">
        <v>179</v>
      </c>
      <c r="F84" s="7">
        <f>F85</f>
        <v>159.69999999999999</v>
      </c>
      <c r="G84" s="7">
        <f t="shared" ref="G84:L84" si="53">G85</f>
        <v>159.69999999999999</v>
      </c>
      <c r="H84" s="7">
        <f t="shared" si="53"/>
        <v>159.69999999999999</v>
      </c>
      <c r="I84" s="7">
        <f t="shared" si="53"/>
        <v>159.69999999999999</v>
      </c>
      <c r="J84" s="7">
        <f t="shared" si="53"/>
        <v>159.69999999999999</v>
      </c>
      <c r="K84" s="7">
        <f t="shared" si="53"/>
        <v>159.69999999999999</v>
      </c>
      <c r="L84" s="7">
        <f t="shared" si="53"/>
        <v>102</v>
      </c>
      <c r="M84" s="7">
        <f t="shared" si="47"/>
        <v>63.869755792110219</v>
      </c>
    </row>
    <row r="85" spans="1:15" ht="31.5" x14ac:dyDescent="0.25">
      <c r="A85" s="31" t="s">
        <v>180</v>
      </c>
      <c r="B85" s="42" t="s">
        <v>169</v>
      </c>
      <c r="C85" s="42" t="s">
        <v>191</v>
      </c>
      <c r="D85" s="42" t="s">
        <v>217</v>
      </c>
      <c r="E85" s="42" t="s">
        <v>181</v>
      </c>
      <c r="F85" s="7">
        <f>'Прил.№4 ведомств.'!G73</f>
        <v>159.69999999999999</v>
      </c>
      <c r="G85" s="7">
        <f>'Прил.№4 ведомств.'!I73</f>
        <v>159.69999999999999</v>
      </c>
      <c r="H85" s="7">
        <f>'Прил.№4 ведомств.'!J73</f>
        <v>159.69999999999999</v>
      </c>
      <c r="I85" s="7">
        <f>'Прил.№4 ведомств.'!K73</f>
        <v>159.69999999999999</v>
      </c>
      <c r="J85" s="7">
        <f>'Прил.№4 ведомств.'!L73</f>
        <v>159.69999999999999</v>
      </c>
      <c r="K85" s="7">
        <f>'Прил.№4 ведомств.'!M73</f>
        <v>159.69999999999999</v>
      </c>
      <c r="L85" s="7">
        <f>'Прил.№4 ведомств.'!N73</f>
        <v>102</v>
      </c>
      <c r="M85" s="7">
        <f t="shared" si="47"/>
        <v>63.869755792110219</v>
      </c>
    </row>
    <row r="86" spans="1:15" ht="31.5" x14ac:dyDescent="0.25">
      <c r="A86" s="26" t="s">
        <v>182</v>
      </c>
      <c r="B86" s="42" t="s">
        <v>169</v>
      </c>
      <c r="C86" s="42" t="s">
        <v>191</v>
      </c>
      <c r="D86" s="42" t="s">
        <v>217</v>
      </c>
      <c r="E86" s="42" t="s">
        <v>183</v>
      </c>
      <c r="F86" s="7">
        <f>F87</f>
        <v>65.2</v>
      </c>
      <c r="G86" s="7">
        <f t="shared" ref="G86:L86" si="54">G87</f>
        <v>65.2</v>
      </c>
      <c r="H86" s="7">
        <f t="shared" si="54"/>
        <v>80.199999999999989</v>
      </c>
      <c r="I86" s="7">
        <f t="shared" si="54"/>
        <v>80.199999999999989</v>
      </c>
      <c r="J86" s="7">
        <f t="shared" si="54"/>
        <v>80.199999999999989</v>
      </c>
      <c r="K86" s="7">
        <f t="shared" si="54"/>
        <v>89.800000000000011</v>
      </c>
      <c r="L86" s="7">
        <f t="shared" si="54"/>
        <v>42.2</v>
      </c>
      <c r="M86" s="7">
        <f t="shared" si="47"/>
        <v>46.993318485523382</v>
      </c>
    </row>
    <row r="87" spans="1:15" ht="47.25" x14ac:dyDescent="0.25">
      <c r="A87" s="26" t="s">
        <v>184</v>
      </c>
      <c r="B87" s="42" t="s">
        <v>169</v>
      </c>
      <c r="C87" s="42" t="s">
        <v>191</v>
      </c>
      <c r="D87" s="42" t="s">
        <v>217</v>
      </c>
      <c r="E87" s="42" t="s">
        <v>185</v>
      </c>
      <c r="F87" s="7">
        <f>'Прил.№4 ведомств.'!G75</f>
        <v>65.2</v>
      </c>
      <c r="G87" s="7">
        <f>'Прил.№4 ведомств.'!I75</f>
        <v>65.2</v>
      </c>
      <c r="H87" s="7">
        <f>'Прил.№4 ведомств.'!J75</f>
        <v>80.199999999999989</v>
      </c>
      <c r="I87" s="7">
        <f>'Прил.№4 ведомств.'!K75</f>
        <v>80.199999999999989</v>
      </c>
      <c r="J87" s="7">
        <f>'Прил.№4 ведомств.'!L75</f>
        <v>80.199999999999989</v>
      </c>
      <c r="K87" s="7">
        <f>'Прил.№4 ведомств.'!M75</f>
        <v>89.800000000000011</v>
      </c>
      <c r="L87" s="7">
        <f>'Прил.№4 ведомств.'!N75</f>
        <v>42.2</v>
      </c>
      <c r="M87" s="7">
        <f t="shared" si="47"/>
        <v>46.993318485523382</v>
      </c>
    </row>
    <row r="88" spans="1:15" ht="63" x14ac:dyDescent="0.25">
      <c r="A88" s="33" t="s">
        <v>776</v>
      </c>
      <c r="B88" s="42" t="s">
        <v>169</v>
      </c>
      <c r="C88" s="42" t="s">
        <v>191</v>
      </c>
      <c r="D88" s="42" t="s">
        <v>777</v>
      </c>
      <c r="E88" s="42"/>
      <c r="F88" s="7">
        <f>F89</f>
        <v>0.5</v>
      </c>
      <c r="G88" s="7">
        <f t="shared" ref="G88:L89" si="55">G89</f>
        <v>0.5</v>
      </c>
      <c r="H88" s="7">
        <f t="shared" si="55"/>
        <v>0.5</v>
      </c>
      <c r="I88" s="7">
        <f t="shared" si="55"/>
        <v>0.5</v>
      </c>
      <c r="J88" s="7">
        <f t="shared" si="55"/>
        <v>0.5</v>
      </c>
      <c r="K88" s="7">
        <f t="shared" si="55"/>
        <v>0.5</v>
      </c>
      <c r="L88" s="7">
        <f t="shared" si="55"/>
        <v>0.5</v>
      </c>
      <c r="M88" s="7">
        <f t="shared" si="47"/>
        <v>100</v>
      </c>
    </row>
    <row r="89" spans="1:15" ht="31.5" x14ac:dyDescent="0.25">
      <c r="A89" s="26" t="s">
        <v>182</v>
      </c>
      <c r="B89" s="42" t="s">
        <v>169</v>
      </c>
      <c r="C89" s="42" t="s">
        <v>191</v>
      </c>
      <c r="D89" s="42" t="s">
        <v>777</v>
      </c>
      <c r="E89" s="42" t="s">
        <v>183</v>
      </c>
      <c r="F89" s="7">
        <f>F90</f>
        <v>0.5</v>
      </c>
      <c r="G89" s="7">
        <f t="shared" si="55"/>
        <v>0.5</v>
      </c>
      <c r="H89" s="7">
        <f t="shared" si="55"/>
        <v>0.5</v>
      </c>
      <c r="I89" s="7">
        <f t="shared" si="55"/>
        <v>0.5</v>
      </c>
      <c r="J89" s="7">
        <f t="shared" si="55"/>
        <v>0.5</v>
      </c>
      <c r="K89" s="7">
        <f t="shared" si="55"/>
        <v>0.5</v>
      </c>
      <c r="L89" s="7">
        <f t="shared" si="55"/>
        <v>0.5</v>
      </c>
      <c r="M89" s="7">
        <f t="shared" si="47"/>
        <v>100</v>
      </c>
    </row>
    <row r="90" spans="1:15" ht="47.25" x14ac:dyDescent="0.25">
      <c r="A90" s="26" t="s">
        <v>184</v>
      </c>
      <c r="B90" s="42" t="s">
        <v>169</v>
      </c>
      <c r="C90" s="42" t="s">
        <v>191</v>
      </c>
      <c r="D90" s="42" t="s">
        <v>777</v>
      </c>
      <c r="E90" s="42" t="s">
        <v>185</v>
      </c>
      <c r="F90" s="7">
        <f>'Прил.№4 ведомств.'!G1111</f>
        <v>0.5</v>
      </c>
      <c r="G90" s="7">
        <f>'Прил.№4 ведомств.'!I1111</f>
        <v>0.5</v>
      </c>
      <c r="H90" s="7">
        <f>'Прил.№4 ведомств.'!J1111</f>
        <v>0.5</v>
      </c>
      <c r="I90" s="7">
        <f>'Прил.№4 ведомств.'!K1111</f>
        <v>0.5</v>
      </c>
      <c r="J90" s="7">
        <f>'Прил.№4 ведомств.'!L1111</f>
        <v>0.5</v>
      </c>
      <c r="K90" s="7">
        <f>'Прил.№4 ведомств.'!M1111</f>
        <v>0.5</v>
      </c>
      <c r="L90" s="7">
        <f>'Прил.№4 ведомств.'!N1111</f>
        <v>0.5</v>
      </c>
      <c r="M90" s="7">
        <f t="shared" si="47"/>
        <v>100</v>
      </c>
    </row>
    <row r="91" spans="1:15" ht="47.25" hidden="1" x14ac:dyDescent="0.25">
      <c r="A91" s="35" t="s">
        <v>242</v>
      </c>
      <c r="B91" s="42" t="s">
        <v>169</v>
      </c>
      <c r="C91" s="42" t="s">
        <v>191</v>
      </c>
      <c r="D91" s="42" t="s">
        <v>763</v>
      </c>
      <c r="E91" s="42"/>
      <c r="F91" s="7">
        <f>F92</f>
        <v>0.5</v>
      </c>
      <c r="G91" s="7">
        <f t="shared" ref="G91:L92" si="56">G92</f>
        <v>0.5</v>
      </c>
      <c r="H91" s="7">
        <f t="shared" si="56"/>
        <v>0.5</v>
      </c>
      <c r="I91" s="7">
        <f t="shared" si="56"/>
        <v>0.5</v>
      </c>
      <c r="J91" s="7">
        <f t="shared" si="56"/>
        <v>0.5</v>
      </c>
      <c r="K91" s="7">
        <f t="shared" si="56"/>
        <v>0</v>
      </c>
      <c r="L91" s="7">
        <f t="shared" si="56"/>
        <v>0</v>
      </c>
      <c r="M91" s="7" t="e">
        <f t="shared" si="47"/>
        <v>#DIV/0!</v>
      </c>
    </row>
    <row r="92" spans="1:15" ht="31.5" hidden="1" x14ac:dyDescent="0.25">
      <c r="A92" s="26" t="s">
        <v>182</v>
      </c>
      <c r="B92" s="42" t="s">
        <v>169</v>
      </c>
      <c r="C92" s="42" t="s">
        <v>191</v>
      </c>
      <c r="D92" s="42" t="s">
        <v>763</v>
      </c>
      <c r="E92" s="42" t="s">
        <v>183</v>
      </c>
      <c r="F92" s="7">
        <f>F93</f>
        <v>0.5</v>
      </c>
      <c r="G92" s="7">
        <f t="shared" si="56"/>
        <v>0.5</v>
      </c>
      <c r="H92" s="7">
        <f t="shared" si="56"/>
        <v>0.5</v>
      </c>
      <c r="I92" s="7">
        <f t="shared" si="56"/>
        <v>0.5</v>
      </c>
      <c r="J92" s="7">
        <f t="shared" si="56"/>
        <v>0.5</v>
      </c>
      <c r="K92" s="7">
        <f t="shared" si="56"/>
        <v>0</v>
      </c>
      <c r="L92" s="7">
        <f t="shared" si="56"/>
        <v>0</v>
      </c>
      <c r="M92" s="7" t="e">
        <f t="shared" si="47"/>
        <v>#DIV/0!</v>
      </c>
    </row>
    <row r="93" spans="1:15" ht="47.25" hidden="1" x14ac:dyDescent="0.25">
      <c r="A93" s="26" t="s">
        <v>184</v>
      </c>
      <c r="B93" s="42" t="s">
        <v>169</v>
      </c>
      <c r="C93" s="42" t="s">
        <v>191</v>
      </c>
      <c r="D93" s="42" t="s">
        <v>763</v>
      </c>
      <c r="E93" s="42" t="s">
        <v>185</v>
      </c>
      <c r="F93" s="7">
        <f>'Прил.№4 ведомств.'!G78</f>
        <v>0.5</v>
      </c>
      <c r="G93" s="7">
        <f>'Прил.№4 ведомств.'!I78</f>
        <v>0.5</v>
      </c>
      <c r="H93" s="7">
        <f>'Прил.№4 ведомств.'!J78</f>
        <v>0.5</v>
      </c>
      <c r="I93" s="7">
        <f>'Прил.№4 ведомств.'!K78</f>
        <v>0.5</v>
      </c>
      <c r="J93" s="7">
        <f>'Прил.№4 ведомств.'!L78</f>
        <v>0.5</v>
      </c>
      <c r="K93" s="7">
        <f>'Прил.№4 ведомств.'!M78</f>
        <v>0</v>
      </c>
      <c r="L93" s="7">
        <f>'Прил.№4 ведомств.'!N78</f>
        <v>0</v>
      </c>
      <c r="M93" s="7" t="e">
        <f t="shared" si="47"/>
        <v>#DIV/0!</v>
      </c>
    </row>
    <row r="94" spans="1:15" ht="93.75" customHeight="1" x14ac:dyDescent="0.25">
      <c r="A94" s="31" t="s">
        <v>652</v>
      </c>
      <c r="B94" s="10" t="s">
        <v>169</v>
      </c>
      <c r="C94" s="10" t="s">
        <v>191</v>
      </c>
      <c r="D94" s="6" t="s">
        <v>219</v>
      </c>
      <c r="E94" s="10"/>
      <c r="F94" s="11">
        <f>F99+F95+F103</f>
        <v>80</v>
      </c>
      <c r="G94" s="11">
        <f t="shared" ref="G94:K94" si="57">G99+G95+G103</f>
        <v>80</v>
      </c>
      <c r="H94" s="11">
        <f t="shared" si="57"/>
        <v>120</v>
      </c>
      <c r="I94" s="11">
        <f t="shared" si="57"/>
        <v>120</v>
      </c>
      <c r="J94" s="11">
        <f t="shared" si="57"/>
        <v>120</v>
      </c>
      <c r="K94" s="11">
        <f t="shared" si="57"/>
        <v>120</v>
      </c>
      <c r="L94" s="11">
        <f t="shared" ref="L94" si="58">L99+L95+L103</f>
        <v>25</v>
      </c>
      <c r="M94" s="7">
        <f t="shared" si="47"/>
        <v>20.833333333333336</v>
      </c>
    </row>
    <row r="95" spans="1:15" ht="78.75" x14ac:dyDescent="0.25">
      <c r="A95" s="31" t="s">
        <v>220</v>
      </c>
      <c r="B95" s="10" t="s">
        <v>169</v>
      </c>
      <c r="C95" s="10" t="s">
        <v>191</v>
      </c>
      <c r="D95" s="32" t="s">
        <v>221</v>
      </c>
      <c r="E95" s="10"/>
      <c r="F95" s="11">
        <f>F96</f>
        <v>15</v>
      </c>
      <c r="G95" s="11">
        <f t="shared" ref="G95:L97" si="59">G96</f>
        <v>15</v>
      </c>
      <c r="H95" s="11">
        <f t="shared" si="59"/>
        <v>25</v>
      </c>
      <c r="I95" s="11">
        <f t="shared" si="59"/>
        <v>25</v>
      </c>
      <c r="J95" s="11">
        <f t="shared" si="59"/>
        <v>25</v>
      </c>
      <c r="K95" s="11">
        <f t="shared" si="59"/>
        <v>25</v>
      </c>
      <c r="L95" s="11">
        <f t="shared" si="59"/>
        <v>25</v>
      </c>
      <c r="M95" s="7">
        <f t="shared" si="47"/>
        <v>100</v>
      </c>
    </row>
    <row r="96" spans="1:15" ht="31.5" x14ac:dyDescent="0.25">
      <c r="A96" s="123" t="s">
        <v>222</v>
      </c>
      <c r="B96" s="10" t="s">
        <v>169</v>
      </c>
      <c r="C96" s="10" t="s">
        <v>191</v>
      </c>
      <c r="D96" s="6" t="s">
        <v>223</v>
      </c>
      <c r="E96" s="10"/>
      <c r="F96" s="11">
        <f>F97</f>
        <v>15</v>
      </c>
      <c r="G96" s="11">
        <f t="shared" si="59"/>
        <v>15</v>
      </c>
      <c r="H96" s="11">
        <f t="shared" si="59"/>
        <v>25</v>
      </c>
      <c r="I96" s="11">
        <f t="shared" si="59"/>
        <v>25</v>
      </c>
      <c r="J96" s="11">
        <f t="shared" si="59"/>
        <v>25</v>
      </c>
      <c r="K96" s="11">
        <f t="shared" si="59"/>
        <v>25</v>
      </c>
      <c r="L96" s="11">
        <f t="shared" si="59"/>
        <v>25</v>
      </c>
      <c r="M96" s="7">
        <f t="shared" si="47"/>
        <v>100</v>
      </c>
    </row>
    <row r="97" spans="1:13" ht="31.5" x14ac:dyDescent="0.25">
      <c r="A97" s="26" t="s">
        <v>182</v>
      </c>
      <c r="B97" s="10" t="s">
        <v>169</v>
      </c>
      <c r="C97" s="10" t="s">
        <v>191</v>
      </c>
      <c r="D97" s="6" t="s">
        <v>223</v>
      </c>
      <c r="E97" s="10" t="s">
        <v>183</v>
      </c>
      <c r="F97" s="11">
        <f>F98</f>
        <v>15</v>
      </c>
      <c r="G97" s="11">
        <f t="shared" si="59"/>
        <v>15</v>
      </c>
      <c r="H97" s="11">
        <f t="shared" si="59"/>
        <v>25</v>
      </c>
      <c r="I97" s="11">
        <f t="shared" si="59"/>
        <v>25</v>
      </c>
      <c r="J97" s="11">
        <f t="shared" si="59"/>
        <v>25</v>
      </c>
      <c r="K97" s="11">
        <f t="shared" si="59"/>
        <v>25</v>
      </c>
      <c r="L97" s="11">
        <f t="shared" si="59"/>
        <v>25</v>
      </c>
      <c r="M97" s="7">
        <f t="shared" si="47"/>
        <v>100</v>
      </c>
    </row>
    <row r="98" spans="1:13" ht="47.25" x14ac:dyDescent="0.25">
      <c r="A98" s="26" t="s">
        <v>184</v>
      </c>
      <c r="B98" s="10" t="s">
        <v>169</v>
      </c>
      <c r="C98" s="10" t="s">
        <v>191</v>
      </c>
      <c r="D98" s="6" t="s">
        <v>223</v>
      </c>
      <c r="E98" s="10" t="s">
        <v>185</v>
      </c>
      <c r="F98" s="11">
        <f>'Прил.№4 ведомств.'!G83</f>
        <v>15</v>
      </c>
      <c r="G98" s="11">
        <f>'Прил.№4 ведомств.'!I83</f>
        <v>15</v>
      </c>
      <c r="H98" s="11">
        <f>'Прил.№4 ведомств.'!J83</f>
        <v>25</v>
      </c>
      <c r="I98" s="11">
        <f>'Прил.№4 ведомств.'!K83</f>
        <v>25</v>
      </c>
      <c r="J98" s="11">
        <f>'Прил.№4 ведомств.'!L83</f>
        <v>25</v>
      </c>
      <c r="K98" s="11">
        <f>'Прил.№4 ведомств.'!M249</f>
        <v>25</v>
      </c>
      <c r="L98" s="11">
        <f>'Прил.№4 ведомств.'!N249</f>
        <v>25</v>
      </c>
      <c r="M98" s="7">
        <f t="shared" si="47"/>
        <v>100</v>
      </c>
    </row>
    <row r="99" spans="1:13" ht="63" x14ac:dyDescent="0.25">
      <c r="A99" s="31" t="s">
        <v>224</v>
      </c>
      <c r="B99" s="10" t="s">
        <v>169</v>
      </c>
      <c r="C99" s="10" t="s">
        <v>191</v>
      </c>
      <c r="D99" s="32" t="s">
        <v>225</v>
      </c>
      <c r="E99" s="10"/>
      <c r="F99" s="11">
        <f>F100</f>
        <v>50</v>
      </c>
      <c r="G99" s="11">
        <f t="shared" ref="G99:L101" si="60">G100</f>
        <v>50</v>
      </c>
      <c r="H99" s="11">
        <f t="shared" si="60"/>
        <v>70</v>
      </c>
      <c r="I99" s="11">
        <f t="shared" si="60"/>
        <v>70</v>
      </c>
      <c r="J99" s="11">
        <f t="shared" si="60"/>
        <v>70</v>
      </c>
      <c r="K99" s="11">
        <f t="shared" si="60"/>
        <v>70</v>
      </c>
      <c r="L99" s="11">
        <f t="shared" si="60"/>
        <v>0</v>
      </c>
      <c r="M99" s="7">
        <f t="shared" si="47"/>
        <v>0</v>
      </c>
    </row>
    <row r="100" spans="1:13" ht="15.75" x14ac:dyDescent="0.25">
      <c r="A100" s="47" t="s">
        <v>226</v>
      </c>
      <c r="B100" s="10" t="s">
        <v>169</v>
      </c>
      <c r="C100" s="10" t="s">
        <v>191</v>
      </c>
      <c r="D100" s="6" t="s">
        <v>227</v>
      </c>
      <c r="E100" s="10"/>
      <c r="F100" s="11">
        <f>F101</f>
        <v>50</v>
      </c>
      <c r="G100" s="11">
        <f t="shared" si="60"/>
        <v>50</v>
      </c>
      <c r="H100" s="11">
        <f t="shared" si="60"/>
        <v>70</v>
      </c>
      <c r="I100" s="11">
        <f t="shared" si="60"/>
        <v>70</v>
      </c>
      <c r="J100" s="11">
        <f t="shared" si="60"/>
        <v>70</v>
      </c>
      <c r="K100" s="11">
        <f t="shared" si="60"/>
        <v>70</v>
      </c>
      <c r="L100" s="11">
        <f t="shared" si="60"/>
        <v>0</v>
      </c>
      <c r="M100" s="7">
        <f t="shared" si="47"/>
        <v>0</v>
      </c>
    </row>
    <row r="101" spans="1:13" ht="31.5" x14ac:dyDescent="0.25">
      <c r="A101" s="26" t="s">
        <v>182</v>
      </c>
      <c r="B101" s="10" t="s">
        <v>169</v>
      </c>
      <c r="C101" s="10" t="s">
        <v>191</v>
      </c>
      <c r="D101" s="6" t="s">
        <v>227</v>
      </c>
      <c r="E101" s="10" t="s">
        <v>183</v>
      </c>
      <c r="F101" s="11">
        <f>F102</f>
        <v>50</v>
      </c>
      <c r="G101" s="11">
        <f t="shared" si="60"/>
        <v>50</v>
      </c>
      <c r="H101" s="11">
        <f t="shared" si="60"/>
        <v>70</v>
      </c>
      <c r="I101" s="11">
        <f t="shared" si="60"/>
        <v>70</v>
      </c>
      <c r="J101" s="11">
        <f t="shared" si="60"/>
        <v>70</v>
      </c>
      <c r="K101" s="11">
        <f t="shared" si="60"/>
        <v>70</v>
      </c>
      <c r="L101" s="11">
        <f t="shared" si="60"/>
        <v>0</v>
      </c>
      <c r="M101" s="7">
        <f t="shared" si="47"/>
        <v>0</v>
      </c>
    </row>
    <row r="102" spans="1:13" ht="47.25" x14ac:dyDescent="0.25">
      <c r="A102" s="26" t="s">
        <v>184</v>
      </c>
      <c r="B102" s="10" t="s">
        <v>169</v>
      </c>
      <c r="C102" s="10" t="s">
        <v>191</v>
      </c>
      <c r="D102" s="6" t="s">
        <v>227</v>
      </c>
      <c r="E102" s="10" t="s">
        <v>185</v>
      </c>
      <c r="F102" s="11">
        <f>'Прил.№4 ведомств.'!G87</f>
        <v>50</v>
      </c>
      <c r="G102" s="11">
        <f>'Прил.№4 ведомств.'!I87</f>
        <v>50</v>
      </c>
      <c r="H102" s="11">
        <f>'Прил.№4 ведомств.'!J87</f>
        <v>70</v>
      </c>
      <c r="I102" s="11">
        <f>'Прил.№4 ведомств.'!K87</f>
        <v>70</v>
      </c>
      <c r="J102" s="11">
        <f>'Прил.№4 ведомств.'!L87</f>
        <v>70</v>
      </c>
      <c r="K102" s="11">
        <f>'Прил.№4 ведомств.'!M87</f>
        <v>70</v>
      </c>
      <c r="L102" s="11">
        <f>'Прил.№4 ведомств.'!N87</f>
        <v>0</v>
      </c>
      <c r="M102" s="7">
        <f t="shared" si="47"/>
        <v>0</v>
      </c>
    </row>
    <row r="103" spans="1:13" ht="47.25" x14ac:dyDescent="0.25">
      <c r="A103" s="26" t="s">
        <v>228</v>
      </c>
      <c r="B103" s="10" t="s">
        <v>169</v>
      </c>
      <c r="C103" s="10" t="s">
        <v>191</v>
      </c>
      <c r="D103" s="6" t="s">
        <v>229</v>
      </c>
      <c r="E103" s="10"/>
      <c r="F103" s="11">
        <f>F104</f>
        <v>15</v>
      </c>
      <c r="G103" s="11">
        <f t="shared" ref="G103:L105" si="61">G104</f>
        <v>15</v>
      </c>
      <c r="H103" s="11">
        <f t="shared" si="61"/>
        <v>25</v>
      </c>
      <c r="I103" s="11">
        <f t="shared" si="61"/>
        <v>25</v>
      </c>
      <c r="J103" s="11">
        <f t="shared" si="61"/>
        <v>25</v>
      </c>
      <c r="K103" s="11">
        <f t="shared" si="61"/>
        <v>25</v>
      </c>
      <c r="L103" s="11">
        <f t="shared" si="61"/>
        <v>0</v>
      </c>
      <c r="M103" s="7">
        <f t="shared" si="47"/>
        <v>0</v>
      </c>
    </row>
    <row r="104" spans="1:13" ht="15.75" x14ac:dyDescent="0.25">
      <c r="A104" s="47" t="s">
        <v>230</v>
      </c>
      <c r="B104" s="10" t="s">
        <v>169</v>
      </c>
      <c r="C104" s="10" t="s">
        <v>191</v>
      </c>
      <c r="D104" s="6" t="s">
        <v>231</v>
      </c>
      <c r="E104" s="10"/>
      <c r="F104" s="11">
        <f>F105</f>
        <v>15</v>
      </c>
      <c r="G104" s="11">
        <f t="shared" si="61"/>
        <v>15</v>
      </c>
      <c r="H104" s="11">
        <f t="shared" si="61"/>
        <v>25</v>
      </c>
      <c r="I104" s="11">
        <f t="shared" si="61"/>
        <v>25</v>
      </c>
      <c r="J104" s="11">
        <f t="shared" si="61"/>
        <v>25</v>
      </c>
      <c r="K104" s="11">
        <f t="shared" si="61"/>
        <v>25</v>
      </c>
      <c r="L104" s="11">
        <f t="shared" si="61"/>
        <v>0</v>
      </c>
      <c r="M104" s="7">
        <f t="shared" si="47"/>
        <v>0</v>
      </c>
    </row>
    <row r="105" spans="1:13" ht="31.5" x14ac:dyDescent="0.25">
      <c r="A105" s="26" t="s">
        <v>182</v>
      </c>
      <c r="B105" s="10" t="s">
        <v>169</v>
      </c>
      <c r="C105" s="10" t="s">
        <v>191</v>
      </c>
      <c r="D105" s="6" t="s">
        <v>231</v>
      </c>
      <c r="E105" s="10" t="s">
        <v>183</v>
      </c>
      <c r="F105" s="11">
        <f>F106</f>
        <v>15</v>
      </c>
      <c r="G105" s="11">
        <f t="shared" si="61"/>
        <v>15</v>
      </c>
      <c r="H105" s="11">
        <f t="shared" si="61"/>
        <v>25</v>
      </c>
      <c r="I105" s="11">
        <f t="shared" si="61"/>
        <v>25</v>
      </c>
      <c r="J105" s="11">
        <f t="shared" si="61"/>
        <v>25</v>
      </c>
      <c r="K105" s="11">
        <f t="shared" si="61"/>
        <v>25</v>
      </c>
      <c r="L105" s="11">
        <f t="shared" si="61"/>
        <v>0</v>
      </c>
      <c r="M105" s="7">
        <f t="shared" si="47"/>
        <v>0</v>
      </c>
    </row>
    <row r="106" spans="1:13" ht="47.25" x14ac:dyDescent="0.25">
      <c r="A106" s="26" t="s">
        <v>184</v>
      </c>
      <c r="B106" s="10" t="s">
        <v>169</v>
      </c>
      <c r="C106" s="10" t="s">
        <v>191</v>
      </c>
      <c r="D106" s="6" t="s">
        <v>231</v>
      </c>
      <c r="E106" s="10" t="s">
        <v>185</v>
      </c>
      <c r="F106" s="11">
        <f>'Прил.№4 ведомств.'!G91</f>
        <v>15</v>
      </c>
      <c r="G106" s="11">
        <f>'Прил.№4 ведомств.'!I91</f>
        <v>15</v>
      </c>
      <c r="H106" s="11">
        <f>'Прил.№4 ведомств.'!J91</f>
        <v>25</v>
      </c>
      <c r="I106" s="11">
        <f>'Прил.№4 ведомств.'!K91</f>
        <v>25</v>
      </c>
      <c r="J106" s="11">
        <f>'Прил.№4 ведомств.'!L91</f>
        <v>25</v>
      </c>
      <c r="K106" s="11">
        <f>'Прил.№4 ведомств.'!M91</f>
        <v>25</v>
      </c>
      <c r="L106" s="11">
        <f>'Прил.№4 ведомств.'!N91</f>
        <v>0</v>
      </c>
      <c r="M106" s="7">
        <f t="shared" si="47"/>
        <v>0</v>
      </c>
    </row>
    <row r="107" spans="1:13" ht="47.25" hidden="1" x14ac:dyDescent="0.25">
      <c r="A107" s="33" t="s">
        <v>232</v>
      </c>
      <c r="B107" s="10" t="s">
        <v>169</v>
      </c>
      <c r="C107" s="10" t="s">
        <v>191</v>
      </c>
      <c r="D107" s="32" t="s">
        <v>233</v>
      </c>
      <c r="E107" s="34"/>
      <c r="F107" s="11">
        <f>F108</f>
        <v>120</v>
      </c>
      <c r="G107" s="11">
        <f t="shared" ref="G107:L109" si="62">G108</f>
        <v>120</v>
      </c>
      <c r="H107" s="11">
        <f t="shared" si="62"/>
        <v>0</v>
      </c>
      <c r="I107" s="11">
        <f t="shared" si="62"/>
        <v>0</v>
      </c>
      <c r="J107" s="11">
        <f t="shared" si="62"/>
        <v>0</v>
      </c>
      <c r="K107" s="11">
        <f t="shared" si="62"/>
        <v>0</v>
      </c>
      <c r="L107" s="11">
        <f t="shared" si="62"/>
        <v>0</v>
      </c>
      <c r="M107" s="7" t="e">
        <f t="shared" si="47"/>
        <v>#DIV/0!</v>
      </c>
    </row>
    <row r="108" spans="1:13" ht="31.5" hidden="1" x14ac:dyDescent="0.25">
      <c r="A108" s="26" t="s">
        <v>208</v>
      </c>
      <c r="B108" s="10" t="s">
        <v>169</v>
      </c>
      <c r="C108" s="10" t="s">
        <v>191</v>
      </c>
      <c r="D108" s="21" t="s">
        <v>234</v>
      </c>
      <c r="E108" s="34"/>
      <c r="F108" s="11">
        <f>F109</f>
        <v>120</v>
      </c>
      <c r="G108" s="11">
        <f t="shared" si="62"/>
        <v>120</v>
      </c>
      <c r="H108" s="11">
        <f t="shared" si="62"/>
        <v>0</v>
      </c>
      <c r="I108" s="11">
        <f t="shared" si="62"/>
        <v>0</v>
      </c>
      <c r="J108" s="11">
        <f t="shared" si="62"/>
        <v>0</v>
      </c>
      <c r="K108" s="11">
        <f t="shared" si="62"/>
        <v>0</v>
      </c>
      <c r="L108" s="11">
        <f t="shared" si="62"/>
        <v>0</v>
      </c>
      <c r="M108" s="7" t="e">
        <f t="shared" si="47"/>
        <v>#DIV/0!</v>
      </c>
    </row>
    <row r="109" spans="1:13" ht="15.75" hidden="1" x14ac:dyDescent="0.25">
      <c r="A109" s="31" t="s">
        <v>186</v>
      </c>
      <c r="B109" s="10" t="s">
        <v>169</v>
      </c>
      <c r="C109" s="10" t="s">
        <v>191</v>
      </c>
      <c r="D109" s="21" t="s">
        <v>234</v>
      </c>
      <c r="E109" s="34" t="s">
        <v>196</v>
      </c>
      <c r="F109" s="11">
        <f>F110</f>
        <v>120</v>
      </c>
      <c r="G109" s="11">
        <f t="shared" si="62"/>
        <v>120</v>
      </c>
      <c r="H109" s="11">
        <f t="shared" si="62"/>
        <v>0</v>
      </c>
      <c r="I109" s="11">
        <f t="shared" si="62"/>
        <v>0</v>
      </c>
      <c r="J109" s="11">
        <f t="shared" si="62"/>
        <v>0</v>
      </c>
      <c r="K109" s="11">
        <f t="shared" si="62"/>
        <v>0</v>
      </c>
      <c r="L109" s="11">
        <f t="shared" si="62"/>
        <v>0</v>
      </c>
      <c r="M109" s="7" t="e">
        <f t="shared" si="47"/>
        <v>#DIV/0!</v>
      </c>
    </row>
    <row r="110" spans="1:13" ht="47.25" hidden="1" x14ac:dyDescent="0.25">
      <c r="A110" s="31" t="s">
        <v>235</v>
      </c>
      <c r="B110" s="10" t="s">
        <v>169</v>
      </c>
      <c r="C110" s="10" t="s">
        <v>191</v>
      </c>
      <c r="D110" s="21" t="s">
        <v>234</v>
      </c>
      <c r="E110" s="34" t="s">
        <v>211</v>
      </c>
      <c r="F110" s="11">
        <f>'Прил.№4 ведомств.'!G95</f>
        <v>120</v>
      </c>
      <c r="G110" s="11">
        <f>'Прил.№4 ведомств.'!I95</f>
        <v>120</v>
      </c>
      <c r="H110" s="11">
        <f>'Прил.№4 ведомств.'!J95</f>
        <v>0</v>
      </c>
      <c r="I110" s="11">
        <f>'Прил.№4 ведомств.'!K95</f>
        <v>0</v>
      </c>
      <c r="J110" s="11">
        <f>'Прил.№4 ведомств.'!L95</f>
        <v>0</v>
      </c>
      <c r="K110" s="11">
        <f>'Прил.№4 ведомств.'!M95</f>
        <v>0</v>
      </c>
      <c r="L110" s="11">
        <f>'Прил.№4 ведомств.'!N95</f>
        <v>0</v>
      </c>
      <c r="M110" s="7" t="e">
        <f t="shared" si="47"/>
        <v>#DIV/0!</v>
      </c>
    </row>
    <row r="111" spans="1:13" ht="47.25" x14ac:dyDescent="0.25">
      <c r="A111" s="26" t="s">
        <v>385</v>
      </c>
      <c r="B111" s="21" t="s">
        <v>169</v>
      </c>
      <c r="C111" s="21" t="s">
        <v>191</v>
      </c>
      <c r="D111" s="21" t="s">
        <v>386</v>
      </c>
      <c r="E111" s="21"/>
      <c r="F111" s="11">
        <f t="shared" ref="F111:G111" si="63">F112+F115+F118+F121+F124</f>
        <v>0</v>
      </c>
      <c r="G111" s="11">
        <f t="shared" si="63"/>
        <v>0</v>
      </c>
      <c r="H111" s="11">
        <f>H112+H115+H118+H121+H124</f>
        <v>155</v>
      </c>
      <c r="I111" s="11">
        <f t="shared" ref="I111:K111" si="64">I112+I115+I118+I121+I124</f>
        <v>155</v>
      </c>
      <c r="J111" s="11">
        <f t="shared" si="64"/>
        <v>155</v>
      </c>
      <c r="K111" s="11">
        <f t="shared" si="64"/>
        <v>155</v>
      </c>
      <c r="L111" s="11">
        <f t="shared" ref="L111" si="65">L112+L115+L118+L121+L124</f>
        <v>0</v>
      </c>
      <c r="M111" s="7">
        <f t="shared" si="47"/>
        <v>0</v>
      </c>
    </row>
    <row r="112" spans="1:13" ht="47.25" x14ac:dyDescent="0.25">
      <c r="A112" s="123" t="s">
        <v>919</v>
      </c>
      <c r="B112" s="21" t="s">
        <v>169</v>
      </c>
      <c r="C112" s="21" t="s">
        <v>191</v>
      </c>
      <c r="D112" s="21" t="s">
        <v>388</v>
      </c>
      <c r="E112" s="21"/>
      <c r="F112" s="11">
        <f t="shared" ref="F112:H113" si="66">F113</f>
        <v>0</v>
      </c>
      <c r="G112" s="11">
        <f t="shared" si="66"/>
        <v>0</v>
      </c>
      <c r="H112" s="11">
        <f t="shared" si="66"/>
        <v>100</v>
      </c>
      <c r="I112" s="11">
        <f t="shared" ref="I112:L113" si="67">I113</f>
        <v>100</v>
      </c>
      <c r="J112" s="11">
        <f t="shared" si="67"/>
        <v>100</v>
      </c>
      <c r="K112" s="11">
        <f t="shared" si="67"/>
        <v>100</v>
      </c>
      <c r="L112" s="11">
        <f t="shared" si="67"/>
        <v>0</v>
      </c>
      <c r="M112" s="7">
        <f t="shared" si="47"/>
        <v>0</v>
      </c>
    </row>
    <row r="113" spans="1:13" ht="31.5" x14ac:dyDescent="0.25">
      <c r="A113" s="26" t="s">
        <v>182</v>
      </c>
      <c r="B113" s="21" t="s">
        <v>169</v>
      </c>
      <c r="C113" s="21" t="s">
        <v>191</v>
      </c>
      <c r="D113" s="21" t="s">
        <v>388</v>
      </c>
      <c r="E113" s="21" t="s">
        <v>183</v>
      </c>
      <c r="F113" s="11">
        <f t="shared" si="66"/>
        <v>0</v>
      </c>
      <c r="G113" s="11">
        <f t="shared" si="66"/>
        <v>0</v>
      </c>
      <c r="H113" s="11">
        <f t="shared" si="66"/>
        <v>100</v>
      </c>
      <c r="I113" s="11">
        <f t="shared" si="67"/>
        <v>100</v>
      </c>
      <c r="J113" s="11">
        <f t="shared" si="67"/>
        <v>100</v>
      </c>
      <c r="K113" s="11">
        <f t="shared" si="67"/>
        <v>100</v>
      </c>
      <c r="L113" s="11">
        <f t="shared" si="67"/>
        <v>0</v>
      </c>
      <c r="M113" s="7">
        <f t="shared" si="47"/>
        <v>0</v>
      </c>
    </row>
    <row r="114" spans="1:13" ht="47.25" x14ac:dyDescent="0.25">
      <c r="A114" s="26" t="s">
        <v>184</v>
      </c>
      <c r="B114" s="21" t="s">
        <v>169</v>
      </c>
      <c r="C114" s="21" t="s">
        <v>191</v>
      </c>
      <c r="D114" s="21" t="s">
        <v>388</v>
      </c>
      <c r="E114" s="21" t="s">
        <v>185</v>
      </c>
      <c r="F114" s="11">
        <v>0</v>
      </c>
      <c r="G114" s="11">
        <v>0</v>
      </c>
      <c r="H114" s="11">
        <f>'Прил.№4 ведомств.'!J583+'Прил.№4 ведомств.'!J253</f>
        <v>100</v>
      </c>
      <c r="I114" s="11">
        <f>'Прил.№4 ведомств.'!K583+'Прил.№4 ведомств.'!K253</f>
        <v>100</v>
      </c>
      <c r="J114" s="11">
        <f>'Прил.№4 ведомств.'!L583+'Прил.№4 ведомств.'!L253</f>
        <v>100</v>
      </c>
      <c r="K114" s="11">
        <f>'Прил.№4 ведомств.'!M583+'Прил.№4 ведомств.'!M253</f>
        <v>100</v>
      </c>
      <c r="L114" s="11">
        <f>'Прил.№4 ведомств.'!N583+'Прил.№4 ведомств.'!N253</f>
        <v>0</v>
      </c>
      <c r="M114" s="7">
        <f t="shared" si="47"/>
        <v>0</v>
      </c>
    </row>
    <row r="115" spans="1:13" ht="31.5" x14ac:dyDescent="0.25">
      <c r="A115" s="26" t="s">
        <v>389</v>
      </c>
      <c r="B115" s="21" t="s">
        <v>169</v>
      </c>
      <c r="C115" s="21" t="s">
        <v>191</v>
      </c>
      <c r="D115" s="21" t="s">
        <v>390</v>
      </c>
      <c r="E115" s="21"/>
      <c r="F115" s="11">
        <f t="shared" ref="F115:H116" si="68">F116</f>
        <v>0</v>
      </c>
      <c r="G115" s="11">
        <f t="shared" si="68"/>
        <v>0</v>
      </c>
      <c r="H115" s="11">
        <f t="shared" si="68"/>
        <v>20</v>
      </c>
      <c r="I115" s="11">
        <f t="shared" ref="I115:L116" si="69">I116</f>
        <v>20</v>
      </c>
      <c r="J115" s="11">
        <f t="shared" si="69"/>
        <v>20</v>
      </c>
      <c r="K115" s="11">
        <f t="shared" si="69"/>
        <v>20</v>
      </c>
      <c r="L115" s="11">
        <f t="shared" si="69"/>
        <v>0</v>
      </c>
      <c r="M115" s="7">
        <f t="shared" si="47"/>
        <v>0</v>
      </c>
    </row>
    <row r="116" spans="1:13" ht="31.5" x14ac:dyDescent="0.25">
      <c r="A116" s="26" t="s">
        <v>182</v>
      </c>
      <c r="B116" s="21" t="s">
        <v>169</v>
      </c>
      <c r="C116" s="21" t="s">
        <v>191</v>
      </c>
      <c r="D116" s="21" t="s">
        <v>390</v>
      </c>
      <c r="E116" s="21" t="s">
        <v>183</v>
      </c>
      <c r="F116" s="11">
        <f t="shared" si="68"/>
        <v>0</v>
      </c>
      <c r="G116" s="11">
        <f t="shared" si="68"/>
        <v>0</v>
      </c>
      <c r="H116" s="11">
        <f t="shared" si="68"/>
        <v>20</v>
      </c>
      <c r="I116" s="11">
        <f t="shared" si="69"/>
        <v>20</v>
      </c>
      <c r="J116" s="11">
        <f t="shared" si="69"/>
        <v>20</v>
      </c>
      <c r="K116" s="11">
        <f t="shared" si="69"/>
        <v>20</v>
      </c>
      <c r="L116" s="11">
        <f t="shared" si="69"/>
        <v>0</v>
      </c>
      <c r="M116" s="7">
        <f t="shared" si="47"/>
        <v>0</v>
      </c>
    </row>
    <row r="117" spans="1:13" ht="47.25" x14ac:dyDescent="0.25">
      <c r="A117" s="26" t="s">
        <v>184</v>
      </c>
      <c r="B117" s="21" t="s">
        <v>169</v>
      </c>
      <c r="C117" s="21" t="s">
        <v>191</v>
      </c>
      <c r="D117" s="21" t="s">
        <v>390</v>
      </c>
      <c r="E117" s="21" t="s">
        <v>185</v>
      </c>
      <c r="F117" s="11">
        <v>0</v>
      </c>
      <c r="G117" s="11">
        <v>0</v>
      </c>
      <c r="H117" s="11">
        <f>'Прил.№4 ведомств.'!J256</f>
        <v>20</v>
      </c>
      <c r="I117" s="11">
        <f>'Прил.№4 ведомств.'!K256</f>
        <v>20</v>
      </c>
      <c r="J117" s="11">
        <f>'Прил.№4 ведомств.'!L256</f>
        <v>20</v>
      </c>
      <c r="K117" s="11">
        <f>'Прил.№4 ведомств.'!M256</f>
        <v>20</v>
      </c>
      <c r="L117" s="11">
        <f>'Прил.№4 ведомств.'!N256</f>
        <v>0</v>
      </c>
      <c r="M117" s="7">
        <f t="shared" si="47"/>
        <v>0</v>
      </c>
    </row>
    <row r="118" spans="1:13" ht="47.25" x14ac:dyDescent="0.25">
      <c r="A118" s="33" t="s">
        <v>920</v>
      </c>
      <c r="B118" s="21" t="s">
        <v>169</v>
      </c>
      <c r="C118" s="21" t="s">
        <v>191</v>
      </c>
      <c r="D118" s="21" t="s">
        <v>917</v>
      </c>
      <c r="E118" s="21"/>
      <c r="F118" s="11">
        <f t="shared" ref="F118:H119" si="70">F119</f>
        <v>0</v>
      </c>
      <c r="G118" s="11">
        <f t="shared" si="70"/>
        <v>0</v>
      </c>
      <c r="H118" s="11">
        <f t="shared" si="70"/>
        <v>5</v>
      </c>
      <c r="I118" s="11">
        <f t="shared" ref="I118:L119" si="71">I119</f>
        <v>5</v>
      </c>
      <c r="J118" s="11">
        <f t="shared" si="71"/>
        <v>5</v>
      </c>
      <c r="K118" s="11">
        <f t="shared" si="71"/>
        <v>5</v>
      </c>
      <c r="L118" s="11">
        <f t="shared" si="71"/>
        <v>0</v>
      </c>
      <c r="M118" s="7">
        <f t="shared" si="47"/>
        <v>0</v>
      </c>
    </row>
    <row r="119" spans="1:13" ht="31.5" x14ac:dyDescent="0.25">
      <c r="A119" s="26" t="s">
        <v>182</v>
      </c>
      <c r="B119" s="21" t="s">
        <v>169</v>
      </c>
      <c r="C119" s="21" t="s">
        <v>191</v>
      </c>
      <c r="D119" s="21" t="s">
        <v>917</v>
      </c>
      <c r="E119" s="21" t="s">
        <v>183</v>
      </c>
      <c r="F119" s="11">
        <f t="shared" si="70"/>
        <v>0</v>
      </c>
      <c r="G119" s="11">
        <f t="shared" si="70"/>
        <v>0</v>
      </c>
      <c r="H119" s="11">
        <f t="shared" si="70"/>
        <v>5</v>
      </c>
      <c r="I119" s="11">
        <f t="shared" si="71"/>
        <v>5</v>
      </c>
      <c r="J119" s="11">
        <f t="shared" si="71"/>
        <v>5</v>
      </c>
      <c r="K119" s="11">
        <f t="shared" si="71"/>
        <v>5</v>
      </c>
      <c r="L119" s="11">
        <f t="shared" si="71"/>
        <v>0</v>
      </c>
      <c r="M119" s="7">
        <f t="shared" si="47"/>
        <v>0</v>
      </c>
    </row>
    <row r="120" spans="1:13" ht="47.25" x14ac:dyDescent="0.25">
      <c r="A120" s="26" t="s">
        <v>184</v>
      </c>
      <c r="B120" s="21" t="s">
        <v>169</v>
      </c>
      <c r="C120" s="21" t="s">
        <v>191</v>
      </c>
      <c r="D120" s="21" t="s">
        <v>917</v>
      </c>
      <c r="E120" s="21" t="s">
        <v>185</v>
      </c>
      <c r="F120" s="11">
        <v>0</v>
      </c>
      <c r="G120" s="11">
        <v>0</v>
      </c>
      <c r="H120" s="11">
        <f>'Прил.№4 ведомств.'!J259</f>
        <v>5</v>
      </c>
      <c r="I120" s="11">
        <f>'Прил.№4 ведомств.'!K259</f>
        <v>5</v>
      </c>
      <c r="J120" s="11">
        <f>'Прил.№4 ведомств.'!L259</f>
        <v>5</v>
      </c>
      <c r="K120" s="11">
        <f>'Прил.№4 ведомств.'!M259</f>
        <v>5</v>
      </c>
      <c r="L120" s="11">
        <f>'Прил.№4 ведомств.'!N259</f>
        <v>0</v>
      </c>
      <c r="M120" s="7">
        <f t="shared" si="47"/>
        <v>0</v>
      </c>
    </row>
    <row r="121" spans="1:13" ht="31.5" x14ac:dyDescent="0.25">
      <c r="A121" s="33" t="s">
        <v>924</v>
      </c>
      <c r="B121" s="21" t="s">
        <v>169</v>
      </c>
      <c r="C121" s="21" t="s">
        <v>191</v>
      </c>
      <c r="D121" s="21" t="s">
        <v>923</v>
      </c>
      <c r="E121" s="21"/>
      <c r="F121" s="11">
        <f t="shared" ref="F121:H122" si="72">F122</f>
        <v>0</v>
      </c>
      <c r="G121" s="11">
        <f t="shared" si="72"/>
        <v>0</v>
      </c>
      <c r="H121" s="11">
        <f t="shared" si="72"/>
        <v>10</v>
      </c>
      <c r="I121" s="11">
        <f t="shared" ref="I121:L122" si="73">I122</f>
        <v>10</v>
      </c>
      <c r="J121" s="11">
        <f t="shared" si="73"/>
        <v>10</v>
      </c>
      <c r="K121" s="11">
        <f t="shared" si="73"/>
        <v>10</v>
      </c>
      <c r="L121" s="11">
        <f t="shared" si="73"/>
        <v>0</v>
      </c>
      <c r="M121" s="7">
        <f t="shared" si="47"/>
        <v>0</v>
      </c>
    </row>
    <row r="122" spans="1:13" ht="31.5" x14ac:dyDescent="0.25">
      <c r="A122" s="26" t="s">
        <v>182</v>
      </c>
      <c r="B122" s="21" t="s">
        <v>169</v>
      </c>
      <c r="C122" s="21" t="s">
        <v>191</v>
      </c>
      <c r="D122" s="21" t="s">
        <v>923</v>
      </c>
      <c r="E122" s="21" t="s">
        <v>183</v>
      </c>
      <c r="F122" s="11">
        <f t="shared" si="72"/>
        <v>0</v>
      </c>
      <c r="G122" s="11">
        <f t="shared" si="72"/>
        <v>0</v>
      </c>
      <c r="H122" s="11">
        <f t="shared" si="72"/>
        <v>10</v>
      </c>
      <c r="I122" s="11">
        <f t="shared" si="73"/>
        <v>10</v>
      </c>
      <c r="J122" s="11">
        <f t="shared" si="73"/>
        <v>10</v>
      </c>
      <c r="K122" s="11">
        <f t="shared" si="73"/>
        <v>10</v>
      </c>
      <c r="L122" s="11">
        <f t="shared" si="73"/>
        <v>0</v>
      </c>
      <c r="M122" s="7">
        <f t="shared" si="47"/>
        <v>0</v>
      </c>
    </row>
    <row r="123" spans="1:13" ht="47.25" x14ac:dyDescent="0.25">
      <c r="A123" s="26" t="s">
        <v>184</v>
      </c>
      <c r="B123" s="21" t="s">
        <v>169</v>
      </c>
      <c r="C123" s="21" t="s">
        <v>191</v>
      </c>
      <c r="D123" s="21" t="s">
        <v>923</v>
      </c>
      <c r="E123" s="21" t="s">
        <v>185</v>
      </c>
      <c r="F123" s="11">
        <v>0</v>
      </c>
      <c r="G123" s="11">
        <v>0</v>
      </c>
      <c r="H123" s="11">
        <f>'Прил.№4 ведомств.'!J586</f>
        <v>10</v>
      </c>
      <c r="I123" s="11">
        <f>'Прил.№4 ведомств.'!K586</f>
        <v>10</v>
      </c>
      <c r="J123" s="11">
        <f>'Прил.№4 ведомств.'!L586</f>
        <v>10</v>
      </c>
      <c r="K123" s="11">
        <f>'Прил.№4 ведомств.'!M586</f>
        <v>10</v>
      </c>
      <c r="L123" s="11">
        <f>'Прил.№4 ведомств.'!N586</f>
        <v>0</v>
      </c>
      <c r="M123" s="7">
        <f t="shared" si="47"/>
        <v>0</v>
      </c>
    </row>
    <row r="124" spans="1:13" ht="31.5" x14ac:dyDescent="0.25">
      <c r="A124" s="33" t="s">
        <v>921</v>
      </c>
      <c r="B124" s="21" t="s">
        <v>169</v>
      </c>
      <c r="C124" s="21" t="s">
        <v>191</v>
      </c>
      <c r="D124" s="21" t="s">
        <v>918</v>
      </c>
      <c r="E124" s="21"/>
      <c r="F124" s="11">
        <f t="shared" ref="F124:H125" si="74">F125</f>
        <v>0</v>
      </c>
      <c r="G124" s="11">
        <f t="shared" si="74"/>
        <v>0</v>
      </c>
      <c r="H124" s="11">
        <f t="shared" si="74"/>
        <v>20</v>
      </c>
      <c r="I124" s="11">
        <f t="shared" ref="I124:L125" si="75">I125</f>
        <v>20</v>
      </c>
      <c r="J124" s="11">
        <f t="shared" si="75"/>
        <v>20</v>
      </c>
      <c r="K124" s="11">
        <f t="shared" si="75"/>
        <v>20</v>
      </c>
      <c r="L124" s="11">
        <f t="shared" si="75"/>
        <v>0</v>
      </c>
      <c r="M124" s="7">
        <f t="shared" si="47"/>
        <v>0</v>
      </c>
    </row>
    <row r="125" spans="1:13" ht="31.5" x14ac:dyDescent="0.25">
      <c r="A125" s="26" t="s">
        <v>182</v>
      </c>
      <c r="B125" s="21" t="s">
        <v>169</v>
      </c>
      <c r="C125" s="21" t="s">
        <v>191</v>
      </c>
      <c r="D125" s="21" t="s">
        <v>918</v>
      </c>
      <c r="E125" s="21" t="s">
        <v>183</v>
      </c>
      <c r="F125" s="11">
        <f t="shared" si="74"/>
        <v>0</v>
      </c>
      <c r="G125" s="11">
        <f t="shared" si="74"/>
        <v>0</v>
      </c>
      <c r="H125" s="11">
        <f t="shared" si="74"/>
        <v>20</v>
      </c>
      <c r="I125" s="11">
        <f t="shared" si="75"/>
        <v>20</v>
      </c>
      <c r="J125" s="11">
        <f t="shared" si="75"/>
        <v>20</v>
      </c>
      <c r="K125" s="11">
        <f t="shared" si="75"/>
        <v>20</v>
      </c>
      <c r="L125" s="11">
        <f t="shared" si="75"/>
        <v>0</v>
      </c>
      <c r="M125" s="7">
        <f t="shared" si="47"/>
        <v>0</v>
      </c>
    </row>
    <row r="126" spans="1:13" ht="47.25" x14ac:dyDescent="0.25">
      <c r="A126" s="26" t="s">
        <v>184</v>
      </c>
      <c r="B126" s="21" t="s">
        <v>169</v>
      </c>
      <c r="C126" s="21" t="s">
        <v>191</v>
      </c>
      <c r="D126" s="21" t="s">
        <v>918</v>
      </c>
      <c r="E126" s="21" t="s">
        <v>185</v>
      </c>
      <c r="F126" s="11">
        <v>0</v>
      </c>
      <c r="G126" s="11">
        <v>0</v>
      </c>
      <c r="H126" s="11">
        <f>'Прил.№4 ведомств.'!J265</f>
        <v>20</v>
      </c>
      <c r="I126" s="11">
        <f>'Прил.№4 ведомств.'!K265</f>
        <v>20</v>
      </c>
      <c r="J126" s="11">
        <f>'Прил.№4 ведомств.'!L265</f>
        <v>20</v>
      </c>
      <c r="K126" s="11">
        <f>'Прил.№4 ведомств.'!M265</f>
        <v>20</v>
      </c>
      <c r="L126" s="11">
        <f>'Прил.№4 ведомств.'!N265</f>
        <v>0</v>
      </c>
      <c r="M126" s="7">
        <f t="shared" si="47"/>
        <v>0</v>
      </c>
    </row>
    <row r="127" spans="1:13" ht="63" x14ac:dyDescent="0.25">
      <c r="A127" s="31" t="s">
        <v>798</v>
      </c>
      <c r="B127" s="10" t="s">
        <v>169</v>
      </c>
      <c r="C127" s="10" t="s">
        <v>191</v>
      </c>
      <c r="D127" s="21" t="s">
        <v>799</v>
      </c>
      <c r="E127" s="34"/>
      <c r="F127" s="11">
        <f>F128</f>
        <v>29</v>
      </c>
      <c r="G127" s="11">
        <f t="shared" ref="G127:L129" si="76">G128</f>
        <v>29</v>
      </c>
      <c r="H127" s="11">
        <f t="shared" si="76"/>
        <v>0</v>
      </c>
      <c r="I127" s="11">
        <f t="shared" si="76"/>
        <v>0</v>
      </c>
      <c r="J127" s="11">
        <f t="shared" si="76"/>
        <v>0</v>
      </c>
      <c r="K127" s="11">
        <f>K128+K131+K134+K137</f>
        <v>4285.1000000000004</v>
      </c>
      <c r="L127" s="11">
        <f t="shared" ref="L127" si="77">L128+L131+L134+L137</f>
        <v>3738</v>
      </c>
      <c r="M127" s="7">
        <f t="shared" si="47"/>
        <v>87.232503325476642</v>
      </c>
    </row>
    <row r="128" spans="1:13" ht="47.25" x14ac:dyDescent="0.25">
      <c r="A128" s="267" t="s">
        <v>928</v>
      </c>
      <c r="B128" s="10" t="s">
        <v>169</v>
      </c>
      <c r="C128" s="10" t="s">
        <v>191</v>
      </c>
      <c r="D128" s="21" t="s">
        <v>927</v>
      </c>
      <c r="E128" s="34"/>
      <c r="F128" s="11">
        <f>F129</f>
        <v>29</v>
      </c>
      <c r="G128" s="11">
        <f t="shared" si="76"/>
        <v>29</v>
      </c>
      <c r="H128" s="11">
        <f t="shared" si="76"/>
        <v>0</v>
      </c>
      <c r="I128" s="11">
        <f t="shared" si="76"/>
        <v>0</v>
      </c>
      <c r="J128" s="11">
        <f t="shared" si="76"/>
        <v>0</v>
      </c>
      <c r="K128" s="11">
        <f t="shared" si="76"/>
        <v>28</v>
      </c>
      <c r="L128" s="11">
        <f t="shared" si="76"/>
        <v>0</v>
      </c>
      <c r="M128" s="7">
        <f t="shared" si="47"/>
        <v>0</v>
      </c>
    </row>
    <row r="129" spans="1:13" ht="31.5" x14ac:dyDescent="0.25">
      <c r="A129" s="26" t="s">
        <v>182</v>
      </c>
      <c r="B129" s="10" t="s">
        <v>169</v>
      </c>
      <c r="C129" s="10" t="s">
        <v>191</v>
      </c>
      <c r="D129" s="21" t="s">
        <v>927</v>
      </c>
      <c r="E129" s="34" t="s">
        <v>183</v>
      </c>
      <c r="F129" s="11">
        <f>F130</f>
        <v>29</v>
      </c>
      <c r="G129" s="11">
        <f t="shared" si="76"/>
        <v>29</v>
      </c>
      <c r="H129" s="11">
        <f t="shared" si="76"/>
        <v>0</v>
      </c>
      <c r="I129" s="11">
        <f t="shared" si="76"/>
        <v>0</v>
      </c>
      <c r="J129" s="11">
        <f t="shared" si="76"/>
        <v>0</v>
      </c>
      <c r="K129" s="11">
        <f t="shared" si="76"/>
        <v>28</v>
      </c>
      <c r="L129" s="11">
        <f t="shared" si="76"/>
        <v>0</v>
      </c>
      <c r="M129" s="7">
        <f t="shared" si="47"/>
        <v>0</v>
      </c>
    </row>
    <row r="130" spans="1:13" ht="47.25" x14ac:dyDescent="0.25">
      <c r="A130" s="26" t="s">
        <v>184</v>
      </c>
      <c r="B130" s="10" t="s">
        <v>169</v>
      </c>
      <c r="C130" s="10" t="s">
        <v>191</v>
      </c>
      <c r="D130" s="21" t="s">
        <v>927</v>
      </c>
      <c r="E130" s="34" t="s">
        <v>185</v>
      </c>
      <c r="F130" s="11">
        <f>'Прил.№4 ведомств.'!G99</f>
        <v>29</v>
      </c>
      <c r="G130" s="11">
        <f>'Прил.№4 ведомств.'!I99</f>
        <v>29</v>
      </c>
      <c r="H130" s="11">
        <f>'Прил.№4 ведомств.'!J99</f>
        <v>0</v>
      </c>
      <c r="I130" s="11">
        <f>'Прил.№4 ведомств.'!K99</f>
        <v>0</v>
      </c>
      <c r="J130" s="11">
        <f>'Прил.№4 ведомств.'!L99</f>
        <v>0</v>
      </c>
      <c r="K130" s="11">
        <f>'Прил.№4 ведомств.'!M99+'Прил.№4 ведомств.'!M278</f>
        <v>28</v>
      </c>
      <c r="L130" s="11">
        <f>'Прил.№4 ведомств.'!N99+'Прил.№4 ведомств.'!N278</f>
        <v>0</v>
      </c>
      <c r="M130" s="7">
        <f t="shared" si="47"/>
        <v>0</v>
      </c>
    </row>
    <row r="131" spans="1:13" ht="31.5" x14ac:dyDescent="0.25">
      <c r="A131" s="267" t="s">
        <v>931</v>
      </c>
      <c r="B131" s="21" t="s">
        <v>169</v>
      </c>
      <c r="C131" s="21" t="s">
        <v>191</v>
      </c>
      <c r="D131" s="21" t="s">
        <v>932</v>
      </c>
      <c r="E131" s="34"/>
      <c r="F131" s="11"/>
      <c r="G131" s="11"/>
      <c r="H131" s="11"/>
      <c r="I131" s="11"/>
      <c r="J131" s="11"/>
      <c r="K131" s="11">
        <f>K132</f>
        <v>63.6</v>
      </c>
      <c r="L131" s="11">
        <f t="shared" ref="L131:L132" si="78">L132</f>
        <v>42.4</v>
      </c>
      <c r="M131" s="7">
        <f t="shared" si="47"/>
        <v>66.666666666666657</v>
      </c>
    </row>
    <row r="132" spans="1:13" ht="31.5" x14ac:dyDescent="0.25">
      <c r="A132" s="26" t="s">
        <v>182</v>
      </c>
      <c r="B132" s="21" t="s">
        <v>169</v>
      </c>
      <c r="C132" s="21" t="s">
        <v>191</v>
      </c>
      <c r="D132" s="21" t="s">
        <v>932</v>
      </c>
      <c r="E132" s="34" t="s">
        <v>183</v>
      </c>
      <c r="F132" s="11"/>
      <c r="G132" s="11"/>
      <c r="H132" s="11"/>
      <c r="I132" s="11"/>
      <c r="J132" s="11"/>
      <c r="K132" s="11">
        <f>K133</f>
        <v>63.6</v>
      </c>
      <c r="L132" s="11">
        <f t="shared" si="78"/>
        <v>42.4</v>
      </c>
      <c r="M132" s="7">
        <f t="shared" si="47"/>
        <v>66.666666666666657</v>
      </c>
    </row>
    <row r="133" spans="1:13" ht="47.25" x14ac:dyDescent="0.25">
      <c r="A133" s="26" t="s">
        <v>184</v>
      </c>
      <c r="B133" s="21" t="s">
        <v>169</v>
      </c>
      <c r="C133" s="21" t="s">
        <v>191</v>
      </c>
      <c r="D133" s="21" t="s">
        <v>932</v>
      </c>
      <c r="E133" s="34" t="s">
        <v>185</v>
      </c>
      <c r="F133" s="11"/>
      <c r="G133" s="11"/>
      <c r="H133" s="11"/>
      <c r="I133" s="11"/>
      <c r="J133" s="11"/>
      <c r="K133" s="11">
        <f>'Прил.№4 ведомств.'!M1123</f>
        <v>63.6</v>
      </c>
      <c r="L133" s="11">
        <f>'Прил.№4 ведомств.'!N1123</f>
        <v>42.4</v>
      </c>
      <c r="M133" s="7">
        <f t="shared" si="47"/>
        <v>66.666666666666657</v>
      </c>
    </row>
    <row r="134" spans="1:13" ht="33.75" customHeight="1" x14ac:dyDescent="0.25">
      <c r="A134" s="268" t="s">
        <v>930</v>
      </c>
      <c r="B134" s="21" t="s">
        <v>169</v>
      </c>
      <c r="C134" s="21" t="s">
        <v>191</v>
      </c>
      <c r="D134" s="21" t="s">
        <v>929</v>
      </c>
      <c r="E134" s="34"/>
      <c r="F134" s="11">
        <f>F135</f>
        <v>0</v>
      </c>
      <c r="G134" s="11">
        <f t="shared" ref="G134:L135" si="79">G135</f>
        <v>0</v>
      </c>
      <c r="H134" s="11">
        <f t="shared" si="79"/>
        <v>0</v>
      </c>
      <c r="I134" s="11">
        <f t="shared" si="79"/>
        <v>0</v>
      </c>
      <c r="J134" s="11">
        <f t="shared" si="79"/>
        <v>0</v>
      </c>
      <c r="K134" s="11">
        <f t="shared" si="79"/>
        <v>15</v>
      </c>
      <c r="L134" s="11">
        <f t="shared" si="79"/>
        <v>11</v>
      </c>
      <c r="M134" s="7">
        <f t="shared" si="47"/>
        <v>73.333333333333329</v>
      </c>
    </row>
    <row r="135" spans="1:13" ht="31.5" customHeight="1" x14ac:dyDescent="0.25">
      <c r="A135" s="26" t="s">
        <v>182</v>
      </c>
      <c r="B135" s="21" t="s">
        <v>169</v>
      </c>
      <c r="C135" s="21" t="s">
        <v>191</v>
      </c>
      <c r="D135" s="21" t="s">
        <v>929</v>
      </c>
      <c r="E135" s="34" t="s">
        <v>183</v>
      </c>
      <c r="F135" s="11">
        <f>F136</f>
        <v>0</v>
      </c>
      <c r="G135" s="11">
        <f t="shared" si="79"/>
        <v>0</v>
      </c>
      <c r="H135" s="11">
        <f t="shared" si="79"/>
        <v>0</v>
      </c>
      <c r="I135" s="11">
        <f t="shared" si="79"/>
        <v>0</v>
      </c>
      <c r="J135" s="11">
        <f t="shared" si="79"/>
        <v>0</v>
      </c>
      <c r="K135" s="11">
        <f t="shared" si="79"/>
        <v>15</v>
      </c>
      <c r="L135" s="11">
        <f t="shared" si="79"/>
        <v>11</v>
      </c>
      <c r="M135" s="7">
        <f t="shared" si="47"/>
        <v>73.333333333333329</v>
      </c>
    </row>
    <row r="136" spans="1:13" ht="47.25" customHeight="1" x14ac:dyDescent="0.25">
      <c r="A136" s="26" t="s">
        <v>184</v>
      </c>
      <c r="B136" s="21" t="s">
        <v>169</v>
      </c>
      <c r="C136" s="21" t="s">
        <v>191</v>
      </c>
      <c r="D136" s="21" t="s">
        <v>929</v>
      </c>
      <c r="E136" s="34" t="s">
        <v>185</v>
      </c>
      <c r="F136" s="11">
        <f>'Прил.№4 ведомств.'!G102</f>
        <v>0</v>
      </c>
      <c r="G136" s="11">
        <f>'Прил.№4 ведомств.'!I102</f>
        <v>0</v>
      </c>
      <c r="H136" s="11">
        <f>'Прил.№4 ведомств.'!J102</f>
        <v>0</v>
      </c>
      <c r="I136" s="11">
        <f>'Прил.№4 ведомств.'!K102</f>
        <v>0</v>
      </c>
      <c r="J136" s="11">
        <f>'Прил.№4 ведомств.'!L102</f>
        <v>0</v>
      </c>
      <c r="K136" s="11">
        <f>'Прил.№4 ведомств.'!M105</f>
        <v>15</v>
      </c>
      <c r="L136" s="11">
        <f>'Прил.№4 ведомств.'!N105</f>
        <v>11</v>
      </c>
      <c r="M136" s="7">
        <f t="shared" si="47"/>
        <v>73.333333333333329</v>
      </c>
    </row>
    <row r="137" spans="1:13" ht="47.25" x14ac:dyDescent="0.25">
      <c r="A137" s="26" t="s">
        <v>945</v>
      </c>
      <c r="B137" s="21" t="s">
        <v>169</v>
      </c>
      <c r="C137" s="21" t="s">
        <v>191</v>
      </c>
      <c r="D137" s="21" t="s">
        <v>946</v>
      </c>
      <c r="E137" s="34"/>
      <c r="F137" s="11"/>
      <c r="G137" s="11"/>
      <c r="H137" s="11"/>
      <c r="I137" s="11"/>
      <c r="J137" s="11"/>
      <c r="K137" s="11">
        <f>K138</f>
        <v>4178.5</v>
      </c>
      <c r="L137" s="11">
        <f t="shared" ref="L137:L138" si="80">L138</f>
        <v>3684.6</v>
      </c>
      <c r="M137" s="7">
        <f t="shared" si="47"/>
        <v>88.179968888357067</v>
      </c>
    </row>
    <row r="138" spans="1:13" ht="47.25" x14ac:dyDescent="0.25">
      <c r="A138" s="112" t="s">
        <v>323</v>
      </c>
      <c r="B138" s="21" t="s">
        <v>169</v>
      </c>
      <c r="C138" s="21" t="s">
        <v>191</v>
      </c>
      <c r="D138" s="21" t="s">
        <v>946</v>
      </c>
      <c r="E138" s="34" t="s">
        <v>324</v>
      </c>
      <c r="F138" s="11"/>
      <c r="G138" s="11"/>
      <c r="H138" s="11"/>
      <c r="I138" s="11"/>
      <c r="J138" s="11"/>
      <c r="K138" s="11">
        <f>K139</f>
        <v>4178.5</v>
      </c>
      <c r="L138" s="11">
        <f t="shared" si="80"/>
        <v>3684.6</v>
      </c>
      <c r="M138" s="7">
        <f t="shared" si="47"/>
        <v>88.179968888357067</v>
      </c>
    </row>
    <row r="139" spans="1:13" ht="15.75" x14ac:dyDescent="0.25">
      <c r="A139" s="214" t="s">
        <v>325</v>
      </c>
      <c r="B139" s="21" t="s">
        <v>169</v>
      </c>
      <c r="C139" s="21" t="s">
        <v>191</v>
      </c>
      <c r="D139" s="21" t="s">
        <v>946</v>
      </c>
      <c r="E139" s="34" t="s">
        <v>326</v>
      </c>
      <c r="F139" s="11"/>
      <c r="G139" s="11"/>
      <c r="H139" s="11"/>
      <c r="I139" s="11"/>
      <c r="J139" s="11"/>
      <c r="K139" s="11">
        <f>'Прил.№4 ведомств.'!M281+'Прил.№4 ведомств.'!M595+'Прил.№4 ведомств.'!M787</f>
        <v>4178.5</v>
      </c>
      <c r="L139" s="11">
        <f>'Прил.№4 ведомств.'!N281+'Прил.№4 ведомств.'!N595+'Прил.№4 ведомств.'!N787</f>
        <v>3684.6</v>
      </c>
      <c r="M139" s="7">
        <f t="shared" si="47"/>
        <v>88.179968888357067</v>
      </c>
    </row>
    <row r="140" spans="1:13" ht="63" x14ac:dyDescent="0.25">
      <c r="A140" s="214" t="s">
        <v>948</v>
      </c>
      <c r="B140" s="21" t="s">
        <v>169</v>
      </c>
      <c r="C140" s="21" t="s">
        <v>191</v>
      </c>
      <c r="D140" s="21" t="s">
        <v>953</v>
      </c>
      <c r="E140" s="34"/>
      <c r="F140" s="11"/>
      <c r="G140" s="11"/>
      <c r="H140" s="11"/>
      <c r="I140" s="11"/>
      <c r="J140" s="11"/>
      <c r="K140" s="11">
        <f>K141</f>
        <v>67</v>
      </c>
      <c r="L140" s="11">
        <f t="shared" ref="L140:L142" si="81">L141</f>
        <v>0</v>
      </c>
      <c r="M140" s="7">
        <f t="shared" si="47"/>
        <v>0</v>
      </c>
    </row>
    <row r="141" spans="1:13" ht="31.5" x14ac:dyDescent="0.25">
      <c r="A141" s="214" t="s">
        <v>804</v>
      </c>
      <c r="B141" s="21" t="s">
        <v>169</v>
      </c>
      <c r="C141" s="21" t="s">
        <v>191</v>
      </c>
      <c r="D141" s="21" t="s">
        <v>949</v>
      </c>
      <c r="E141" s="34"/>
      <c r="F141" s="11"/>
      <c r="G141" s="11"/>
      <c r="H141" s="11"/>
      <c r="I141" s="11"/>
      <c r="J141" s="11"/>
      <c r="K141" s="11">
        <f>K142</f>
        <v>67</v>
      </c>
      <c r="L141" s="11">
        <f t="shared" si="81"/>
        <v>0</v>
      </c>
      <c r="M141" s="7">
        <f t="shared" ref="M141:M204" si="82">L141/K141*100</f>
        <v>0</v>
      </c>
    </row>
    <row r="142" spans="1:13" ht="31.5" x14ac:dyDescent="0.25">
      <c r="A142" s="214" t="s">
        <v>182</v>
      </c>
      <c r="B142" s="21" t="s">
        <v>169</v>
      </c>
      <c r="C142" s="21" t="s">
        <v>191</v>
      </c>
      <c r="D142" s="21" t="s">
        <v>949</v>
      </c>
      <c r="E142" s="34" t="s">
        <v>183</v>
      </c>
      <c r="F142" s="11"/>
      <c r="G142" s="11"/>
      <c r="H142" s="11"/>
      <c r="I142" s="11"/>
      <c r="J142" s="11"/>
      <c r="K142" s="11">
        <f>K143</f>
        <v>67</v>
      </c>
      <c r="L142" s="11">
        <f t="shared" si="81"/>
        <v>0</v>
      </c>
      <c r="M142" s="7">
        <f t="shared" si="82"/>
        <v>0</v>
      </c>
    </row>
    <row r="143" spans="1:13" ht="47.25" x14ac:dyDescent="0.25">
      <c r="A143" s="214" t="s">
        <v>184</v>
      </c>
      <c r="B143" s="21" t="s">
        <v>169</v>
      </c>
      <c r="C143" s="21" t="s">
        <v>191</v>
      </c>
      <c r="D143" s="21" t="s">
        <v>949</v>
      </c>
      <c r="E143" s="34" t="s">
        <v>185</v>
      </c>
      <c r="F143" s="11"/>
      <c r="G143" s="11"/>
      <c r="H143" s="11"/>
      <c r="I143" s="11"/>
      <c r="J143" s="11"/>
      <c r="K143" s="11">
        <f>'Прил.№4 ведомств.'!M543</f>
        <v>67</v>
      </c>
      <c r="L143" s="11">
        <f>'Прил.№4 ведомств.'!N543</f>
        <v>0</v>
      </c>
      <c r="M143" s="7">
        <f t="shared" si="82"/>
        <v>0</v>
      </c>
    </row>
    <row r="144" spans="1:13" ht="15.75" x14ac:dyDescent="0.25">
      <c r="A144" s="31" t="s">
        <v>172</v>
      </c>
      <c r="B144" s="42" t="s">
        <v>169</v>
      </c>
      <c r="C144" s="42" t="s">
        <v>191</v>
      </c>
      <c r="D144" s="42" t="s">
        <v>173</v>
      </c>
      <c r="E144" s="42"/>
      <c r="F144" s="7">
        <f t="shared" ref="F144:K144" si="83">F145+F178+F199</f>
        <v>32843.74</v>
      </c>
      <c r="G144" s="7">
        <f t="shared" si="83"/>
        <v>26452.86</v>
      </c>
      <c r="H144" s="7">
        <f t="shared" si="83"/>
        <v>50792.7</v>
      </c>
      <c r="I144" s="7">
        <f t="shared" si="83"/>
        <v>51390.9</v>
      </c>
      <c r="J144" s="7">
        <f t="shared" si="83"/>
        <v>51890.400000000001</v>
      </c>
      <c r="K144" s="7">
        <f t="shared" si="83"/>
        <v>52928.899999999994</v>
      </c>
      <c r="L144" s="7">
        <f t="shared" ref="L144" si="84">L145+L178+L199</f>
        <v>39069.200000000004</v>
      </c>
      <c r="M144" s="7">
        <f t="shared" si="82"/>
        <v>73.814494538900306</v>
      </c>
    </row>
    <row r="145" spans="1:13" ht="31.5" x14ac:dyDescent="0.25">
      <c r="A145" s="31" t="s">
        <v>236</v>
      </c>
      <c r="B145" s="42" t="s">
        <v>169</v>
      </c>
      <c r="C145" s="42" t="s">
        <v>191</v>
      </c>
      <c r="D145" s="42" t="s">
        <v>237</v>
      </c>
      <c r="E145" s="8"/>
      <c r="F145" s="11">
        <f t="shared" ref="F145:J145" si="85">F154+F165+F168+F173+F149+F162+F159</f>
        <v>3721.5999999999995</v>
      </c>
      <c r="G145" s="11">
        <f t="shared" si="85"/>
        <v>3721.5999999999995</v>
      </c>
      <c r="H145" s="11">
        <f t="shared" si="85"/>
        <v>3632.8999999999996</v>
      </c>
      <c r="I145" s="11">
        <f t="shared" si="85"/>
        <v>3632.8999999999996</v>
      </c>
      <c r="J145" s="11">
        <f t="shared" si="85"/>
        <v>3632.8999999999996</v>
      </c>
      <c r="K145" s="11">
        <f>K154+K165+K168+K173+K149+K162+K159+K146</f>
        <v>3991.8</v>
      </c>
      <c r="L145" s="11">
        <f t="shared" ref="L145" si="86">L154+L165+L168+L173+L149+L162+L159+L146</f>
        <v>2077.1</v>
      </c>
      <c r="M145" s="7">
        <f t="shared" si="82"/>
        <v>52.034170048599627</v>
      </c>
    </row>
    <row r="146" spans="1:13" ht="31.5" x14ac:dyDescent="0.25">
      <c r="A146" s="26" t="s">
        <v>984</v>
      </c>
      <c r="B146" s="42" t="s">
        <v>169</v>
      </c>
      <c r="C146" s="42" t="s">
        <v>191</v>
      </c>
      <c r="D146" s="42" t="s">
        <v>985</v>
      </c>
      <c r="E146" s="8"/>
      <c r="F146" s="11"/>
      <c r="G146" s="11"/>
      <c r="H146" s="11"/>
      <c r="I146" s="11"/>
      <c r="J146" s="11"/>
      <c r="K146" s="11">
        <f>K147</f>
        <v>670</v>
      </c>
      <c r="L146" s="11">
        <f t="shared" ref="L146:L147" si="87">L147</f>
        <v>0</v>
      </c>
      <c r="M146" s="7">
        <f t="shared" si="82"/>
        <v>0</v>
      </c>
    </row>
    <row r="147" spans="1:13" ht="31.5" x14ac:dyDescent="0.25">
      <c r="A147" s="26" t="s">
        <v>182</v>
      </c>
      <c r="B147" s="42" t="s">
        <v>169</v>
      </c>
      <c r="C147" s="42" t="s">
        <v>191</v>
      </c>
      <c r="D147" s="42" t="s">
        <v>985</v>
      </c>
      <c r="E147" s="42" t="s">
        <v>183</v>
      </c>
      <c r="F147" s="11"/>
      <c r="G147" s="11"/>
      <c r="H147" s="11"/>
      <c r="I147" s="11"/>
      <c r="J147" s="11"/>
      <c r="K147" s="11">
        <f>K148</f>
        <v>670</v>
      </c>
      <c r="L147" s="11">
        <f t="shared" si="87"/>
        <v>0</v>
      </c>
      <c r="M147" s="7">
        <f t="shared" si="82"/>
        <v>0</v>
      </c>
    </row>
    <row r="148" spans="1:13" ht="47.25" x14ac:dyDescent="0.25">
      <c r="A148" s="26" t="s">
        <v>184</v>
      </c>
      <c r="B148" s="42" t="s">
        <v>169</v>
      </c>
      <c r="C148" s="42" t="s">
        <v>191</v>
      </c>
      <c r="D148" s="42" t="s">
        <v>985</v>
      </c>
      <c r="E148" s="42" t="s">
        <v>185</v>
      </c>
      <c r="F148" s="11"/>
      <c r="G148" s="11"/>
      <c r="H148" s="11"/>
      <c r="I148" s="11"/>
      <c r="J148" s="11"/>
      <c r="K148" s="11">
        <f>'Прил.№4 ведомств.'!M548</f>
        <v>670</v>
      </c>
      <c r="L148" s="11">
        <f>'Прил.№4 ведомств.'!N548</f>
        <v>0</v>
      </c>
      <c r="M148" s="7">
        <f t="shared" si="82"/>
        <v>0</v>
      </c>
    </row>
    <row r="149" spans="1:13" ht="47.25" customHeight="1" x14ac:dyDescent="0.25">
      <c r="A149" s="26" t="s">
        <v>238</v>
      </c>
      <c r="B149" s="42" t="s">
        <v>169</v>
      </c>
      <c r="C149" s="42" t="s">
        <v>191</v>
      </c>
      <c r="D149" s="42" t="s">
        <v>239</v>
      </c>
      <c r="E149" s="8"/>
      <c r="F149" s="11">
        <f>F150+F152</f>
        <v>0</v>
      </c>
      <c r="G149" s="11">
        <f t="shared" ref="G149:K149" si="88">G150+G152</f>
        <v>0</v>
      </c>
      <c r="H149" s="11">
        <f t="shared" si="88"/>
        <v>0</v>
      </c>
      <c r="I149" s="11">
        <f t="shared" si="88"/>
        <v>0</v>
      </c>
      <c r="J149" s="11">
        <f t="shared" si="88"/>
        <v>0</v>
      </c>
      <c r="K149" s="11">
        <f t="shared" si="88"/>
        <v>96.2</v>
      </c>
      <c r="L149" s="11">
        <f t="shared" ref="L149" si="89">L150+L152</f>
        <v>39.799999999999997</v>
      </c>
      <c r="M149" s="7">
        <f t="shared" si="82"/>
        <v>41.372141372141371</v>
      </c>
    </row>
    <row r="150" spans="1:13" ht="78.75" customHeight="1" x14ac:dyDescent="0.25">
      <c r="A150" s="26" t="s">
        <v>178</v>
      </c>
      <c r="B150" s="42" t="s">
        <v>169</v>
      </c>
      <c r="C150" s="42" t="s">
        <v>191</v>
      </c>
      <c r="D150" s="42" t="s">
        <v>239</v>
      </c>
      <c r="E150" s="42" t="s">
        <v>179</v>
      </c>
      <c r="F150" s="11">
        <f>F151</f>
        <v>0</v>
      </c>
      <c r="G150" s="11">
        <f t="shared" ref="G150:L150" si="90">G151</f>
        <v>0</v>
      </c>
      <c r="H150" s="11">
        <f t="shared" si="90"/>
        <v>0</v>
      </c>
      <c r="I150" s="11">
        <f t="shared" si="90"/>
        <v>0</v>
      </c>
      <c r="J150" s="11">
        <f t="shared" si="90"/>
        <v>0</v>
      </c>
      <c r="K150" s="11">
        <f t="shared" si="90"/>
        <v>96.2</v>
      </c>
      <c r="L150" s="11">
        <f t="shared" si="90"/>
        <v>39.799999999999997</v>
      </c>
      <c r="M150" s="7">
        <f t="shared" si="82"/>
        <v>41.372141372141371</v>
      </c>
    </row>
    <row r="151" spans="1:13" ht="31.5" customHeight="1" x14ac:dyDescent="0.25">
      <c r="A151" s="26" t="s">
        <v>180</v>
      </c>
      <c r="B151" s="42" t="s">
        <v>169</v>
      </c>
      <c r="C151" s="42" t="s">
        <v>191</v>
      </c>
      <c r="D151" s="42" t="s">
        <v>239</v>
      </c>
      <c r="E151" s="42" t="s">
        <v>181</v>
      </c>
      <c r="F151" s="11"/>
      <c r="G151" s="11"/>
      <c r="H151" s="11"/>
      <c r="I151" s="11"/>
      <c r="J151" s="11"/>
      <c r="K151" s="11">
        <f>'Прил.№4 ведомств.'!M110</f>
        <v>96.2</v>
      </c>
      <c r="L151" s="11">
        <f>'Прил.№4 ведомств.'!N110</f>
        <v>39.799999999999997</v>
      </c>
      <c r="M151" s="7">
        <f t="shared" si="82"/>
        <v>41.372141372141371</v>
      </c>
    </row>
    <row r="152" spans="1:13" ht="31.5" hidden="1" customHeight="1" x14ac:dyDescent="0.25">
      <c r="A152" s="26" t="s">
        <v>182</v>
      </c>
      <c r="B152" s="42" t="s">
        <v>169</v>
      </c>
      <c r="C152" s="42" t="s">
        <v>191</v>
      </c>
      <c r="D152" s="42" t="s">
        <v>239</v>
      </c>
      <c r="E152" s="42" t="s">
        <v>183</v>
      </c>
      <c r="F152" s="11">
        <f>F153</f>
        <v>0</v>
      </c>
      <c r="G152" s="11">
        <f t="shared" ref="G152:L152" si="91">G153</f>
        <v>0</v>
      </c>
      <c r="H152" s="11">
        <f t="shared" si="91"/>
        <v>0</v>
      </c>
      <c r="I152" s="11">
        <f t="shared" si="91"/>
        <v>0</v>
      </c>
      <c r="J152" s="11">
        <f t="shared" si="91"/>
        <v>0</v>
      </c>
      <c r="K152" s="11">
        <f t="shared" si="91"/>
        <v>0</v>
      </c>
      <c r="L152" s="11">
        <f t="shared" si="91"/>
        <v>0</v>
      </c>
      <c r="M152" s="7" t="e">
        <f t="shared" si="82"/>
        <v>#DIV/0!</v>
      </c>
    </row>
    <row r="153" spans="1:13" ht="47.25" hidden="1" customHeight="1" x14ac:dyDescent="0.25">
      <c r="A153" s="26" t="s">
        <v>184</v>
      </c>
      <c r="B153" s="42" t="s">
        <v>169</v>
      </c>
      <c r="C153" s="42" t="s">
        <v>191</v>
      </c>
      <c r="D153" s="42" t="s">
        <v>239</v>
      </c>
      <c r="E153" s="42" t="s">
        <v>185</v>
      </c>
      <c r="F153" s="11"/>
      <c r="G153" s="11"/>
      <c r="H153" s="11"/>
      <c r="I153" s="11"/>
      <c r="J153" s="11"/>
      <c r="K153" s="11"/>
      <c r="L153" s="11"/>
      <c r="M153" s="7" t="e">
        <f t="shared" si="82"/>
        <v>#DIV/0!</v>
      </c>
    </row>
    <row r="154" spans="1:13" ht="47.25" x14ac:dyDescent="0.25">
      <c r="A154" s="47" t="s">
        <v>240</v>
      </c>
      <c r="B154" s="42" t="s">
        <v>169</v>
      </c>
      <c r="C154" s="42" t="s">
        <v>191</v>
      </c>
      <c r="D154" s="42" t="s">
        <v>241</v>
      </c>
      <c r="E154" s="42"/>
      <c r="F154" s="7">
        <f>F155</f>
        <v>701.8</v>
      </c>
      <c r="G154" s="7">
        <f t="shared" ref="G154:L155" si="92">G155</f>
        <v>701.8</v>
      </c>
      <c r="H154" s="7">
        <f t="shared" si="92"/>
        <v>701.8</v>
      </c>
      <c r="I154" s="7">
        <f t="shared" si="92"/>
        <v>701.8</v>
      </c>
      <c r="J154" s="7">
        <f t="shared" si="92"/>
        <v>701.8</v>
      </c>
      <c r="K154" s="7">
        <f>K155+K157</f>
        <v>673.40000000000009</v>
      </c>
      <c r="L154" s="7">
        <f t="shared" ref="L154" si="93">L155+L157</f>
        <v>614.09999999999991</v>
      </c>
      <c r="M154" s="7">
        <f t="shared" si="82"/>
        <v>91.193941193941157</v>
      </c>
    </row>
    <row r="155" spans="1:13" ht="78.75" x14ac:dyDescent="0.25">
      <c r="A155" s="31" t="s">
        <v>178</v>
      </c>
      <c r="B155" s="42" t="s">
        <v>169</v>
      </c>
      <c r="C155" s="42" t="s">
        <v>191</v>
      </c>
      <c r="D155" s="42" t="s">
        <v>241</v>
      </c>
      <c r="E155" s="42" t="s">
        <v>179</v>
      </c>
      <c r="F155" s="7">
        <f>F156</f>
        <v>701.8</v>
      </c>
      <c r="G155" s="7">
        <f t="shared" si="92"/>
        <v>701.8</v>
      </c>
      <c r="H155" s="7">
        <f t="shared" si="92"/>
        <v>701.8</v>
      </c>
      <c r="I155" s="7">
        <f t="shared" si="92"/>
        <v>701.8</v>
      </c>
      <c r="J155" s="7">
        <f t="shared" si="92"/>
        <v>701.8</v>
      </c>
      <c r="K155" s="7">
        <f t="shared" si="92"/>
        <v>450.40000000000003</v>
      </c>
      <c r="L155" s="7">
        <f t="shared" si="92"/>
        <v>450.4</v>
      </c>
      <c r="M155" s="7">
        <f t="shared" si="82"/>
        <v>99.999999999999986</v>
      </c>
    </row>
    <row r="156" spans="1:13" ht="31.5" x14ac:dyDescent="0.25">
      <c r="A156" s="31" t="s">
        <v>180</v>
      </c>
      <c r="B156" s="42" t="s">
        <v>169</v>
      </c>
      <c r="C156" s="42" t="s">
        <v>191</v>
      </c>
      <c r="D156" s="42" t="s">
        <v>241</v>
      </c>
      <c r="E156" s="42" t="s">
        <v>181</v>
      </c>
      <c r="F156" s="7">
        <f>'Прил.№4 ведомств.'!G115</f>
        <v>701.8</v>
      </c>
      <c r="G156" s="7">
        <f>'Прил.№4 ведомств.'!I115</f>
        <v>701.8</v>
      </c>
      <c r="H156" s="7">
        <f>'Прил.№4 ведомств.'!J115</f>
        <v>701.8</v>
      </c>
      <c r="I156" s="7">
        <f>'Прил.№4 ведомств.'!K115</f>
        <v>701.8</v>
      </c>
      <c r="J156" s="7">
        <f>'Прил.№4 ведомств.'!L115</f>
        <v>701.8</v>
      </c>
      <c r="K156" s="7">
        <f>'Прил.№4 ведомств.'!M115</f>
        <v>450.40000000000003</v>
      </c>
      <c r="L156" s="7">
        <f>'Прил.№4 ведомств.'!N115</f>
        <v>450.4</v>
      </c>
      <c r="M156" s="7">
        <f t="shared" si="82"/>
        <v>99.999999999999986</v>
      </c>
    </row>
    <row r="157" spans="1:13" ht="31.5" x14ac:dyDescent="0.25">
      <c r="A157" s="26" t="s">
        <v>182</v>
      </c>
      <c r="B157" s="42" t="s">
        <v>169</v>
      </c>
      <c r="C157" s="42" t="s">
        <v>191</v>
      </c>
      <c r="D157" s="42" t="s">
        <v>241</v>
      </c>
      <c r="E157" s="42" t="s">
        <v>183</v>
      </c>
      <c r="F157" s="7"/>
      <c r="G157" s="7"/>
      <c r="H157" s="7"/>
      <c r="I157" s="7"/>
      <c r="J157" s="7"/>
      <c r="K157" s="7">
        <f>K158</f>
        <v>223</v>
      </c>
      <c r="L157" s="7">
        <f t="shared" ref="L157" si="94">L158</f>
        <v>163.69999999999999</v>
      </c>
      <c r="M157" s="7">
        <f t="shared" si="82"/>
        <v>73.408071748878925</v>
      </c>
    </row>
    <row r="158" spans="1:13" ht="47.25" x14ac:dyDescent="0.25">
      <c r="A158" s="26" t="s">
        <v>184</v>
      </c>
      <c r="B158" s="42" t="s">
        <v>169</v>
      </c>
      <c r="C158" s="42" t="s">
        <v>191</v>
      </c>
      <c r="D158" s="42" t="s">
        <v>241</v>
      </c>
      <c r="E158" s="42" t="s">
        <v>185</v>
      </c>
      <c r="F158" s="7"/>
      <c r="G158" s="7"/>
      <c r="H158" s="7"/>
      <c r="I158" s="7"/>
      <c r="J158" s="7"/>
      <c r="K158" s="7">
        <f>'Прил.№4 ведомств.'!M117</f>
        <v>223</v>
      </c>
      <c r="L158" s="7">
        <f>'Прил.№4 ведомств.'!N117</f>
        <v>163.69999999999999</v>
      </c>
      <c r="M158" s="7">
        <f t="shared" si="82"/>
        <v>73.408071748878925</v>
      </c>
    </row>
    <row r="159" spans="1:13" ht="47.25" hidden="1" x14ac:dyDescent="0.25">
      <c r="A159" s="37" t="s">
        <v>829</v>
      </c>
      <c r="B159" s="42" t="s">
        <v>169</v>
      </c>
      <c r="C159" s="42" t="s">
        <v>191</v>
      </c>
      <c r="D159" s="42" t="s">
        <v>828</v>
      </c>
      <c r="E159" s="42"/>
      <c r="F159" s="7">
        <f>F160</f>
        <v>88.7</v>
      </c>
      <c r="G159" s="7">
        <f t="shared" ref="G159:L160" si="95">G160</f>
        <v>88.7</v>
      </c>
      <c r="H159" s="7">
        <f t="shared" si="95"/>
        <v>0</v>
      </c>
      <c r="I159" s="7">
        <f t="shared" si="95"/>
        <v>0</v>
      </c>
      <c r="J159" s="7">
        <f t="shared" si="95"/>
        <v>0</v>
      </c>
      <c r="K159" s="7">
        <f t="shared" si="95"/>
        <v>0</v>
      </c>
      <c r="L159" s="7">
        <f t="shared" si="95"/>
        <v>0</v>
      </c>
      <c r="M159" s="7" t="e">
        <f t="shared" si="82"/>
        <v>#DIV/0!</v>
      </c>
    </row>
    <row r="160" spans="1:13" ht="31.5" hidden="1" x14ac:dyDescent="0.25">
      <c r="A160" s="26" t="s">
        <v>182</v>
      </c>
      <c r="B160" s="42" t="s">
        <v>169</v>
      </c>
      <c r="C160" s="42" t="s">
        <v>191</v>
      </c>
      <c r="D160" s="42" t="s">
        <v>828</v>
      </c>
      <c r="E160" s="42" t="s">
        <v>183</v>
      </c>
      <c r="F160" s="7">
        <f>F161</f>
        <v>88.7</v>
      </c>
      <c r="G160" s="7">
        <f t="shared" si="95"/>
        <v>88.7</v>
      </c>
      <c r="H160" s="7">
        <f t="shared" si="95"/>
        <v>0</v>
      </c>
      <c r="I160" s="7">
        <f t="shared" si="95"/>
        <v>0</v>
      </c>
      <c r="J160" s="7">
        <f t="shared" si="95"/>
        <v>0</v>
      </c>
      <c r="K160" s="7">
        <f t="shared" si="95"/>
        <v>0</v>
      </c>
      <c r="L160" s="7">
        <f t="shared" si="95"/>
        <v>0</v>
      </c>
      <c r="M160" s="7" t="e">
        <f t="shared" si="82"/>
        <v>#DIV/0!</v>
      </c>
    </row>
    <row r="161" spans="1:13" ht="47.25" hidden="1" x14ac:dyDescent="0.25">
      <c r="A161" s="26" t="s">
        <v>184</v>
      </c>
      <c r="B161" s="42" t="s">
        <v>169</v>
      </c>
      <c r="C161" s="42" t="s">
        <v>191</v>
      </c>
      <c r="D161" s="42" t="s">
        <v>828</v>
      </c>
      <c r="E161" s="42" t="s">
        <v>185</v>
      </c>
      <c r="F161" s="7">
        <f>'Прил.№4 ведомств.'!G274</f>
        <v>88.7</v>
      </c>
      <c r="G161" s="7">
        <f>'Прил.№4 ведомств.'!I274</f>
        <v>88.7</v>
      </c>
      <c r="H161" s="7">
        <f>'Прил.№4 ведомств.'!J274</f>
        <v>0</v>
      </c>
      <c r="I161" s="7">
        <f>'Прил.№4 ведомств.'!K274</f>
        <v>0</v>
      </c>
      <c r="J161" s="7">
        <f>'Прил.№4 ведомств.'!L274</f>
        <v>0</v>
      </c>
      <c r="K161" s="7">
        <f>'Прил.№4 ведомств.'!M274</f>
        <v>0</v>
      </c>
      <c r="L161" s="7">
        <f>'Прил.№4 ведомств.'!N274</f>
        <v>0</v>
      </c>
      <c r="M161" s="7" t="e">
        <f t="shared" si="82"/>
        <v>#DIV/0!</v>
      </c>
    </row>
    <row r="162" spans="1:13" ht="63" x14ac:dyDescent="0.25">
      <c r="A162" s="33" t="s">
        <v>776</v>
      </c>
      <c r="B162" s="42" t="s">
        <v>169</v>
      </c>
      <c r="C162" s="42" t="s">
        <v>191</v>
      </c>
      <c r="D162" s="21" t="s">
        <v>778</v>
      </c>
      <c r="E162" s="42"/>
      <c r="F162" s="7">
        <f>F163</f>
        <v>32</v>
      </c>
      <c r="G162" s="7">
        <f t="shared" ref="G162:L163" si="96">G163</f>
        <v>32</v>
      </c>
      <c r="H162" s="7">
        <f t="shared" si="96"/>
        <v>32</v>
      </c>
      <c r="I162" s="7">
        <f t="shared" si="96"/>
        <v>32</v>
      </c>
      <c r="J162" s="7">
        <f t="shared" si="96"/>
        <v>32</v>
      </c>
      <c r="K162" s="7">
        <f t="shared" si="96"/>
        <v>50</v>
      </c>
      <c r="L162" s="7">
        <f t="shared" si="96"/>
        <v>20.5</v>
      </c>
      <c r="M162" s="7">
        <f t="shared" si="82"/>
        <v>41</v>
      </c>
    </row>
    <row r="163" spans="1:13" ht="31.5" x14ac:dyDescent="0.25">
      <c r="A163" s="26" t="s">
        <v>182</v>
      </c>
      <c r="B163" s="42" t="s">
        <v>169</v>
      </c>
      <c r="C163" s="42" t="s">
        <v>191</v>
      </c>
      <c r="D163" s="21" t="s">
        <v>778</v>
      </c>
      <c r="E163" s="42" t="s">
        <v>183</v>
      </c>
      <c r="F163" s="7">
        <f>F164</f>
        <v>32</v>
      </c>
      <c r="G163" s="7">
        <f t="shared" si="96"/>
        <v>32</v>
      </c>
      <c r="H163" s="7">
        <f t="shared" si="96"/>
        <v>32</v>
      </c>
      <c r="I163" s="7">
        <f t="shared" si="96"/>
        <v>32</v>
      </c>
      <c r="J163" s="7">
        <f t="shared" si="96"/>
        <v>32</v>
      </c>
      <c r="K163" s="7">
        <f t="shared" si="96"/>
        <v>50</v>
      </c>
      <c r="L163" s="7">
        <f t="shared" si="96"/>
        <v>20.5</v>
      </c>
      <c r="M163" s="7">
        <f t="shared" si="82"/>
        <v>41</v>
      </c>
    </row>
    <row r="164" spans="1:13" ht="47.25" x14ac:dyDescent="0.25">
      <c r="A164" s="26" t="s">
        <v>184</v>
      </c>
      <c r="B164" s="42" t="s">
        <v>169</v>
      </c>
      <c r="C164" s="42" t="s">
        <v>191</v>
      </c>
      <c r="D164" s="21" t="s">
        <v>778</v>
      </c>
      <c r="E164" s="42" t="s">
        <v>185</v>
      </c>
      <c r="F164" s="7">
        <f>'Прил.№4 ведомств.'!G1116</f>
        <v>32</v>
      </c>
      <c r="G164" s="7">
        <f>'Прил.№4 ведомств.'!I1116</f>
        <v>32</v>
      </c>
      <c r="H164" s="7">
        <f>'Прил.№4 ведомств.'!J1116</f>
        <v>32</v>
      </c>
      <c r="I164" s="7">
        <f>'Прил.№4 ведомств.'!K1116</f>
        <v>32</v>
      </c>
      <c r="J164" s="7">
        <f>'Прил.№4 ведомств.'!L1116</f>
        <v>32</v>
      </c>
      <c r="K164" s="7">
        <f>'Прил.№4 ведомств.'!M1116</f>
        <v>50</v>
      </c>
      <c r="L164" s="7">
        <f>'Прил.№4 ведомств.'!N1116</f>
        <v>20.5</v>
      </c>
      <c r="M164" s="7">
        <f t="shared" si="82"/>
        <v>41</v>
      </c>
    </row>
    <row r="165" spans="1:13" ht="47.25" hidden="1" x14ac:dyDescent="0.25">
      <c r="A165" s="35" t="s">
        <v>242</v>
      </c>
      <c r="B165" s="21" t="s">
        <v>169</v>
      </c>
      <c r="C165" s="21" t="s">
        <v>191</v>
      </c>
      <c r="D165" s="21" t="s">
        <v>243</v>
      </c>
      <c r="E165" s="21"/>
      <c r="F165" s="11">
        <f>F166</f>
        <v>40</v>
      </c>
      <c r="G165" s="11">
        <f t="shared" ref="G165:L166" si="97">G166</f>
        <v>40</v>
      </c>
      <c r="H165" s="11">
        <f t="shared" si="97"/>
        <v>40</v>
      </c>
      <c r="I165" s="11">
        <f t="shared" si="97"/>
        <v>40</v>
      </c>
      <c r="J165" s="11">
        <f t="shared" si="97"/>
        <v>40</v>
      </c>
      <c r="K165" s="11">
        <f t="shared" si="97"/>
        <v>0</v>
      </c>
      <c r="L165" s="11">
        <f t="shared" si="97"/>
        <v>0</v>
      </c>
      <c r="M165" s="7" t="e">
        <f t="shared" si="82"/>
        <v>#DIV/0!</v>
      </c>
    </row>
    <row r="166" spans="1:13" ht="31.5" hidden="1" x14ac:dyDescent="0.25">
      <c r="A166" s="26" t="s">
        <v>182</v>
      </c>
      <c r="B166" s="21" t="s">
        <v>169</v>
      </c>
      <c r="C166" s="21" t="s">
        <v>191</v>
      </c>
      <c r="D166" s="21" t="s">
        <v>243</v>
      </c>
      <c r="E166" s="21" t="s">
        <v>183</v>
      </c>
      <c r="F166" s="11">
        <f>F167</f>
        <v>40</v>
      </c>
      <c r="G166" s="11">
        <f t="shared" si="97"/>
        <v>40</v>
      </c>
      <c r="H166" s="11">
        <f t="shared" si="97"/>
        <v>40</v>
      </c>
      <c r="I166" s="11">
        <f t="shared" si="97"/>
        <v>40</v>
      </c>
      <c r="J166" s="11">
        <f t="shared" si="97"/>
        <v>40</v>
      </c>
      <c r="K166" s="11">
        <f t="shared" si="97"/>
        <v>0</v>
      </c>
      <c r="L166" s="11">
        <f t="shared" si="97"/>
        <v>0</v>
      </c>
      <c r="M166" s="7" t="e">
        <f t="shared" si="82"/>
        <v>#DIV/0!</v>
      </c>
    </row>
    <row r="167" spans="1:13" ht="47.25" hidden="1" x14ac:dyDescent="0.25">
      <c r="A167" s="26" t="s">
        <v>184</v>
      </c>
      <c r="B167" s="21" t="s">
        <v>169</v>
      </c>
      <c r="C167" s="21" t="s">
        <v>191</v>
      </c>
      <c r="D167" s="21" t="s">
        <v>243</v>
      </c>
      <c r="E167" s="21" t="s">
        <v>185</v>
      </c>
      <c r="F167" s="11">
        <f>'Прил.№4 ведомств.'!G120</f>
        <v>40</v>
      </c>
      <c r="G167" s="11">
        <f>'Прил.№4 ведомств.'!I120</f>
        <v>40</v>
      </c>
      <c r="H167" s="11">
        <f>'Прил.№4 ведомств.'!J120</f>
        <v>40</v>
      </c>
      <c r="I167" s="11">
        <f>'Прил.№4 ведомств.'!K120</f>
        <v>40</v>
      </c>
      <c r="J167" s="11">
        <f>'Прил.№4 ведомств.'!L120</f>
        <v>40</v>
      </c>
      <c r="K167" s="11">
        <f>'Прил.№4 ведомств.'!M120</f>
        <v>0</v>
      </c>
      <c r="L167" s="11">
        <f>'Прил.№4 ведомств.'!N120</f>
        <v>0</v>
      </c>
      <c r="M167" s="7" t="e">
        <f t="shared" si="82"/>
        <v>#DIV/0!</v>
      </c>
    </row>
    <row r="168" spans="1:13" ht="47.25" x14ac:dyDescent="0.25">
      <c r="A168" s="33" t="s">
        <v>245</v>
      </c>
      <c r="B168" s="42" t="s">
        <v>169</v>
      </c>
      <c r="C168" s="42" t="s">
        <v>191</v>
      </c>
      <c r="D168" s="42" t="s">
        <v>246</v>
      </c>
      <c r="E168" s="42"/>
      <c r="F168" s="7">
        <f>SUM(F169:F169)</f>
        <v>1752.9</v>
      </c>
      <c r="G168" s="7">
        <f t="shared" ref="G168:J168" si="98">SUM(G169:G169)</f>
        <v>1752.9</v>
      </c>
      <c r="H168" s="7">
        <f t="shared" si="98"/>
        <v>1752.9</v>
      </c>
      <c r="I168" s="7">
        <f t="shared" si="98"/>
        <v>1752.9</v>
      </c>
      <c r="J168" s="7">
        <f t="shared" si="98"/>
        <v>1752.9</v>
      </c>
      <c r="K168" s="7">
        <f>K169+K171</f>
        <v>1396</v>
      </c>
      <c r="L168" s="7">
        <f t="shared" ref="L168" si="99">L169+L171</f>
        <v>973.5</v>
      </c>
      <c r="M168" s="7">
        <f t="shared" si="82"/>
        <v>69.734957020057308</v>
      </c>
    </row>
    <row r="169" spans="1:13" ht="78.75" x14ac:dyDescent="0.25">
      <c r="A169" s="31" t="s">
        <v>178</v>
      </c>
      <c r="B169" s="42" t="s">
        <v>169</v>
      </c>
      <c r="C169" s="42" t="s">
        <v>191</v>
      </c>
      <c r="D169" s="42" t="s">
        <v>246</v>
      </c>
      <c r="E169" s="42" t="s">
        <v>179</v>
      </c>
      <c r="F169" s="7">
        <f>F170</f>
        <v>1752.9</v>
      </c>
      <c r="G169" s="7">
        <f t="shared" ref="G169:L169" si="100">G170</f>
        <v>1752.9</v>
      </c>
      <c r="H169" s="7">
        <f t="shared" si="100"/>
        <v>1752.9</v>
      </c>
      <c r="I169" s="7">
        <f t="shared" si="100"/>
        <v>1752.9</v>
      </c>
      <c r="J169" s="7">
        <f t="shared" si="100"/>
        <v>1752.9</v>
      </c>
      <c r="K169" s="7">
        <f t="shared" si="100"/>
        <v>1356.3</v>
      </c>
      <c r="L169" s="7">
        <f t="shared" si="100"/>
        <v>952.8</v>
      </c>
      <c r="M169" s="7">
        <f t="shared" si="82"/>
        <v>70.249944702499448</v>
      </c>
    </row>
    <row r="170" spans="1:13" ht="31.5" x14ac:dyDescent="0.25">
      <c r="A170" s="31" t="s">
        <v>180</v>
      </c>
      <c r="B170" s="42" t="s">
        <v>169</v>
      </c>
      <c r="C170" s="42" t="s">
        <v>191</v>
      </c>
      <c r="D170" s="42" t="s">
        <v>246</v>
      </c>
      <c r="E170" s="42" t="s">
        <v>181</v>
      </c>
      <c r="F170" s="7">
        <f>'Прил.№4 ведомств.'!G126</f>
        <v>1752.9</v>
      </c>
      <c r="G170" s="7">
        <f>'Прил.№4 ведомств.'!I126</f>
        <v>1752.9</v>
      </c>
      <c r="H170" s="7">
        <f>'Прил.№4 ведомств.'!J126</f>
        <v>1752.9</v>
      </c>
      <c r="I170" s="7">
        <f>'Прил.№4 ведомств.'!K126</f>
        <v>1752.9</v>
      </c>
      <c r="J170" s="7">
        <f>'Прил.№4 ведомств.'!L126</f>
        <v>1752.9</v>
      </c>
      <c r="K170" s="7">
        <f>'Прил.№4 ведомств.'!M126</f>
        <v>1356.3</v>
      </c>
      <c r="L170" s="7">
        <f>'Прил.№4 ведомств.'!N126</f>
        <v>952.8</v>
      </c>
      <c r="M170" s="7">
        <f t="shared" si="82"/>
        <v>70.249944702499448</v>
      </c>
    </row>
    <row r="171" spans="1:13" ht="31.5" x14ac:dyDescent="0.25">
      <c r="A171" s="26" t="s">
        <v>182</v>
      </c>
      <c r="B171" s="42" t="s">
        <v>169</v>
      </c>
      <c r="C171" s="42" t="s">
        <v>191</v>
      </c>
      <c r="D171" s="42" t="s">
        <v>246</v>
      </c>
      <c r="E171" s="42" t="s">
        <v>183</v>
      </c>
      <c r="F171" s="7"/>
      <c r="G171" s="7"/>
      <c r="H171" s="7"/>
      <c r="I171" s="7"/>
      <c r="J171" s="7"/>
      <c r="K171" s="7">
        <f>K172</f>
        <v>39.700000000000003</v>
      </c>
      <c r="L171" s="7">
        <f t="shared" ref="L171" si="101">L172</f>
        <v>20.7</v>
      </c>
      <c r="M171" s="7">
        <f t="shared" si="82"/>
        <v>52.141057934508808</v>
      </c>
    </row>
    <row r="172" spans="1:13" ht="47.25" x14ac:dyDescent="0.25">
      <c r="A172" s="26" t="s">
        <v>184</v>
      </c>
      <c r="B172" s="42" t="s">
        <v>169</v>
      </c>
      <c r="C172" s="42" t="s">
        <v>191</v>
      </c>
      <c r="D172" s="42" t="s">
        <v>246</v>
      </c>
      <c r="E172" s="42" t="s">
        <v>185</v>
      </c>
      <c r="F172" s="7"/>
      <c r="G172" s="7"/>
      <c r="H172" s="7"/>
      <c r="I172" s="7"/>
      <c r="J172" s="7"/>
      <c r="K172" s="7">
        <f>'Прил.№4 ведомств.'!M128</f>
        <v>39.700000000000003</v>
      </c>
      <c r="L172" s="7">
        <f>'Прил.№4 ведомств.'!N128</f>
        <v>20.7</v>
      </c>
      <c r="M172" s="7">
        <f t="shared" si="82"/>
        <v>52.141057934508808</v>
      </c>
    </row>
    <row r="173" spans="1:13" ht="47.25" x14ac:dyDescent="0.25">
      <c r="A173" s="47" t="s">
        <v>247</v>
      </c>
      <c r="B173" s="42" t="s">
        <v>169</v>
      </c>
      <c r="C173" s="42" t="s">
        <v>191</v>
      </c>
      <c r="D173" s="42" t="s">
        <v>248</v>
      </c>
      <c r="E173" s="42"/>
      <c r="F173" s="7">
        <f>F174+F176</f>
        <v>1106.1999999999998</v>
      </c>
      <c r="G173" s="7">
        <f t="shared" ref="G173:K173" si="102">G174+G176</f>
        <v>1106.1999999999998</v>
      </c>
      <c r="H173" s="7">
        <f t="shared" si="102"/>
        <v>1106.1999999999998</v>
      </c>
      <c r="I173" s="7">
        <f t="shared" si="102"/>
        <v>1106.1999999999998</v>
      </c>
      <c r="J173" s="7">
        <f t="shared" si="102"/>
        <v>1106.1999999999998</v>
      </c>
      <c r="K173" s="7">
        <f t="shared" si="102"/>
        <v>1106.2</v>
      </c>
      <c r="L173" s="7">
        <f t="shared" ref="L173" si="103">L174+L176</f>
        <v>429.2</v>
      </c>
      <c r="M173" s="7">
        <f t="shared" si="82"/>
        <v>38.79949376242994</v>
      </c>
    </row>
    <row r="174" spans="1:13" ht="78.75" x14ac:dyDescent="0.25">
      <c r="A174" s="31" t="s">
        <v>178</v>
      </c>
      <c r="B174" s="42" t="s">
        <v>169</v>
      </c>
      <c r="C174" s="42" t="s">
        <v>191</v>
      </c>
      <c r="D174" s="42" t="s">
        <v>248</v>
      </c>
      <c r="E174" s="42" t="s">
        <v>179</v>
      </c>
      <c r="F174" s="7">
        <f>F175</f>
        <v>1073.0999999999999</v>
      </c>
      <c r="G174" s="7">
        <f t="shared" ref="G174:L174" si="104">G175</f>
        <v>1073.0999999999999</v>
      </c>
      <c r="H174" s="7">
        <f t="shared" si="104"/>
        <v>1073.0999999999999</v>
      </c>
      <c r="I174" s="7">
        <f t="shared" si="104"/>
        <v>1073.0999999999999</v>
      </c>
      <c r="J174" s="7">
        <f t="shared" si="104"/>
        <v>1073.0999999999999</v>
      </c>
      <c r="K174" s="7">
        <f t="shared" si="104"/>
        <v>1025.5</v>
      </c>
      <c r="L174" s="7">
        <f t="shared" si="104"/>
        <v>421.8</v>
      </c>
      <c r="M174" s="7">
        <f t="shared" si="82"/>
        <v>41.131155533885909</v>
      </c>
    </row>
    <row r="175" spans="1:13" ht="31.5" x14ac:dyDescent="0.25">
      <c r="A175" s="31" t="s">
        <v>180</v>
      </c>
      <c r="B175" s="42" t="s">
        <v>169</v>
      </c>
      <c r="C175" s="42" t="s">
        <v>191</v>
      </c>
      <c r="D175" s="42" t="s">
        <v>248</v>
      </c>
      <c r="E175" s="42" t="s">
        <v>181</v>
      </c>
      <c r="F175" s="7">
        <f>'Прил.№4 ведомств.'!G131</f>
        <v>1073.0999999999999</v>
      </c>
      <c r="G175" s="7">
        <f>'Прил.№4 ведомств.'!I131</f>
        <v>1073.0999999999999</v>
      </c>
      <c r="H175" s="7">
        <f>'Прил.№4 ведомств.'!J131</f>
        <v>1073.0999999999999</v>
      </c>
      <c r="I175" s="7">
        <f>'Прил.№4 ведомств.'!K131</f>
        <v>1073.0999999999999</v>
      </c>
      <c r="J175" s="7">
        <f>'Прил.№4 ведомств.'!L131</f>
        <v>1073.0999999999999</v>
      </c>
      <c r="K175" s="7">
        <f>'Прил.№4 ведомств.'!M131</f>
        <v>1025.5</v>
      </c>
      <c r="L175" s="7">
        <f>'Прил.№4 ведомств.'!N131</f>
        <v>421.8</v>
      </c>
      <c r="M175" s="7">
        <f t="shared" si="82"/>
        <v>41.131155533885909</v>
      </c>
    </row>
    <row r="176" spans="1:13" ht="31.5" x14ac:dyDescent="0.25">
      <c r="A176" s="31" t="s">
        <v>182</v>
      </c>
      <c r="B176" s="42" t="s">
        <v>169</v>
      </c>
      <c r="C176" s="42" t="s">
        <v>191</v>
      </c>
      <c r="D176" s="42" t="s">
        <v>248</v>
      </c>
      <c r="E176" s="42" t="s">
        <v>183</v>
      </c>
      <c r="F176" s="7">
        <f>F177</f>
        <v>33.1</v>
      </c>
      <c r="G176" s="7">
        <f t="shared" ref="G176:L176" si="105">G177</f>
        <v>33.1</v>
      </c>
      <c r="H176" s="7">
        <f t="shared" si="105"/>
        <v>33.1</v>
      </c>
      <c r="I176" s="7">
        <f t="shared" si="105"/>
        <v>33.1</v>
      </c>
      <c r="J176" s="7">
        <f t="shared" si="105"/>
        <v>33.1</v>
      </c>
      <c r="K176" s="7">
        <f t="shared" si="105"/>
        <v>80.7</v>
      </c>
      <c r="L176" s="7">
        <f t="shared" si="105"/>
        <v>7.4</v>
      </c>
      <c r="M176" s="7">
        <f t="shared" si="82"/>
        <v>9.1697645600991322</v>
      </c>
    </row>
    <row r="177" spans="1:13" ht="47.25" x14ac:dyDescent="0.25">
      <c r="A177" s="31" t="s">
        <v>184</v>
      </c>
      <c r="B177" s="42" t="s">
        <v>169</v>
      </c>
      <c r="C177" s="42" t="s">
        <v>191</v>
      </c>
      <c r="D177" s="42" t="s">
        <v>248</v>
      </c>
      <c r="E177" s="42" t="s">
        <v>185</v>
      </c>
      <c r="F177" s="7">
        <f>'Прил.№4 ведомств.'!G133</f>
        <v>33.1</v>
      </c>
      <c r="G177" s="7">
        <f>'Прил.№4 ведомств.'!I133</f>
        <v>33.1</v>
      </c>
      <c r="H177" s="7">
        <f>'Прил.№4 ведомств.'!J133</f>
        <v>33.1</v>
      </c>
      <c r="I177" s="7">
        <f>'Прил.№4 ведомств.'!K133</f>
        <v>33.1</v>
      </c>
      <c r="J177" s="7">
        <f>'Прил.№4 ведомств.'!L133</f>
        <v>33.1</v>
      </c>
      <c r="K177" s="7">
        <f>'Прил.№4 ведомств.'!M133</f>
        <v>80.7</v>
      </c>
      <c r="L177" s="7">
        <f>'Прил.№4 ведомств.'!N133</f>
        <v>7.4</v>
      </c>
      <c r="M177" s="7">
        <f t="shared" si="82"/>
        <v>9.1697645600991322</v>
      </c>
    </row>
    <row r="178" spans="1:13" ht="15.75" x14ac:dyDescent="0.25">
      <c r="A178" s="31" t="s">
        <v>192</v>
      </c>
      <c r="B178" s="42" t="s">
        <v>169</v>
      </c>
      <c r="C178" s="42" t="s">
        <v>191</v>
      </c>
      <c r="D178" s="42" t="s">
        <v>193</v>
      </c>
      <c r="E178" s="42"/>
      <c r="F178" s="7">
        <f>F179+F182+F185+F190+F195</f>
        <v>12669.839999999998</v>
      </c>
      <c r="G178" s="7">
        <f t="shared" ref="G178:J178" si="106">G179+G182+G185+G190+G195</f>
        <v>12595.74</v>
      </c>
      <c r="H178" s="7">
        <f t="shared" si="106"/>
        <v>13189.3</v>
      </c>
      <c r="I178" s="7">
        <f t="shared" si="106"/>
        <v>13516.099999999999</v>
      </c>
      <c r="J178" s="7">
        <f t="shared" si="106"/>
        <v>13741.5</v>
      </c>
      <c r="K178" s="7">
        <f>K179+K182+K185+K190+K195</f>
        <v>12475.999999999998</v>
      </c>
      <c r="L178" s="7">
        <f t="shared" ref="L178" si="107">L179+L182+L185+L190+L195</f>
        <v>8000.0000000000009</v>
      </c>
      <c r="M178" s="7">
        <f t="shared" si="82"/>
        <v>64.123116383456264</v>
      </c>
    </row>
    <row r="179" spans="1:13" ht="47.25" x14ac:dyDescent="0.25">
      <c r="A179" s="31" t="s">
        <v>440</v>
      </c>
      <c r="B179" s="42" t="s">
        <v>169</v>
      </c>
      <c r="C179" s="42" t="s">
        <v>191</v>
      </c>
      <c r="D179" s="42" t="s">
        <v>441</v>
      </c>
      <c r="E179" s="42"/>
      <c r="F179" s="7">
        <f>F180</f>
        <v>3612.94</v>
      </c>
      <c r="G179" s="7">
        <f t="shared" ref="G179:L180" si="108">G180</f>
        <v>3612.94</v>
      </c>
      <c r="H179" s="7">
        <f t="shared" si="108"/>
        <v>3123.5</v>
      </c>
      <c r="I179" s="7">
        <f t="shared" si="108"/>
        <v>3304.4</v>
      </c>
      <c r="J179" s="7">
        <f t="shared" si="108"/>
        <v>3403.5</v>
      </c>
      <c r="K179" s="7">
        <f t="shared" si="108"/>
        <v>5550.9</v>
      </c>
      <c r="L179" s="7">
        <f t="shared" si="108"/>
        <v>2781.9</v>
      </c>
      <c r="M179" s="7">
        <f t="shared" si="82"/>
        <v>50.116197373398919</v>
      </c>
    </row>
    <row r="180" spans="1:13" ht="31.5" x14ac:dyDescent="0.25">
      <c r="A180" s="31" t="s">
        <v>182</v>
      </c>
      <c r="B180" s="42" t="s">
        <v>169</v>
      </c>
      <c r="C180" s="42" t="s">
        <v>191</v>
      </c>
      <c r="D180" s="42" t="s">
        <v>441</v>
      </c>
      <c r="E180" s="42" t="s">
        <v>183</v>
      </c>
      <c r="F180" s="63">
        <f>F181</f>
        <v>3612.94</v>
      </c>
      <c r="G180" s="63">
        <f t="shared" si="108"/>
        <v>3612.94</v>
      </c>
      <c r="H180" s="63">
        <f t="shared" si="108"/>
        <v>3123.5</v>
      </c>
      <c r="I180" s="63">
        <f t="shared" si="108"/>
        <v>3304.4</v>
      </c>
      <c r="J180" s="63">
        <f t="shared" si="108"/>
        <v>3403.5</v>
      </c>
      <c r="K180" s="63">
        <f t="shared" si="108"/>
        <v>5550.9</v>
      </c>
      <c r="L180" s="63">
        <f t="shared" si="108"/>
        <v>2781.9</v>
      </c>
      <c r="M180" s="7">
        <f t="shared" si="82"/>
        <v>50.116197373398919</v>
      </c>
    </row>
    <row r="181" spans="1:13" ht="47.25" x14ac:dyDescent="0.25">
      <c r="A181" s="31" t="s">
        <v>184</v>
      </c>
      <c r="B181" s="42" t="s">
        <v>169</v>
      </c>
      <c r="C181" s="42" t="s">
        <v>191</v>
      </c>
      <c r="D181" s="42" t="s">
        <v>441</v>
      </c>
      <c r="E181" s="42" t="s">
        <v>185</v>
      </c>
      <c r="F181" s="63">
        <f>'Прил.№4 ведомств.'!G552</f>
        <v>3612.94</v>
      </c>
      <c r="G181" s="63">
        <f>'Прил.№4 ведомств.'!I552</f>
        <v>3612.94</v>
      </c>
      <c r="H181" s="63">
        <f>'Прил.№4 ведомств.'!J552</f>
        <v>3123.5</v>
      </c>
      <c r="I181" s="63">
        <f>'Прил.№4 ведомств.'!K552</f>
        <v>3304.4</v>
      </c>
      <c r="J181" s="63">
        <f>'Прил.№4 ведомств.'!L552</f>
        <v>3403.5</v>
      </c>
      <c r="K181" s="63">
        <f>'Прил.№4 ведомств.'!M552</f>
        <v>5550.9</v>
      </c>
      <c r="L181" s="63">
        <f>'Прил.№4 ведомств.'!N552</f>
        <v>2781.9</v>
      </c>
      <c r="M181" s="7">
        <f t="shared" si="82"/>
        <v>50.116197373398919</v>
      </c>
    </row>
    <row r="182" spans="1:13" ht="15.75" hidden="1" x14ac:dyDescent="0.25">
      <c r="A182" s="31" t="s">
        <v>230</v>
      </c>
      <c r="B182" s="42" t="s">
        <v>169</v>
      </c>
      <c r="C182" s="42" t="s">
        <v>191</v>
      </c>
      <c r="D182" s="42" t="s">
        <v>256</v>
      </c>
      <c r="E182" s="42"/>
      <c r="F182" s="7">
        <f>F183</f>
        <v>5</v>
      </c>
      <c r="G182" s="7">
        <f t="shared" ref="G182:L183" si="109">G183</f>
        <v>0</v>
      </c>
      <c r="H182" s="7">
        <f t="shared" si="109"/>
        <v>0</v>
      </c>
      <c r="I182" s="7">
        <f t="shared" si="109"/>
        <v>0</v>
      </c>
      <c r="J182" s="7">
        <f t="shared" si="109"/>
        <v>0</v>
      </c>
      <c r="K182" s="7">
        <f t="shared" si="109"/>
        <v>0</v>
      </c>
      <c r="L182" s="7">
        <f t="shared" si="109"/>
        <v>0</v>
      </c>
      <c r="M182" s="7" t="e">
        <f t="shared" si="82"/>
        <v>#DIV/0!</v>
      </c>
    </row>
    <row r="183" spans="1:13" ht="31.5" hidden="1" x14ac:dyDescent="0.25">
      <c r="A183" s="31" t="s">
        <v>182</v>
      </c>
      <c r="B183" s="42" t="s">
        <v>169</v>
      </c>
      <c r="C183" s="42" t="s">
        <v>191</v>
      </c>
      <c r="D183" s="42" t="s">
        <v>256</v>
      </c>
      <c r="E183" s="42" t="s">
        <v>183</v>
      </c>
      <c r="F183" s="7">
        <f>F184</f>
        <v>5</v>
      </c>
      <c r="G183" s="7">
        <f t="shared" si="109"/>
        <v>0</v>
      </c>
      <c r="H183" s="7">
        <f t="shared" si="109"/>
        <v>0</v>
      </c>
      <c r="I183" s="7">
        <f t="shared" si="109"/>
        <v>0</v>
      </c>
      <c r="J183" s="7">
        <f t="shared" si="109"/>
        <v>0</v>
      </c>
      <c r="K183" s="7">
        <f t="shared" si="109"/>
        <v>0</v>
      </c>
      <c r="L183" s="7">
        <f t="shared" si="109"/>
        <v>0</v>
      </c>
      <c r="M183" s="7" t="e">
        <f t="shared" si="82"/>
        <v>#DIV/0!</v>
      </c>
    </row>
    <row r="184" spans="1:13" ht="47.25" hidden="1" x14ac:dyDescent="0.25">
      <c r="A184" s="31" t="s">
        <v>184</v>
      </c>
      <c r="B184" s="42" t="s">
        <v>169</v>
      </c>
      <c r="C184" s="42" t="s">
        <v>191</v>
      </c>
      <c r="D184" s="42" t="s">
        <v>256</v>
      </c>
      <c r="E184" s="42" t="s">
        <v>185</v>
      </c>
      <c r="F184" s="7">
        <f>'Прил.№4 ведомств.'!G591</f>
        <v>5</v>
      </c>
      <c r="G184" s="7">
        <f>'Прил.№4 ведомств.'!I591</f>
        <v>0</v>
      </c>
      <c r="H184" s="7">
        <f>'Прил.№4 ведомств.'!J591</f>
        <v>0</v>
      </c>
      <c r="I184" s="7">
        <f>'Прил.№4 ведомств.'!K591</f>
        <v>0</v>
      </c>
      <c r="J184" s="7">
        <f>'Прил.№4 ведомств.'!L591</f>
        <v>0</v>
      </c>
      <c r="K184" s="7">
        <f>'Прил.№4 ведомств.'!M591</f>
        <v>0</v>
      </c>
      <c r="L184" s="7">
        <f>'Прил.№4 ведомств.'!N591</f>
        <v>0</v>
      </c>
      <c r="M184" s="7" t="e">
        <f t="shared" si="82"/>
        <v>#DIV/0!</v>
      </c>
    </row>
    <row r="185" spans="1:13" ht="15.75" x14ac:dyDescent="0.25">
      <c r="A185" s="31" t="s">
        <v>257</v>
      </c>
      <c r="B185" s="42" t="s">
        <v>169</v>
      </c>
      <c r="C185" s="42" t="s">
        <v>191</v>
      </c>
      <c r="D185" s="42" t="s">
        <v>258</v>
      </c>
      <c r="E185" s="42"/>
      <c r="F185" s="7">
        <f>F186+F188</f>
        <v>6126.7</v>
      </c>
      <c r="G185" s="7">
        <f t="shared" ref="G185:K185" si="110">G186+G188</f>
        <v>6085.5</v>
      </c>
      <c r="H185" s="7">
        <f t="shared" si="110"/>
        <v>7619.5</v>
      </c>
      <c r="I185" s="7">
        <f t="shared" si="110"/>
        <v>7734.4</v>
      </c>
      <c r="J185" s="7">
        <f t="shared" si="110"/>
        <v>7839.7</v>
      </c>
      <c r="K185" s="7">
        <f t="shared" si="110"/>
        <v>6357.7</v>
      </c>
      <c r="L185" s="7">
        <f t="shared" ref="L185" si="111">L186+L188</f>
        <v>4650.8</v>
      </c>
      <c r="M185" s="7">
        <f t="shared" si="82"/>
        <v>73.152240590150527</v>
      </c>
    </row>
    <row r="186" spans="1:13" ht="78.75" x14ac:dyDescent="0.25">
      <c r="A186" s="31" t="s">
        <v>178</v>
      </c>
      <c r="B186" s="42" t="s">
        <v>169</v>
      </c>
      <c r="C186" s="42" t="s">
        <v>191</v>
      </c>
      <c r="D186" s="42" t="s">
        <v>258</v>
      </c>
      <c r="E186" s="42" t="s">
        <v>179</v>
      </c>
      <c r="F186" s="7">
        <f>F187</f>
        <v>4952</v>
      </c>
      <c r="G186" s="7">
        <f t="shared" ref="G186:L186" si="112">G187</f>
        <v>4952</v>
      </c>
      <c r="H186" s="7">
        <f t="shared" si="112"/>
        <v>6094.8</v>
      </c>
      <c r="I186" s="7">
        <f t="shared" si="112"/>
        <v>6155.8</v>
      </c>
      <c r="J186" s="7">
        <f t="shared" si="112"/>
        <v>6217.4</v>
      </c>
      <c r="K186" s="7">
        <f t="shared" si="112"/>
        <v>5183</v>
      </c>
      <c r="L186" s="7">
        <f t="shared" si="112"/>
        <v>3900.4</v>
      </c>
      <c r="M186" s="7">
        <f t="shared" si="82"/>
        <v>75.253714065213188</v>
      </c>
    </row>
    <row r="187" spans="1:13" ht="31.5" x14ac:dyDescent="0.25">
      <c r="A187" s="26" t="s">
        <v>259</v>
      </c>
      <c r="B187" s="42" t="s">
        <v>169</v>
      </c>
      <c r="C187" s="42" t="s">
        <v>191</v>
      </c>
      <c r="D187" s="42" t="s">
        <v>258</v>
      </c>
      <c r="E187" s="42" t="s">
        <v>260</v>
      </c>
      <c r="F187" s="7">
        <f>'Прил.№4 ведомств.'!G149</f>
        <v>4952</v>
      </c>
      <c r="G187" s="7">
        <f>'Прил.№4 ведомств.'!I149</f>
        <v>4952</v>
      </c>
      <c r="H187" s="7">
        <f>'Прил.№4 ведомств.'!J149</f>
        <v>6094.8</v>
      </c>
      <c r="I187" s="7">
        <f>'Прил.№4 ведомств.'!K149</f>
        <v>6155.8</v>
      </c>
      <c r="J187" s="7">
        <f>'Прил.№4 ведомств.'!L149</f>
        <v>6217.4</v>
      </c>
      <c r="K187" s="7">
        <f>'Прил.№4 ведомств.'!M149</f>
        <v>5183</v>
      </c>
      <c r="L187" s="7">
        <f>'Прил.№4 ведомств.'!N149</f>
        <v>3900.4</v>
      </c>
      <c r="M187" s="7">
        <f t="shared" si="82"/>
        <v>75.253714065213188</v>
      </c>
    </row>
    <row r="188" spans="1:13" ht="31.5" x14ac:dyDescent="0.25">
      <c r="A188" s="31" t="s">
        <v>182</v>
      </c>
      <c r="B188" s="42" t="s">
        <v>169</v>
      </c>
      <c r="C188" s="42" t="s">
        <v>191</v>
      </c>
      <c r="D188" s="42" t="s">
        <v>258</v>
      </c>
      <c r="E188" s="42" t="s">
        <v>183</v>
      </c>
      <c r="F188" s="63">
        <f>F189</f>
        <v>1174.7</v>
      </c>
      <c r="G188" s="63">
        <f t="shared" ref="G188:L188" si="113">G189</f>
        <v>1133.5</v>
      </c>
      <c r="H188" s="63">
        <f t="shared" si="113"/>
        <v>1524.7</v>
      </c>
      <c r="I188" s="63">
        <f t="shared" si="113"/>
        <v>1578.6</v>
      </c>
      <c r="J188" s="63">
        <f t="shared" si="113"/>
        <v>1622.3</v>
      </c>
      <c r="K188" s="63">
        <f t="shared" si="113"/>
        <v>1174.7</v>
      </c>
      <c r="L188" s="63">
        <f t="shared" si="113"/>
        <v>750.4</v>
      </c>
      <c r="M188" s="7">
        <f t="shared" si="82"/>
        <v>63.880139610113218</v>
      </c>
    </row>
    <row r="189" spans="1:13" ht="47.25" x14ac:dyDescent="0.25">
      <c r="A189" s="31" t="s">
        <v>184</v>
      </c>
      <c r="B189" s="42" t="s">
        <v>169</v>
      </c>
      <c r="C189" s="42" t="s">
        <v>191</v>
      </c>
      <c r="D189" s="42" t="s">
        <v>258</v>
      </c>
      <c r="E189" s="42" t="s">
        <v>185</v>
      </c>
      <c r="F189" s="63">
        <f>'Прил.№4 ведомств.'!G151</f>
        <v>1174.7</v>
      </c>
      <c r="G189" s="63">
        <f>'Прил.№4 ведомств.'!I151</f>
        <v>1133.5</v>
      </c>
      <c r="H189" s="63">
        <f>'Прил.№4 ведомств.'!J151</f>
        <v>1524.7</v>
      </c>
      <c r="I189" s="63">
        <f>'Прил.№4 ведомств.'!K151</f>
        <v>1578.6</v>
      </c>
      <c r="J189" s="63">
        <f>'Прил.№4 ведомств.'!L151</f>
        <v>1622.3</v>
      </c>
      <c r="K189" s="63">
        <f>'Прил.№4 ведомств.'!M151</f>
        <v>1174.7</v>
      </c>
      <c r="L189" s="63">
        <f>'Прил.№4 ведомств.'!N151</f>
        <v>750.4</v>
      </c>
      <c r="M189" s="7">
        <f t="shared" si="82"/>
        <v>63.880139610113218</v>
      </c>
    </row>
    <row r="190" spans="1:13" ht="47.25" hidden="1" x14ac:dyDescent="0.25">
      <c r="A190" s="31" t="s">
        <v>261</v>
      </c>
      <c r="B190" s="42" t="s">
        <v>169</v>
      </c>
      <c r="C190" s="42" t="s">
        <v>191</v>
      </c>
      <c r="D190" s="42" t="s">
        <v>262</v>
      </c>
      <c r="E190" s="42"/>
      <c r="F190" s="7">
        <f>F191+F193</f>
        <v>2520.4</v>
      </c>
      <c r="G190" s="7">
        <f t="shared" ref="G190:K190" si="114">G191+G193</f>
        <v>2492.5</v>
      </c>
      <c r="H190" s="7">
        <f t="shared" si="114"/>
        <v>2446.3000000000002</v>
      </c>
      <c r="I190" s="7">
        <f t="shared" si="114"/>
        <v>2477.3000000000002</v>
      </c>
      <c r="J190" s="7">
        <f t="shared" si="114"/>
        <v>2498.3000000000002</v>
      </c>
      <c r="K190" s="7">
        <f t="shared" si="114"/>
        <v>0</v>
      </c>
      <c r="L190" s="7">
        <f t="shared" ref="L190" si="115">L191+L193</f>
        <v>0</v>
      </c>
      <c r="M190" s="7" t="e">
        <f t="shared" si="82"/>
        <v>#DIV/0!</v>
      </c>
    </row>
    <row r="191" spans="1:13" ht="78.75" hidden="1" x14ac:dyDescent="0.25">
      <c r="A191" s="31" t="s">
        <v>178</v>
      </c>
      <c r="B191" s="42" t="s">
        <v>169</v>
      </c>
      <c r="C191" s="42" t="s">
        <v>191</v>
      </c>
      <c r="D191" s="42" t="s">
        <v>262</v>
      </c>
      <c r="E191" s="42" t="s">
        <v>179</v>
      </c>
      <c r="F191" s="63">
        <f>F192</f>
        <v>1895</v>
      </c>
      <c r="G191" s="63">
        <f t="shared" ref="G191:L191" si="116">G192</f>
        <v>1895</v>
      </c>
      <c r="H191" s="63">
        <f t="shared" si="116"/>
        <v>1777</v>
      </c>
      <c r="I191" s="63">
        <f t="shared" si="116"/>
        <v>1777</v>
      </c>
      <c r="J191" s="63">
        <f t="shared" si="116"/>
        <v>1777</v>
      </c>
      <c r="K191" s="63">
        <f t="shared" si="116"/>
        <v>0</v>
      </c>
      <c r="L191" s="63">
        <f t="shared" si="116"/>
        <v>0</v>
      </c>
      <c r="M191" s="7" t="e">
        <f t="shared" si="82"/>
        <v>#DIV/0!</v>
      </c>
    </row>
    <row r="192" spans="1:13" ht="31.5" hidden="1" x14ac:dyDescent="0.25">
      <c r="A192" s="31" t="s">
        <v>180</v>
      </c>
      <c r="B192" s="42" t="s">
        <v>169</v>
      </c>
      <c r="C192" s="42" t="s">
        <v>191</v>
      </c>
      <c r="D192" s="42" t="s">
        <v>262</v>
      </c>
      <c r="E192" s="42" t="s">
        <v>181</v>
      </c>
      <c r="F192" s="63">
        <f>'Прил.№4 ведомств.'!G154</f>
        <v>1895</v>
      </c>
      <c r="G192" s="63">
        <f>'Прил.№4 ведомств.'!I154</f>
        <v>1895</v>
      </c>
      <c r="H192" s="63">
        <f>'Прил.№4 ведомств.'!J154</f>
        <v>1777</v>
      </c>
      <c r="I192" s="63">
        <f>'Прил.№4 ведомств.'!K154</f>
        <v>1777</v>
      </c>
      <c r="J192" s="63">
        <f>'Прил.№4 ведомств.'!L154</f>
        <v>1777</v>
      </c>
      <c r="K192" s="63">
        <f>'Прил.№4 ведомств.'!M154</f>
        <v>0</v>
      </c>
      <c r="L192" s="63">
        <f>'Прил.№4 ведомств.'!N154</f>
        <v>0</v>
      </c>
      <c r="M192" s="7" t="e">
        <f t="shared" si="82"/>
        <v>#DIV/0!</v>
      </c>
    </row>
    <row r="193" spans="1:13" ht="31.5" hidden="1" x14ac:dyDescent="0.25">
      <c r="A193" s="31" t="s">
        <v>182</v>
      </c>
      <c r="B193" s="42" t="s">
        <v>169</v>
      </c>
      <c r="C193" s="42" t="s">
        <v>191</v>
      </c>
      <c r="D193" s="42" t="s">
        <v>262</v>
      </c>
      <c r="E193" s="42" t="s">
        <v>183</v>
      </c>
      <c r="F193" s="7">
        <f>F194</f>
        <v>625.4</v>
      </c>
      <c r="G193" s="7">
        <f t="shared" ref="G193:L193" si="117">G194</f>
        <v>597.5</v>
      </c>
      <c r="H193" s="7">
        <f t="shared" si="117"/>
        <v>669.3</v>
      </c>
      <c r="I193" s="7">
        <f t="shared" si="117"/>
        <v>700.3</v>
      </c>
      <c r="J193" s="7">
        <f t="shared" si="117"/>
        <v>721.3</v>
      </c>
      <c r="K193" s="7">
        <f t="shared" si="117"/>
        <v>0</v>
      </c>
      <c r="L193" s="7">
        <f t="shared" si="117"/>
        <v>0</v>
      </c>
      <c r="M193" s="7" t="e">
        <f t="shared" si="82"/>
        <v>#DIV/0!</v>
      </c>
    </row>
    <row r="194" spans="1:13" ht="47.25" hidden="1" x14ac:dyDescent="0.25">
      <c r="A194" s="31" t="s">
        <v>184</v>
      </c>
      <c r="B194" s="42" t="s">
        <v>169</v>
      </c>
      <c r="C194" s="42" t="s">
        <v>191</v>
      </c>
      <c r="D194" s="42" t="s">
        <v>262</v>
      </c>
      <c r="E194" s="42" t="s">
        <v>185</v>
      </c>
      <c r="F194" s="63">
        <f>'Прил.№4 ведомств.'!G156</f>
        <v>625.4</v>
      </c>
      <c r="G194" s="63">
        <f>'Прил.№4 ведомств.'!I156</f>
        <v>597.5</v>
      </c>
      <c r="H194" s="63">
        <f>'Прил.№4 ведомств.'!J156</f>
        <v>669.3</v>
      </c>
      <c r="I194" s="63">
        <f>'Прил.№4 ведомств.'!K156</f>
        <v>700.3</v>
      </c>
      <c r="J194" s="63">
        <f>'Прил.№4 ведомств.'!L156</f>
        <v>721.3</v>
      </c>
      <c r="K194" s="63">
        <f>'Прил.№4 ведомств.'!M156</f>
        <v>0</v>
      </c>
      <c r="L194" s="63">
        <f>'Прил.№4 ведомств.'!N156</f>
        <v>0</v>
      </c>
      <c r="M194" s="7" t="e">
        <f t="shared" si="82"/>
        <v>#DIV/0!</v>
      </c>
    </row>
    <row r="195" spans="1:13" ht="15.75" x14ac:dyDescent="0.25">
      <c r="A195" s="26" t="s">
        <v>194</v>
      </c>
      <c r="B195" s="42" t="s">
        <v>169</v>
      </c>
      <c r="C195" s="42" t="s">
        <v>191</v>
      </c>
      <c r="D195" s="42" t="s">
        <v>195</v>
      </c>
      <c r="E195" s="42"/>
      <c r="F195" s="63">
        <f>F196</f>
        <v>404.8</v>
      </c>
      <c r="G195" s="63">
        <f t="shared" ref="G195:L195" si="118">G196</f>
        <v>404.8</v>
      </c>
      <c r="H195" s="63">
        <f t="shared" si="118"/>
        <v>0</v>
      </c>
      <c r="I195" s="63">
        <f t="shared" si="118"/>
        <v>0</v>
      </c>
      <c r="J195" s="63">
        <f t="shared" si="118"/>
        <v>0</v>
      </c>
      <c r="K195" s="63">
        <f t="shared" si="118"/>
        <v>567.4</v>
      </c>
      <c r="L195" s="63">
        <f t="shared" si="118"/>
        <v>567.29999999999995</v>
      </c>
      <c r="M195" s="7">
        <f t="shared" si="82"/>
        <v>99.982375749030666</v>
      </c>
    </row>
    <row r="196" spans="1:13" ht="15.75" x14ac:dyDescent="0.25">
      <c r="A196" s="26" t="s">
        <v>186</v>
      </c>
      <c r="B196" s="42" t="s">
        <v>169</v>
      </c>
      <c r="C196" s="42" t="s">
        <v>191</v>
      </c>
      <c r="D196" s="42" t="s">
        <v>195</v>
      </c>
      <c r="E196" s="42" t="s">
        <v>196</v>
      </c>
      <c r="F196" s="63">
        <f>F197+F198</f>
        <v>404.8</v>
      </c>
      <c r="G196" s="63">
        <f t="shared" ref="G196:K196" si="119">G197+G198</f>
        <v>404.8</v>
      </c>
      <c r="H196" s="63">
        <f t="shared" si="119"/>
        <v>0</v>
      </c>
      <c r="I196" s="63">
        <f t="shared" si="119"/>
        <v>0</v>
      </c>
      <c r="J196" s="63">
        <f t="shared" si="119"/>
        <v>0</v>
      </c>
      <c r="K196" s="63">
        <f t="shared" si="119"/>
        <v>567.4</v>
      </c>
      <c r="L196" s="63">
        <f t="shared" ref="L196" si="120">L197+L198</f>
        <v>567.29999999999995</v>
      </c>
      <c r="M196" s="7">
        <f t="shared" si="82"/>
        <v>99.982375749030666</v>
      </c>
    </row>
    <row r="197" spans="1:13" ht="15.75" x14ac:dyDescent="0.25">
      <c r="A197" s="26" t="s">
        <v>197</v>
      </c>
      <c r="B197" s="42" t="s">
        <v>169</v>
      </c>
      <c r="C197" s="42" t="s">
        <v>191</v>
      </c>
      <c r="D197" s="42" t="s">
        <v>195</v>
      </c>
      <c r="E197" s="42" t="s">
        <v>198</v>
      </c>
      <c r="F197" s="63">
        <f>'Прил.№4 ведомств.'!G27+'Прил.№4 ведомств.'!G159</f>
        <v>142.30000000000001</v>
      </c>
      <c r="G197" s="63">
        <f>'Прил.№4 ведомств.'!I27+'Прил.№4 ведомств.'!I159</f>
        <v>142.30000000000001</v>
      </c>
      <c r="H197" s="63">
        <f>'Прил.№4 ведомств.'!J27+'Прил.№4 ведомств.'!J159</f>
        <v>0</v>
      </c>
      <c r="I197" s="63">
        <f>'Прил.№4 ведомств.'!K27+'Прил.№4 ведомств.'!K159</f>
        <v>0</v>
      </c>
      <c r="J197" s="63">
        <f>'Прил.№4 ведомств.'!L27+'Прил.№4 ведомств.'!L159</f>
        <v>0</v>
      </c>
      <c r="K197" s="63">
        <f>'Прил.№4 ведомств.'!M555</f>
        <v>567.4</v>
      </c>
      <c r="L197" s="63">
        <f>'Прил.№4 ведомств.'!N555</f>
        <v>567.29999999999995</v>
      </c>
      <c r="M197" s="7">
        <f t="shared" si="82"/>
        <v>99.982375749030666</v>
      </c>
    </row>
    <row r="198" spans="1:13" ht="15.75" hidden="1" x14ac:dyDescent="0.25">
      <c r="A198" s="26" t="s">
        <v>620</v>
      </c>
      <c r="B198" s="42" t="s">
        <v>169</v>
      </c>
      <c r="C198" s="42" t="s">
        <v>191</v>
      </c>
      <c r="D198" s="42" t="s">
        <v>195</v>
      </c>
      <c r="E198" s="21" t="s">
        <v>189</v>
      </c>
      <c r="F198" s="63">
        <f>'Прил.№4 ведомств.'!G878</f>
        <v>262.5</v>
      </c>
      <c r="G198" s="63">
        <f>'Прил.№4 ведомств.'!I878</f>
        <v>262.5</v>
      </c>
      <c r="H198" s="63">
        <f>'Прил.№4 ведомств.'!J878</f>
        <v>0</v>
      </c>
      <c r="I198" s="63">
        <f>'Прил.№4 ведомств.'!K878</f>
        <v>0</v>
      </c>
      <c r="J198" s="63">
        <f>'Прил.№4 ведомств.'!L878</f>
        <v>0</v>
      </c>
      <c r="K198" s="63">
        <f>'Прил.№4 ведомств.'!M878</f>
        <v>0</v>
      </c>
      <c r="L198" s="63">
        <f>'Прил.№4 ведомств.'!N878</f>
        <v>0</v>
      </c>
      <c r="M198" s="7" t="e">
        <f t="shared" si="82"/>
        <v>#DIV/0!</v>
      </c>
    </row>
    <row r="199" spans="1:13" ht="31.5" x14ac:dyDescent="0.25">
      <c r="A199" s="26" t="s">
        <v>636</v>
      </c>
      <c r="B199" s="42" t="s">
        <v>169</v>
      </c>
      <c r="C199" s="42" t="s">
        <v>191</v>
      </c>
      <c r="D199" s="42" t="s">
        <v>637</v>
      </c>
      <c r="E199" s="21"/>
      <c r="F199" s="63">
        <f>F200</f>
        <v>16452.3</v>
      </c>
      <c r="G199" s="63">
        <f t="shared" ref="G199:L199" si="121">G200</f>
        <v>10135.52</v>
      </c>
      <c r="H199" s="63">
        <f t="shared" si="121"/>
        <v>33970.5</v>
      </c>
      <c r="I199" s="63">
        <f t="shared" si="121"/>
        <v>34241.9</v>
      </c>
      <c r="J199" s="63">
        <f t="shared" si="121"/>
        <v>34516</v>
      </c>
      <c r="K199" s="63">
        <f t="shared" si="121"/>
        <v>36461.1</v>
      </c>
      <c r="L199" s="63">
        <f t="shared" si="121"/>
        <v>28992.100000000002</v>
      </c>
      <c r="M199" s="7">
        <f t="shared" si="82"/>
        <v>79.515154507132266</v>
      </c>
    </row>
    <row r="200" spans="1:13" ht="31.5" x14ac:dyDescent="0.25">
      <c r="A200" s="26" t="s">
        <v>361</v>
      </c>
      <c r="B200" s="42" t="s">
        <v>169</v>
      </c>
      <c r="C200" s="42" t="s">
        <v>191</v>
      </c>
      <c r="D200" s="21" t="s">
        <v>638</v>
      </c>
      <c r="E200" s="21"/>
      <c r="F200" s="63">
        <f>F201+F203+F205</f>
        <v>16452.3</v>
      </c>
      <c r="G200" s="63">
        <f t="shared" ref="G200:K200" si="122">G201+G203+G205</f>
        <v>10135.52</v>
      </c>
      <c r="H200" s="63">
        <f t="shared" si="122"/>
        <v>33970.5</v>
      </c>
      <c r="I200" s="63">
        <f t="shared" si="122"/>
        <v>34241.9</v>
      </c>
      <c r="J200" s="63">
        <f t="shared" si="122"/>
        <v>34516</v>
      </c>
      <c r="K200" s="63">
        <f t="shared" si="122"/>
        <v>36461.1</v>
      </c>
      <c r="L200" s="63">
        <f t="shared" ref="L200" si="123">L201+L203+L205</f>
        <v>28992.100000000002</v>
      </c>
      <c r="M200" s="7">
        <f t="shared" si="82"/>
        <v>79.515154507132266</v>
      </c>
    </row>
    <row r="201" spans="1:13" ht="78.75" x14ac:dyDescent="0.25">
      <c r="A201" s="26" t="s">
        <v>178</v>
      </c>
      <c r="B201" s="42" t="s">
        <v>169</v>
      </c>
      <c r="C201" s="42" t="s">
        <v>191</v>
      </c>
      <c r="D201" s="21" t="s">
        <v>638</v>
      </c>
      <c r="E201" s="21" t="s">
        <v>179</v>
      </c>
      <c r="F201" s="63">
        <f>F202</f>
        <v>13760</v>
      </c>
      <c r="G201" s="63">
        <f t="shared" ref="G201:L201" si="124">G202</f>
        <v>9276.7200000000012</v>
      </c>
      <c r="H201" s="63">
        <f t="shared" si="124"/>
        <v>27139</v>
      </c>
      <c r="I201" s="63">
        <f t="shared" si="124"/>
        <v>27410.400000000001</v>
      </c>
      <c r="J201" s="63">
        <f t="shared" si="124"/>
        <v>27684.5</v>
      </c>
      <c r="K201" s="63">
        <f t="shared" si="124"/>
        <v>25572.400000000001</v>
      </c>
      <c r="L201" s="63">
        <f t="shared" si="124"/>
        <v>22836.7</v>
      </c>
      <c r="M201" s="7">
        <f t="shared" si="82"/>
        <v>89.302138242793006</v>
      </c>
    </row>
    <row r="202" spans="1:13" ht="31.5" x14ac:dyDescent="0.25">
      <c r="A202" s="48" t="s">
        <v>393</v>
      </c>
      <c r="B202" s="42" t="s">
        <v>169</v>
      </c>
      <c r="C202" s="42" t="s">
        <v>191</v>
      </c>
      <c r="D202" s="21" t="s">
        <v>638</v>
      </c>
      <c r="E202" s="21" t="s">
        <v>260</v>
      </c>
      <c r="F202" s="63">
        <f>'Прил.№4 ведомств.'!G882</f>
        <v>13760</v>
      </c>
      <c r="G202" s="63">
        <f>'Прил.№4 ведомств.'!I882</f>
        <v>9276.7200000000012</v>
      </c>
      <c r="H202" s="63">
        <f>'Прил.№4 ведомств.'!J882</f>
        <v>27139</v>
      </c>
      <c r="I202" s="63">
        <f>'Прил.№4 ведомств.'!K882</f>
        <v>27410.400000000001</v>
      </c>
      <c r="J202" s="63">
        <f>'Прил.№4 ведомств.'!L882</f>
        <v>27684.5</v>
      </c>
      <c r="K202" s="63">
        <f>'Прил.№4 ведомств.'!M882</f>
        <v>25572.400000000001</v>
      </c>
      <c r="L202" s="63">
        <f>'Прил.№4 ведомств.'!N882</f>
        <v>22836.7</v>
      </c>
      <c r="M202" s="7">
        <f t="shared" si="82"/>
        <v>89.302138242793006</v>
      </c>
    </row>
    <row r="203" spans="1:13" ht="31.5" x14ac:dyDescent="0.25">
      <c r="A203" s="26" t="s">
        <v>182</v>
      </c>
      <c r="B203" s="42" t="s">
        <v>169</v>
      </c>
      <c r="C203" s="42" t="s">
        <v>191</v>
      </c>
      <c r="D203" s="21" t="s">
        <v>638</v>
      </c>
      <c r="E203" s="21" t="s">
        <v>183</v>
      </c>
      <c r="F203" s="63">
        <f>F204</f>
        <v>2678</v>
      </c>
      <c r="G203" s="63">
        <f t="shared" ref="G203:L203" si="125">G204</f>
        <v>845</v>
      </c>
      <c r="H203" s="63">
        <f t="shared" si="125"/>
        <v>6803</v>
      </c>
      <c r="I203" s="63">
        <f t="shared" si="125"/>
        <v>6803</v>
      </c>
      <c r="J203" s="63">
        <f t="shared" si="125"/>
        <v>6803</v>
      </c>
      <c r="K203" s="63">
        <f t="shared" si="125"/>
        <v>10750</v>
      </c>
      <c r="L203" s="63">
        <f t="shared" si="125"/>
        <v>6050</v>
      </c>
      <c r="M203" s="7">
        <f t="shared" si="82"/>
        <v>56.279069767441861</v>
      </c>
    </row>
    <row r="204" spans="1:13" ht="47.25" x14ac:dyDescent="0.25">
      <c r="A204" s="26" t="s">
        <v>184</v>
      </c>
      <c r="B204" s="42" t="s">
        <v>169</v>
      </c>
      <c r="C204" s="42" t="s">
        <v>191</v>
      </c>
      <c r="D204" s="21" t="s">
        <v>638</v>
      </c>
      <c r="E204" s="21" t="s">
        <v>185</v>
      </c>
      <c r="F204" s="63">
        <f>'Прил.№4 ведомств.'!G884</f>
        <v>2678</v>
      </c>
      <c r="G204" s="63">
        <f>'Прил.№4 ведомств.'!I884</f>
        <v>845</v>
      </c>
      <c r="H204" s="63">
        <f>'Прил.№4 ведомств.'!J884</f>
        <v>6803</v>
      </c>
      <c r="I204" s="63">
        <f>'Прил.№4 ведомств.'!K884</f>
        <v>6803</v>
      </c>
      <c r="J204" s="63">
        <f>'Прил.№4 ведомств.'!L884</f>
        <v>6803</v>
      </c>
      <c r="K204" s="63">
        <f>'Прил.№4 ведомств.'!M884</f>
        <v>10750</v>
      </c>
      <c r="L204" s="63">
        <f>'Прил.№4 ведомств.'!N884</f>
        <v>6050</v>
      </c>
      <c r="M204" s="7">
        <f t="shared" si="82"/>
        <v>56.279069767441861</v>
      </c>
    </row>
    <row r="205" spans="1:13" ht="15.75" x14ac:dyDescent="0.25">
      <c r="A205" s="26" t="s">
        <v>186</v>
      </c>
      <c r="B205" s="42" t="s">
        <v>169</v>
      </c>
      <c r="C205" s="42" t="s">
        <v>191</v>
      </c>
      <c r="D205" s="21" t="s">
        <v>638</v>
      </c>
      <c r="E205" s="21" t="s">
        <v>196</v>
      </c>
      <c r="F205" s="63">
        <f>F206</f>
        <v>14.3</v>
      </c>
      <c r="G205" s="63">
        <f t="shared" ref="G205:L205" si="126">G206</f>
        <v>13.8</v>
      </c>
      <c r="H205" s="63">
        <f t="shared" si="126"/>
        <v>28.5</v>
      </c>
      <c r="I205" s="63">
        <f t="shared" si="126"/>
        <v>28.5</v>
      </c>
      <c r="J205" s="63">
        <f t="shared" si="126"/>
        <v>28.5</v>
      </c>
      <c r="K205" s="63">
        <f t="shared" si="126"/>
        <v>138.69999999999999</v>
      </c>
      <c r="L205" s="63">
        <f t="shared" si="126"/>
        <v>105.4</v>
      </c>
      <c r="M205" s="7">
        <f t="shared" ref="M205:M268" si="127">L205/K205*100</f>
        <v>75.991348233597705</v>
      </c>
    </row>
    <row r="206" spans="1:13" ht="15.75" x14ac:dyDescent="0.25">
      <c r="A206" s="26" t="s">
        <v>797</v>
      </c>
      <c r="B206" s="42" t="s">
        <v>169</v>
      </c>
      <c r="C206" s="42" t="s">
        <v>191</v>
      </c>
      <c r="D206" s="21" t="s">
        <v>638</v>
      </c>
      <c r="E206" s="21" t="s">
        <v>189</v>
      </c>
      <c r="F206" s="63">
        <f>'Прил.№4 ведомств.'!G886</f>
        <v>14.3</v>
      </c>
      <c r="G206" s="63">
        <f>'Прил.№4 ведомств.'!I886</f>
        <v>13.8</v>
      </c>
      <c r="H206" s="63">
        <f>'Прил.№4 ведомств.'!J886</f>
        <v>28.5</v>
      </c>
      <c r="I206" s="63">
        <f>'Прил.№4 ведомств.'!K886</f>
        <v>28.5</v>
      </c>
      <c r="J206" s="63">
        <f>'Прил.№4 ведомств.'!L886</f>
        <v>28.5</v>
      </c>
      <c r="K206" s="63">
        <f>'Прил.№4 ведомств.'!M886</f>
        <v>138.69999999999999</v>
      </c>
      <c r="L206" s="63">
        <f>'Прил.№4 ведомств.'!N886</f>
        <v>105.4</v>
      </c>
      <c r="M206" s="7">
        <f t="shared" si="127"/>
        <v>75.991348233597705</v>
      </c>
    </row>
    <row r="207" spans="1:13" ht="15.75" hidden="1" x14ac:dyDescent="0.25">
      <c r="A207" s="24" t="s">
        <v>263</v>
      </c>
      <c r="B207" s="25" t="s">
        <v>264</v>
      </c>
      <c r="C207" s="25"/>
      <c r="D207" s="25"/>
      <c r="E207" s="25"/>
      <c r="F207" s="67">
        <f t="shared" ref="F207:F212" si="128">F208</f>
        <v>0</v>
      </c>
      <c r="G207" s="67">
        <f t="shared" ref="G207:L212" si="129">G208</f>
        <v>0</v>
      </c>
      <c r="H207" s="67">
        <f t="shared" si="129"/>
        <v>322.89999999999998</v>
      </c>
      <c r="I207" s="67">
        <f t="shared" si="129"/>
        <v>22.3</v>
      </c>
      <c r="J207" s="67">
        <f t="shared" si="129"/>
        <v>22.3</v>
      </c>
      <c r="K207" s="67">
        <f t="shared" si="129"/>
        <v>0</v>
      </c>
      <c r="L207" s="67">
        <f t="shared" si="129"/>
        <v>0</v>
      </c>
      <c r="M207" s="4" t="e">
        <f t="shared" si="127"/>
        <v>#DIV/0!</v>
      </c>
    </row>
    <row r="208" spans="1:13" ht="31.5" hidden="1" x14ac:dyDescent="0.25">
      <c r="A208" s="24" t="s">
        <v>269</v>
      </c>
      <c r="B208" s="25" t="s">
        <v>264</v>
      </c>
      <c r="C208" s="25" t="s">
        <v>270</v>
      </c>
      <c r="D208" s="25"/>
      <c r="E208" s="25"/>
      <c r="F208" s="63">
        <f t="shared" si="128"/>
        <v>0</v>
      </c>
      <c r="G208" s="63">
        <f t="shared" si="129"/>
        <v>0</v>
      </c>
      <c r="H208" s="63">
        <f t="shared" si="129"/>
        <v>322.89999999999998</v>
      </c>
      <c r="I208" s="63">
        <f t="shared" si="129"/>
        <v>22.3</v>
      </c>
      <c r="J208" s="63">
        <f t="shared" si="129"/>
        <v>22.3</v>
      </c>
      <c r="K208" s="63">
        <f t="shared" si="129"/>
        <v>0</v>
      </c>
      <c r="L208" s="63">
        <f t="shared" si="129"/>
        <v>0</v>
      </c>
      <c r="M208" s="4" t="e">
        <f t="shared" si="127"/>
        <v>#DIV/0!</v>
      </c>
    </row>
    <row r="209" spans="1:15" ht="15.75" hidden="1" x14ac:dyDescent="0.25">
      <c r="A209" s="26" t="s">
        <v>172</v>
      </c>
      <c r="B209" s="21" t="s">
        <v>264</v>
      </c>
      <c r="C209" s="21" t="s">
        <v>270</v>
      </c>
      <c r="D209" s="21" t="s">
        <v>173</v>
      </c>
      <c r="E209" s="21"/>
      <c r="F209" s="63">
        <f t="shared" si="128"/>
        <v>0</v>
      </c>
      <c r="G209" s="63">
        <f t="shared" si="129"/>
        <v>0</v>
      </c>
      <c r="H209" s="63">
        <f t="shared" si="129"/>
        <v>322.89999999999998</v>
      </c>
      <c r="I209" s="63">
        <f t="shared" si="129"/>
        <v>22.3</v>
      </c>
      <c r="J209" s="63">
        <f t="shared" si="129"/>
        <v>22.3</v>
      </c>
      <c r="K209" s="63">
        <f t="shared" si="129"/>
        <v>0</v>
      </c>
      <c r="L209" s="63">
        <f t="shared" si="129"/>
        <v>0</v>
      </c>
      <c r="M209" s="4" t="e">
        <f t="shared" si="127"/>
        <v>#DIV/0!</v>
      </c>
    </row>
    <row r="210" spans="1:15" ht="15.75" hidden="1" x14ac:dyDescent="0.25">
      <c r="A210" s="26" t="s">
        <v>192</v>
      </c>
      <c r="B210" s="21" t="s">
        <v>264</v>
      </c>
      <c r="C210" s="21" t="s">
        <v>270</v>
      </c>
      <c r="D210" s="21" t="s">
        <v>193</v>
      </c>
      <c r="E210" s="21"/>
      <c r="F210" s="63">
        <f t="shared" si="128"/>
        <v>0</v>
      </c>
      <c r="G210" s="63">
        <f t="shared" si="129"/>
        <v>0</v>
      </c>
      <c r="H210" s="63">
        <f t="shared" si="129"/>
        <v>322.89999999999998</v>
      </c>
      <c r="I210" s="63">
        <f t="shared" si="129"/>
        <v>22.3</v>
      </c>
      <c r="J210" s="63">
        <f t="shared" si="129"/>
        <v>22.3</v>
      </c>
      <c r="K210" s="63">
        <f t="shared" si="129"/>
        <v>0</v>
      </c>
      <c r="L210" s="63">
        <f t="shared" si="129"/>
        <v>0</v>
      </c>
      <c r="M210" s="4" t="e">
        <f t="shared" si="127"/>
        <v>#DIV/0!</v>
      </c>
    </row>
    <row r="211" spans="1:15" ht="15.75" hidden="1" x14ac:dyDescent="0.25">
      <c r="A211" s="26" t="s">
        <v>271</v>
      </c>
      <c r="B211" s="21" t="s">
        <v>264</v>
      </c>
      <c r="C211" s="21" t="s">
        <v>270</v>
      </c>
      <c r="D211" s="21" t="s">
        <v>272</v>
      </c>
      <c r="E211" s="21"/>
      <c r="F211" s="63">
        <f t="shared" si="128"/>
        <v>0</v>
      </c>
      <c r="G211" s="63">
        <f t="shared" si="129"/>
        <v>0</v>
      </c>
      <c r="H211" s="63">
        <f t="shared" si="129"/>
        <v>322.89999999999998</v>
      </c>
      <c r="I211" s="63">
        <f t="shared" si="129"/>
        <v>22.3</v>
      </c>
      <c r="J211" s="63">
        <f t="shared" si="129"/>
        <v>22.3</v>
      </c>
      <c r="K211" s="63">
        <f t="shared" si="129"/>
        <v>0</v>
      </c>
      <c r="L211" s="63">
        <f t="shared" si="129"/>
        <v>0</v>
      </c>
      <c r="M211" s="4" t="e">
        <f t="shared" si="127"/>
        <v>#DIV/0!</v>
      </c>
    </row>
    <row r="212" spans="1:15" ht="31.5" hidden="1" x14ac:dyDescent="0.25">
      <c r="A212" s="26" t="s">
        <v>249</v>
      </c>
      <c r="B212" s="21" t="s">
        <v>264</v>
      </c>
      <c r="C212" s="21" t="s">
        <v>270</v>
      </c>
      <c r="D212" s="21" t="s">
        <v>272</v>
      </c>
      <c r="E212" s="21" t="s">
        <v>183</v>
      </c>
      <c r="F212" s="63">
        <f t="shared" si="128"/>
        <v>0</v>
      </c>
      <c r="G212" s="63">
        <f t="shared" si="129"/>
        <v>0</v>
      </c>
      <c r="H212" s="63">
        <f t="shared" si="129"/>
        <v>322.89999999999998</v>
      </c>
      <c r="I212" s="63">
        <f t="shared" si="129"/>
        <v>22.3</v>
      </c>
      <c r="J212" s="63">
        <f t="shared" si="129"/>
        <v>22.3</v>
      </c>
      <c r="K212" s="63">
        <f t="shared" si="129"/>
        <v>0</v>
      </c>
      <c r="L212" s="63">
        <f t="shared" si="129"/>
        <v>0</v>
      </c>
      <c r="M212" s="4" t="e">
        <f t="shared" si="127"/>
        <v>#DIV/0!</v>
      </c>
    </row>
    <row r="213" spans="1:15" ht="47.25" hidden="1" x14ac:dyDescent="0.25">
      <c r="A213" s="26" t="s">
        <v>184</v>
      </c>
      <c r="B213" s="21" t="s">
        <v>264</v>
      </c>
      <c r="C213" s="21" t="s">
        <v>270</v>
      </c>
      <c r="D213" s="21" t="s">
        <v>272</v>
      </c>
      <c r="E213" s="21" t="s">
        <v>185</v>
      </c>
      <c r="F213" s="63">
        <f>'Прил.№4 ведомств.'!G166</f>
        <v>0</v>
      </c>
      <c r="G213" s="63">
        <f>'Прил.№4 ведомств.'!I166</f>
        <v>0</v>
      </c>
      <c r="H213" s="63">
        <f>'Прил.№4 ведомств.'!J166</f>
        <v>322.89999999999998</v>
      </c>
      <c r="I213" s="63">
        <f>'Прил.№4 ведомств.'!K166</f>
        <v>22.3</v>
      </c>
      <c r="J213" s="63">
        <f>'Прил.№4 ведомств.'!L166</f>
        <v>22.3</v>
      </c>
      <c r="K213" s="63">
        <f>'Прил.№4 ведомств.'!M166</f>
        <v>0</v>
      </c>
      <c r="L213" s="63">
        <f>'Прил.№4 ведомств.'!N166</f>
        <v>0</v>
      </c>
      <c r="M213" s="4" t="e">
        <f t="shared" si="127"/>
        <v>#DIV/0!</v>
      </c>
    </row>
    <row r="214" spans="1:15" ht="31.5" x14ac:dyDescent="0.25">
      <c r="A214" s="43" t="s">
        <v>273</v>
      </c>
      <c r="B214" s="8" t="s">
        <v>266</v>
      </c>
      <c r="C214" s="8"/>
      <c r="D214" s="8"/>
      <c r="E214" s="8"/>
      <c r="F214" s="4">
        <f>F215</f>
        <v>7209.4000000000005</v>
      </c>
      <c r="G214" s="4">
        <f t="shared" ref="G214:L216" si="130">G215</f>
        <v>5540.3666666666668</v>
      </c>
      <c r="H214" s="4">
        <f t="shared" si="130"/>
        <v>10330.9</v>
      </c>
      <c r="I214" s="4">
        <f t="shared" si="130"/>
        <v>8923.6</v>
      </c>
      <c r="J214" s="4">
        <f t="shared" si="130"/>
        <v>8970.1</v>
      </c>
      <c r="K214" s="4">
        <f t="shared" si="130"/>
        <v>9234.4</v>
      </c>
      <c r="L214" s="4">
        <f t="shared" si="130"/>
        <v>3981.2999999999997</v>
      </c>
      <c r="M214" s="4">
        <f t="shared" si="127"/>
        <v>43.113791908515978</v>
      </c>
    </row>
    <row r="215" spans="1:15" ht="47.25" x14ac:dyDescent="0.25">
      <c r="A215" s="43" t="s">
        <v>274</v>
      </c>
      <c r="B215" s="8" t="s">
        <v>266</v>
      </c>
      <c r="C215" s="8" t="s">
        <v>270</v>
      </c>
      <c r="D215" s="42"/>
      <c r="E215" s="42"/>
      <c r="F215" s="4">
        <f>F216</f>
        <v>7209.4000000000005</v>
      </c>
      <c r="G215" s="4">
        <f t="shared" si="130"/>
        <v>5540.3666666666668</v>
      </c>
      <c r="H215" s="4">
        <f t="shared" si="130"/>
        <v>10330.9</v>
      </c>
      <c r="I215" s="4">
        <f t="shared" si="130"/>
        <v>8923.6</v>
      </c>
      <c r="J215" s="4">
        <f t="shared" si="130"/>
        <v>8970.1</v>
      </c>
      <c r="K215" s="4">
        <f t="shared" si="130"/>
        <v>9234.4</v>
      </c>
      <c r="L215" s="4">
        <f t="shared" si="130"/>
        <v>3981.2999999999997</v>
      </c>
      <c r="M215" s="4">
        <f t="shared" si="127"/>
        <v>43.113791908515978</v>
      </c>
      <c r="N215" s="23"/>
      <c r="O215" s="23"/>
    </row>
    <row r="216" spans="1:15" ht="15.75" x14ac:dyDescent="0.25">
      <c r="A216" s="31" t="s">
        <v>172</v>
      </c>
      <c r="B216" s="42" t="s">
        <v>266</v>
      </c>
      <c r="C216" s="42" t="s">
        <v>270</v>
      </c>
      <c r="D216" s="42" t="s">
        <v>173</v>
      </c>
      <c r="E216" s="42"/>
      <c r="F216" s="7">
        <f>F217</f>
        <v>7209.4000000000005</v>
      </c>
      <c r="G216" s="7">
        <f t="shared" si="130"/>
        <v>5540.3666666666668</v>
      </c>
      <c r="H216" s="7">
        <f t="shared" si="130"/>
        <v>10330.9</v>
      </c>
      <c r="I216" s="7">
        <f t="shared" si="130"/>
        <v>8923.6</v>
      </c>
      <c r="J216" s="7">
        <f t="shared" si="130"/>
        <v>8970.1</v>
      </c>
      <c r="K216" s="7">
        <f t="shared" si="130"/>
        <v>9234.4</v>
      </c>
      <c r="L216" s="7">
        <f t="shared" si="130"/>
        <v>3981.2999999999997</v>
      </c>
      <c r="M216" s="7">
        <f t="shared" si="127"/>
        <v>43.113791908515978</v>
      </c>
    </row>
    <row r="217" spans="1:15" ht="15.75" x14ac:dyDescent="0.25">
      <c r="A217" s="31" t="s">
        <v>192</v>
      </c>
      <c r="B217" s="42" t="s">
        <v>266</v>
      </c>
      <c r="C217" s="42" t="s">
        <v>270</v>
      </c>
      <c r="D217" s="42" t="s">
        <v>193</v>
      </c>
      <c r="E217" s="42"/>
      <c r="F217" s="7">
        <f>F218+F224+F229+F221</f>
        <v>7209.4000000000005</v>
      </c>
      <c r="G217" s="7">
        <f t="shared" ref="G217:K217" si="131">G218+G224+G229+G221</f>
        <v>5540.3666666666668</v>
      </c>
      <c r="H217" s="7">
        <f t="shared" si="131"/>
        <v>10330.9</v>
      </c>
      <c r="I217" s="7">
        <f t="shared" si="131"/>
        <v>8923.6</v>
      </c>
      <c r="J217" s="7">
        <f t="shared" si="131"/>
        <v>8970.1</v>
      </c>
      <c r="K217" s="7">
        <f t="shared" si="131"/>
        <v>9234.4</v>
      </c>
      <c r="L217" s="7">
        <f t="shared" ref="L217" si="132">L218+L224+L229+L221</f>
        <v>3981.2999999999997</v>
      </c>
      <c r="M217" s="7">
        <f t="shared" si="127"/>
        <v>43.113791908515978</v>
      </c>
    </row>
    <row r="218" spans="1:15" ht="47.25" x14ac:dyDescent="0.25">
      <c r="A218" s="31" t="s">
        <v>275</v>
      </c>
      <c r="B218" s="42" t="s">
        <v>266</v>
      </c>
      <c r="C218" s="42" t="s">
        <v>270</v>
      </c>
      <c r="D218" s="42" t="s">
        <v>276</v>
      </c>
      <c r="E218" s="42"/>
      <c r="F218" s="7">
        <f>F219</f>
        <v>2064.1</v>
      </c>
      <c r="G218" s="7">
        <f t="shared" ref="G218:L219" si="133">G219</f>
        <v>445.06666666666666</v>
      </c>
      <c r="H218" s="7">
        <f t="shared" si="133"/>
        <v>3881.9</v>
      </c>
      <c r="I218" s="7">
        <f t="shared" si="133"/>
        <v>3042.9</v>
      </c>
      <c r="J218" s="7">
        <f t="shared" si="133"/>
        <v>3042.9</v>
      </c>
      <c r="K218" s="7">
        <f t="shared" si="133"/>
        <v>650</v>
      </c>
      <c r="L218" s="7">
        <f t="shared" si="133"/>
        <v>277.60000000000002</v>
      </c>
      <c r="M218" s="7">
        <f t="shared" si="127"/>
        <v>42.707692307692312</v>
      </c>
    </row>
    <row r="219" spans="1:15" ht="31.5" x14ac:dyDescent="0.25">
      <c r="A219" s="31" t="s">
        <v>182</v>
      </c>
      <c r="B219" s="42" t="s">
        <v>266</v>
      </c>
      <c r="C219" s="42" t="s">
        <v>270</v>
      </c>
      <c r="D219" s="42" t="s">
        <v>276</v>
      </c>
      <c r="E219" s="42" t="s">
        <v>183</v>
      </c>
      <c r="F219" s="7">
        <f>F220</f>
        <v>2064.1</v>
      </c>
      <c r="G219" s="7">
        <f t="shared" si="133"/>
        <v>445.06666666666666</v>
      </c>
      <c r="H219" s="7">
        <f t="shared" si="133"/>
        <v>3881.9</v>
      </c>
      <c r="I219" s="7">
        <f t="shared" si="133"/>
        <v>3042.9</v>
      </c>
      <c r="J219" s="7">
        <f t="shared" si="133"/>
        <v>3042.9</v>
      </c>
      <c r="K219" s="7">
        <f t="shared" si="133"/>
        <v>650</v>
      </c>
      <c r="L219" s="7">
        <f t="shared" si="133"/>
        <v>277.60000000000002</v>
      </c>
      <c r="M219" s="7">
        <f t="shared" si="127"/>
        <v>42.707692307692312</v>
      </c>
    </row>
    <row r="220" spans="1:15" ht="47.25" x14ac:dyDescent="0.25">
      <c r="A220" s="31" t="s">
        <v>184</v>
      </c>
      <c r="B220" s="42" t="s">
        <v>266</v>
      </c>
      <c r="C220" s="42" t="s">
        <v>270</v>
      </c>
      <c r="D220" s="42" t="s">
        <v>276</v>
      </c>
      <c r="E220" s="42" t="s">
        <v>185</v>
      </c>
      <c r="F220" s="124">
        <f>'Прил.№4 ведомств.'!G173</f>
        <v>2064.1</v>
      </c>
      <c r="G220" s="124">
        <f>'Прил.№4 ведомств.'!I173</f>
        <v>445.06666666666666</v>
      </c>
      <c r="H220" s="124">
        <f>'Прил.№4 ведомств.'!J173</f>
        <v>3881.9</v>
      </c>
      <c r="I220" s="124">
        <f>'Прил.№4 ведомств.'!K173</f>
        <v>3042.9</v>
      </c>
      <c r="J220" s="124">
        <f>'Прил.№4 ведомств.'!L173</f>
        <v>3042.9</v>
      </c>
      <c r="K220" s="124">
        <f>'Прил.№4 ведомств.'!M173</f>
        <v>650</v>
      </c>
      <c r="L220" s="124">
        <f>'Прил.№4 ведомств.'!N173</f>
        <v>277.60000000000002</v>
      </c>
      <c r="M220" s="7">
        <f t="shared" si="127"/>
        <v>42.707692307692312</v>
      </c>
    </row>
    <row r="221" spans="1:15" ht="15.75" x14ac:dyDescent="0.25">
      <c r="A221" s="26" t="s">
        <v>277</v>
      </c>
      <c r="B221" s="21" t="s">
        <v>266</v>
      </c>
      <c r="C221" s="21" t="s">
        <v>270</v>
      </c>
      <c r="D221" s="21" t="s">
        <v>278</v>
      </c>
      <c r="E221" s="21"/>
      <c r="F221" s="124">
        <f>F222</f>
        <v>0</v>
      </c>
      <c r="G221" s="124">
        <f t="shared" ref="G221:L222" si="134">G222</f>
        <v>0</v>
      </c>
      <c r="H221" s="124">
        <f t="shared" si="134"/>
        <v>764.4</v>
      </c>
      <c r="I221" s="124">
        <f t="shared" si="134"/>
        <v>150</v>
      </c>
      <c r="J221" s="124">
        <f t="shared" si="134"/>
        <v>150</v>
      </c>
      <c r="K221" s="124">
        <f t="shared" si="134"/>
        <v>764.4</v>
      </c>
      <c r="L221" s="124">
        <f t="shared" si="134"/>
        <v>0</v>
      </c>
      <c r="M221" s="7">
        <f t="shared" si="127"/>
        <v>0</v>
      </c>
    </row>
    <row r="222" spans="1:15" ht="31.5" x14ac:dyDescent="0.25">
      <c r="A222" s="26" t="s">
        <v>249</v>
      </c>
      <c r="B222" s="21" t="s">
        <v>266</v>
      </c>
      <c r="C222" s="21" t="s">
        <v>270</v>
      </c>
      <c r="D222" s="21" t="s">
        <v>278</v>
      </c>
      <c r="E222" s="21" t="s">
        <v>183</v>
      </c>
      <c r="F222" s="124">
        <f>F223</f>
        <v>0</v>
      </c>
      <c r="G222" s="124">
        <f t="shared" si="134"/>
        <v>0</v>
      </c>
      <c r="H222" s="124">
        <f t="shared" si="134"/>
        <v>764.4</v>
      </c>
      <c r="I222" s="124">
        <f t="shared" si="134"/>
        <v>150</v>
      </c>
      <c r="J222" s="124">
        <f t="shared" si="134"/>
        <v>150</v>
      </c>
      <c r="K222" s="124">
        <f t="shared" si="134"/>
        <v>764.4</v>
      </c>
      <c r="L222" s="124">
        <f t="shared" si="134"/>
        <v>0</v>
      </c>
      <c r="M222" s="7">
        <f t="shared" si="127"/>
        <v>0</v>
      </c>
    </row>
    <row r="223" spans="1:15" ht="47.25" x14ac:dyDescent="0.25">
      <c r="A223" s="26" t="s">
        <v>184</v>
      </c>
      <c r="B223" s="21" t="s">
        <v>266</v>
      </c>
      <c r="C223" s="21" t="s">
        <v>270</v>
      </c>
      <c r="D223" s="21" t="s">
        <v>278</v>
      </c>
      <c r="E223" s="21" t="s">
        <v>185</v>
      </c>
      <c r="F223" s="124">
        <f>'Прил.№4 ведомств.'!G176</f>
        <v>0</v>
      </c>
      <c r="G223" s="124">
        <f>'Прил.№4 ведомств.'!I176</f>
        <v>0</v>
      </c>
      <c r="H223" s="124">
        <f>'Прил.№4 ведомств.'!J176</f>
        <v>764.4</v>
      </c>
      <c r="I223" s="124">
        <f>'Прил.№4 ведомств.'!K176</f>
        <v>150</v>
      </c>
      <c r="J223" s="124">
        <f>'Прил.№4 ведомств.'!L176</f>
        <v>150</v>
      </c>
      <c r="K223" s="124">
        <f>'Прил.№4 ведомств.'!M176</f>
        <v>764.4</v>
      </c>
      <c r="L223" s="124">
        <f>'Прил.№4 ведомств.'!N176</f>
        <v>0</v>
      </c>
      <c r="M223" s="7">
        <f t="shared" si="127"/>
        <v>0</v>
      </c>
    </row>
    <row r="224" spans="1:15" ht="31.5" x14ac:dyDescent="0.25">
      <c r="A224" s="31" t="s">
        <v>279</v>
      </c>
      <c r="B224" s="42" t="s">
        <v>266</v>
      </c>
      <c r="C224" s="42" t="s">
        <v>270</v>
      </c>
      <c r="D224" s="42" t="s">
        <v>280</v>
      </c>
      <c r="E224" s="42"/>
      <c r="F224" s="7">
        <f>F225+F227</f>
        <v>4997</v>
      </c>
      <c r="G224" s="7">
        <f t="shared" ref="G224:K224" si="135">G225+G227</f>
        <v>4997</v>
      </c>
      <c r="H224" s="7">
        <f t="shared" si="135"/>
        <v>5074.2</v>
      </c>
      <c r="I224" s="7">
        <f t="shared" si="135"/>
        <v>5120.3</v>
      </c>
      <c r="J224" s="7">
        <f t="shared" si="135"/>
        <v>5166.8</v>
      </c>
      <c r="K224" s="7">
        <f t="shared" si="135"/>
        <v>7721</v>
      </c>
      <c r="L224" s="7">
        <f t="shared" ref="L224" si="136">L225+L227</f>
        <v>3650</v>
      </c>
      <c r="M224" s="7">
        <f t="shared" si="127"/>
        <v>47.273669213832406</v>
      </c>
    </row>
    <row r="225" spans="1:13" ht="78.75" x14ac:dyDescent="0.25">
      <c r="A225" s="31" t="s">
        <v>178</v>
      </c>
      <c r="B225" s="42" t="s">
        <v>266</v>
      </c>
      <c r="C225" s="42" t="s">
        <v>270</v>
      </c>
      <c r="D225" s="42" t="s">
        <v>280</v>
      </c>
      <c r="E225" s="42" t="s">
        <v>179</v>
      </c>
      <c r="F225" s="63">
        <f>F226</f>
        <v>4692.3</v>
      </c>
      <c r="G225" s="63">
        <f t="shared" ref="G225:L225" si="137">G226</f>
        <v>4692.3</v>
      </c>
      <c r="H225" s="63">
        <f t="shared" si="137"/>
        <v>4606</v>
      </c>
      <c r="I225" s="63">
        <f t="shared" si="137"/>
        <v>4652.1000000000004</v>
      </c>
      <c r="J225" s="63">
        <f t="shared" si="137"/>
        <v>4698.6000000000004</v>
      </c>
      <c r="K225" s="63">
        <f t="shared" si="137"/>
        <v>4620</v>
      </c>
      <c r="L225" s="63">
        <f t="shared" si="137"/>
        <v>3474.9</v>
      </c>
      <c r="M225" s="7">
        <f t="shared" si="127"/>
        <v>75.214285714285708</v>
      </c>
    </row>
    <row r="226" spans="1:13" ht="31.5" x14ac:dyDescent="0.25">
      <c r="A226" s="31" t="s">
        <v>393</v>
      </c>
      <c r="B226" s="42" t="s">
        <v>266</v>
      </c>
      <c r="C226" s="42" t="s">
        <v>270</v>
      </c>
      <c r="D226" s="42" t="s">
        <v>280</v>
      </c>
      <c r="E226" s="42" t="s">
        <v>260</v>
      </c>
      <c r="F226" s="63">
        <f>'Прил.№4 ведомств.'!G179</f>
        <v>4692.3</v>
      </c>
      <c r="G226" s="63">
        <f>'Прил.№4 ведомств.'!I179</f>
        <v>4692.3</v>
      </c>
      <c r="H226" s="63">
        <f>'Прил.№4 ведомств.'!J179</f>
        <v>4606</v>
      </c>
      <c r="I226" s="63">
        <f>'Прил.№4 ведомств.'!K179</f>
        <v>4652.1000000000004</v>
      </c>
      <c r="J226" s="63">
        <f>'Прил.№4 ведомств.'!L179</f>
        <v>4698.6000000000004</v>
      </c>
      <c r="K226" s="63">
        <f>'Прил.№4 ведомств.'!M179</f>
        <v>4620</v>
      </c>
      <c r="L226" s="63">
        <f>'Прил.№4 ведомств.'!N179</f>
        <v>3474.9</v>
      </c>
      <c r="M226" s="7">
        <f t="shared" si="127"/>
        <v>75.214285714285708</v>
      </c>
    </row>
    <row r="227" spans="1:13" ht="31.5" x14ac:dyDescent="0.25">
      <c r="A227" s="31" t="s">
        <v>182</v>
      </c>
      <c r="B227" s="42" t="s">
        <v>266</v>
      </c>
      <c r="C227" s="42" t="s">
        <v>270</v>
      </c>
      <c r="D227" s="42" t="s">
        <v>280</v>
      </c>
      <c r="E227" s="42" t="s">
        <v>183</v>
      </c>
      <c r="F227" s="7">
        <f>F228</f>
        <v>304.7</v>
      </c>
      <c r="G227" s="7">
        <f t="shared" ref="G227:L227" si="138">G228</f>
        <v>304.7</v>
      </c>
      <c r="H227" s="7">
        <f t="shared" si="138"/>
        <v>468.2</v>
      </c>
      <c r="I227" s="7">
        <f t="shared" si="138"/>
        <v>468.2</v>
      </c>
      <c r="J227" s="7">
        <f t="shared" si="138"/>
        <v>468.2</v>
      </c>
      <c r="K227" s="7">
        <f t="shared" si="138"/>
        <v>3101</v>
      </c>
      <c r="L227" s="7">
        <f t="shared" si="138"/>
        <v>175.1</v>
      </c>
      <c r="M227" s="7">
        <f t="shared" si="127"/>
        <v>5.6465656239922604</v>
      </c>
    </row>
    <row r="228" spans="1:13" ht="47.25" x14ac:dyDescent="0.25">
      <c r="A228" s="31" t="s">
        <v>184</v>
      </c>
      <c r="B228" s="42" t="s">
        <v>266</v>
      </c>
      <c r="C228" s="42" t="s">
        <v>270</v>
      </c>
      <c r="D228" s="42" t="s">
        <v>280</v>
      </c>
      <c r="E228" s="42" t="s">
        <v>185</v>
      </c>
      <c r="F228" s="7">
        <f>'Прил.№4 ведомств.'!G181</f>
        <v>304.7</v>
      </c>
      <c r="G228" s="7">
        <f>'Прил.№4 ведомств.'!I181</f>
        <v>304.7</v>
      </c>
      <c r="H228" s="7">
        <f>'Прил.№4 ведомств.'!J181</f>
        <v>468.2</v>
      </c>
      <c r="I228" s="7">
        <f>'Прил.№4 ведомств.'!K181</f>
        <v>468.2</v>
      </c>
      <c r="J228" s="7">
        <f>'Прил.№4 ведомств.'!L181</f>
        <v>468.2</v>
      </c>
      <c r="K228" s="7">
        <f>'Прил.№4 ведомств.'!M181</f>
        <v>3101</v>
      </c>
      <c r="L228" s="7">
        <f>'Прил.№4 ведомств.'!N181</f>
        <v>175.1</v>
      </c>
      <c r="M228" s="7">
        <f t="shared" si="127"/>
        <v>5.6465656239922604</v>
      </c>
    </row>
    <row r="229" spans="1:13" ht="15.75" x14ac:dyDescent="0.25">
      <c r="A229" s="31" t="s">
        <v>281</v>
      </c>
      <c r="B229" s="42" t="s">
        <v>266</v>
      </c>
      <c r="C229" s="42" t="s">
        <v>270</v>
      </c>
      <c r="D229" s="42" t="s">
        <v>282</v>
      </c>
      <c r="E229" s="42"/>
      <c r="F229" s="7">
        <f>F230</f>
        <v>148.30000000000001</v>
      </c>
      <c r="G229" s="7">
        <f t="shared" ref="G229:L230" si="139">G230</f>
        <v>98.3</v>
      </c>
      <c r="H229" s="7">
        <f t="shared" si="139"/>
        <v>610.4</v>
      </c>
      <c r="I229" s="7">
        <f t="shared" si="139"/>
        <v>610.4</v>
      </c>
      <c r="J229" s="7">
        <f t="shared" si="139"/>
        <v>610.4</v>
      </c>
      <c r="K229" s="7">
        <f t="shared" si="139"/>
        <v>99</v>
      </c>
      <c r="L229" s="7">
        <f t="shared" si="139"/>
        <v>53.7</v>
      </c>
      <c r="M229" s="7">
        <f t="shared" si="127"/>
        <v>54.242424242424249</v>
      </c>
    </row>
    <row r="230" spans="1:13" ht="31.5" x14ac:dyDescent="0.25">
      <c r="A230" s="31" t="s">
        <v>182</v>
      </c>
      <c r="B230" s="42" t="s">
        <v>266</v>
      </c>
      <c r="C230" s="42" t="s">
        <v>270</v>
      </c>
      <c r="D230" s="42" t="s">
        <v>282</v>
      </c>
      <c r="E230" s="42" t="s">
        <v>183</v>
      </c>
      <c r="F230" s="7">
        <f>F231</f>
        <v>148.30000000000001</v>
      </c>
      <c r="G230" s="7">
        <f t="shared" si="139"/>
        <v>98.3</v>
      </c>
      <c r="H230" s="7">
        <f t="shared" si="139"/>
        <v>610.4</v>
      </c>
      <c r="I230" s="7">
        <f t="shared" si="139"/>
        <v>610.4</v>
      </c>
      <c r="J230" s="7">
        <f t="shared" si="139"/>
        <v>610.4</v>
      </c>
      <c r="K230" s="7">
        <f t="shared" si="139"/>
        <v>99</v>
      </c>
      <c r="L230" s="7">
        <f t="shared" si="139"/>
        <v>53.7</v>
      </c>
      <c r="M230" s="7">
        <f t="shared" si="127"/>
        <v>54.242424242424249</v>
      </c>
    </row>
    <row r="231" spans="1:13" ht="47.25" x14ac:dyDescent="0.25">
      <c r="A231" s="31" t="s">
        <v>184</v>
      </c>
      <c r="B231" s="42" t="s">
        <v>266</v>
      </c>
      <c r="C231" s="42" t="s">
        <v>270</v>
      </c>
      <c r="D231" s="42" t="s">
        <v>282</v>
      </c>
      <c r="E231" s="42" t="s">
        <v>185</v>
      </c>
      <c r="F231" s="7">
        <f>'Прил.№4 ведомств.'!G893+'Прил.№4 ведомств.'!G184</f>
        <v>148.30000000000001</v>
      </c>
      <c r="G231" s="7">
        <f>'Прил.№4 ведомств.'!I893+'Прил.№4 ведомств.'!I184</f>
        <v>98.3</v>
      </c>
      <c r="H231" s="7">
        <f>'Прил.№4 ведомств.'!J893+'Прил.№4 ведомств.'!J184</f>
        <v>610.4</v>
      </c>
      <c r="I231" s="7">
        <f>'Прил.№4 ведомств.'!K893+'Прил.№4 ведомств.'!K184</f>
        <v>610.4</v>
      </c>
      <c r="J231" s="7">
        <f>'Прил.№4 ведомств.'!L893+'Прил.№4 ведомств.'!L184</f>
        <v>610.4</v>
      </c>
      <c r="K231" s="7">
        <f>'Прил.№4 ведомств.'!M893+'Прил.№4 ведомств.'!M184</f>
        <v>99</v>
      </c>
      <c r="L231" s="7">
        <f>'Прил.№4 ведомств.'!N893+'Прил.№4 ведомств.'!N184</f>
        <v>53.7</v>
      </c>
      <c r="M231" s="7">
        <f t="shared" si="127"/>
        <v>54.242424242424249</v>
      </c>
    </row>
    <row r="232" spans="1:13" ht="15.75" x14ac:dyDescent="0.25">
      <c r="A232" s="43" t="s">
        <v>283</v>
      </c>
      <c r="B232" s="8" t="s">
        <v>201</v>
      </c>
      <c r="C232" s="8"/>
      <c r="D232" s="8"/>
      <c r="E232" s="8"/>
      <c r="F232" s="4">
        <f t="shared" ref="F232:K232" si="140">F249+F255+F262+F233</f>
        <v>20153.2</v>
      </c>
      <c r="G232" s="4">
        <f t="shared" si="140"/>
        <v>20153.2</v>
      </c>
      <c r="H232" s="4">
        <f t="shared" si="140"/>
        <v>20153.2</v>
      </c>
      <c r="I232" s="4">
        <f t="shared" si="140"/>
        <v>20793.2</v>
      </c>
      <c r="J232" s="4">
        <f t="shared" si="140"/>
        <v>20793.2</v>
      </c>
      <c r="K232" s="4">
        <f t="shared" si="140"/>
        <v>12273.4</v>
      </c>
      <c r="L232" s="4">
        <f t="shared" ref="L232" si="141">L249+L255+L262+L233</f>
        <v>6652.3</v>
      </c>
      <c r="M232" s="4">
        <f t="shared" si="127"/>
        <v>54.200954910619714</v>
      </c>
    </row>
    <row r="233" spans="1:13" ht="15.75" x14ac:dyDescent="0.25">
      <c r="A233" s="43" t="s">
        <v>284</v>
      </c>
      <c r="B233" s="8" t="s">
        <v>201</v>
      </c>
      <c r="C233" s="8" t="s">
        <v>285</v>
      </c>
      <c r="D233" s="8"/>
      <c r="E233" s="8"/>
      <c r="F233" s="4">
        <f>F241+F234</f>
        <v>450</v>
      </c>
      <c r="G233" s="4">
        <f t="shared" ref="G233:K233" si="142">G241+G234</f>
        <v>450</v>
      </c>
      <c r="H233" s="4">
        <f t="shared" si="142"/>
        <v>450</v>
      </c>
      <c r="I233" s="4">
        <f t="shared" si="142"/>
        <v>550</v>
      </c>
      <c r="J233" s="4">
        <f t="shared" si="142"/>
        <v>550</v>
      </c>
      <c r="K233" s="4">
        <f t="shared" si="142"/>
        <v>919.6</v>
      </c>
      <c r="L233" s="4">
        <f t="shared" ref="L233" si="143">L241+L234</f>
        <v>555.6</v>
      </c>
      <c r="M233" s="4">
        <f t="shared" si="127"/>
        <v>60.417572857764249</v>
      </c>
    </row>
    <row r="234" spans="1:13" ht="47.25" x14ac:dyDescent="0.25">
      <c r="A234" s="33" t="s">
        <v>232</v>
      </c>
      <c r="B234" s="21" t="s">
        <v>201</v>
      </c>
      <c r="C234" s="21" t="s">
        <v>285</v>
      </c>
      <c r="D234" s="32" t="s">
        <v>233</v>
      </c>
      <c r="E234" s="34"/>
      <c r="F234" s="7">
        <f>F235</f>
        <v>0</v>
      </c>
      <c r="G234" s="7">
        <f t="shared" ref="G234:L236" si="144">G235</f>
        <v>0</v>
      </c>
      <c r="H234" s="7">
        <f t="shared" si="144"/>
        <v>0</v>
      </c>
      <c r="I234" s="7">
        <f t="shared" si="144"/>
        <v>100</v>
      </c>
      <c r="J234" s="7">
        <f t="shared" si="144"/>
        <v>100</v>
      </c>
      <c r="K234" s="7">
        <f>K235+K239</f>
        <v>120</v>
      </c>
      <c r="L234" s="7">
        <f t="shared" ref="L234" si="145">L235+L239</f>
        <v>11</v>
      </c>
      <c r="M234" s="7">
        <f t="shared" si="127"/>
        <v>9.1666666666666661</v>
      </c>
    </row>
    <row r="235" spans="1:13" ht="31.5" x14ac:dyDescent="0.25">
      <c r="A235" s="26" t="s">
        <v>208</v>
      </c>
      <c r="B235" s="21" t="s">
        <v>201</v>
      </c>
      <c r="C235" s="21" t="s">
        <v>285</v>
      </c>
      <c r="D235" s="21" t="s">
        <v>234</v>
      </c>
      <c r="E235" s="34"/>
      <c r="F235" s="7">
        <f>F236</f>
        <v>0</v>
      </c>
      <c r="G235" s="7">
        <f t="shared" si="144"/>
        <v>0</v>
      </c>
      <c r="H235" s="7">
        <f t="shared" si="144"/>
        <v>0</v>
      </c>
      <c r="I235" s="7">
        <f t="shared" si="144"/>
        <v>100</v>
      </c>
      <c r="J235" s="7">
        <f t="shared" si="144"/>
        <v>100</v>
      </c>
      <c r="K235" s="7">
        <f t="shared" si="144"/>
        <v>119</v>
      </c>
      <c r="L235" s="7">
        <f t="shared" si="144"/>
        <v>10</v>
      </c>
      <c r="M235" s="7">
        <f t="shared" si="127"/>
        <v>8.4033613445378155</v>
      </c>
    </row>
    <row r="236" spans="1:13" ht="15.75" x14ac:dyDescent="0.25">
      <c r="A236" s="31" t="s">
        <v>186</v>
      </c>
      <c r="B236" s="21" t="s">
        <v>201</v>
      </c>
      <c r="C236" s="21" t="s">
        <v>285</v>
      </c>
      <c r="D236" s="21" t="s">
        <v>234</v>
      </c>
      <c r="E236" s="34" t="s">
        <v>196</v>
      </c>
      <c r="F236" s="7">
        <f>F237</f>
        <v>0</v>
      </c>
      <c r="G236" s="7">
        <f t="shared" si="144"/>
        <v>0</v>
      </c>
      <c r="H236" s="7">
        <f t="shared" si="144"/>
        <v>0</v>
      </c>
      <c r="I236" s="7">
        <f t="shared" si="144"/>
        <v>100</v>
      </c>
      <c r="J236" s="7">
        <f t="shared" si="144"/>
        <v>100</v>
      </c>
      <c r="K236" s="7">
        <f t="shared" si="144"/>
        <v>119</v>
      </c>
      <c r="L236" s="7">
        <f t="shared" si="144"/>
        <v>10</v>
      </c>
      <c r="M236" s="7">
        <f t="shared" si="127"/>
        <v>8.4033613445378155</v>
      </c>
    </row>
    <row r="237" spans="1:13" ht="47.25" x14ac:dyDescent="0.25">
      <c r="A237" s="31" t="s">
        <v>235</v>
      </c>
      <c r="B237" s="21" t="s">
        <v>201</v>
      </c>
      <c r="C237" s="21" t="s">
        <v>285</v>
      </c>
      <c r="D237" s="21" t="s">
        <v>234</v>
      </c>
      <c r="E237" s="34" t="s">
        <v>211</v>
      </c>
      <c r="F237" s="7">
        <f>'Прил.№4 ведомств.'!G190</f>
        <v>0</v>
      </c>
      <c r="G237" s="7">
        <f>'Прил.№4 ведомств.'!H190</f>
        <v>0</v>
      </c>
      <c r="H237" s="7">
        <f>'Прил.№4 ведомств.'!I190</f>
        <v>0</v>
      </c>
      <c r="I237" s="7">
        <f>'Прил.№4 ведомств.'!J190</f>
        <v>100</v>
      </c>
      <c r="J237" s="7">
        <f>'Прил.№4 ведомств.'!K190</f>
        <v>100</v>
      </c>
      <c r="K237" s="7">
        <f>'Прил.№4 ведомств.'!M190</f>
        <v>119</v>
      </c>
      <c r="L237" s="7">
        <f>'Прил.№4 ведомств.'!N190</f>
        <v>10</v>
      </c>
      <c r="M237" s="7">
        <f t="shared" si="127"/>
        <v>8.4033613445378155</v>
      </c>
    </row>
    <row r="238" spans="1:13" ht="31.5" x14ac:dyDescent="0.25">
      <c r="A238" s="26" t="s">
        <v>968</v>
      </c>
      <c r="B238" s="21" t="s">
        <v>201</v>
      </c>
      <c r="C238" s="21" t="s">
        <v>285</v>
      </c>
      <c r="D238" s="21" t="s">
        <v>970</v>
      </c>
      <c r="E238" s="34"/>
      <c r="F238" s="7"/>
      <c r="G238" s="7"/>
      <c r="H238" s="7"/>
      <c r="I238" s="7"/>
      <c r="J238" s="7"/>
      <c r="K238" s="7">
        <f>K239</f>
        <v>1</v>
      </c>
      <c r="L238" s="7">
        <f t="shared" ref="L238:L239" si="146">L239</f>
        <v>1</v>
      </c>
      <c r="M238" s="7">
        <f t="shared" si="127"/>
        <v>100</v>
      </c>
    </row>
    <row r="239" spans="1:13" ht="15.75" x14ac:dyDescent="0.25">
      <c r="A239" s="31" t="s">
        <v>186</v>
      </c>
      <c r="B239" s="21" t="s">
        <v>201</v>
      </c>
      <c r="C239" s="21" t="s">
        <v>285</v>
      </c>
      <c r="D239" s="21" t="s">
        <v>970</v>
      </c>
      <c r="E239" s="34" t="s">
        <v>196</v>
      </c>
      <c r="F239" s="7"/>
      <c r="G239" s="7"/>
      <c r="H239" s="7"/>
      <c r="I239" s="7"/>
      <c r="J239" s="7"/>
      <c r="K239" s="7">
        <f>K240</f>
        <v>1</v>
      </c>
      <c r="L239" s="7">
        <f t="shared" si="146"/>
        <v>1</v>
      </c>
      <c r="M239" s="7">
        <f t="shared" si="127"/>
        <v>100</v>
      </c>
    </row>
    <row r="240" spans="1:13" ht="47.25" x14ac:dyDescent="0.25">
      <c r="A240" s="31" t="s">
        <v>235</v>
      </c>
      <c r="B240" s="21" t="s">
        <v>201</v>
      </c>
      <c r="C240" s="21" t="s">
        <v>285</v>
      </c>
      <c r="D240" s="21" t="s">
        <v>970</v>
      </c>
      <c r="E240" s="34" t="s">
        <v>211</v>
      </c>
      <c r="F240" s="7"/>
      <c r="G240" s="7"/>
      <c r="H240" s="7"/>
      <c r="I240" s="7"/>
      <c r="J240" s="7"/>
      <c r="K240" s="7">
        <f>'Прил.№4 ведомств.'!M193</f>
        <v>1</v>
      </c>
      <c r="L240" s="7">
        <f>'Прил.№4 ведомств.'!N193</f>
        <v>1</v>
      </c>
      <c r="M240" s="7">
        <f t="shared" si="127"/>
        <v>100</v>
      </c>
    </row>
    <row r="241" spans="1:13" ht="15.75" x14ac:dyDescent="0.25">
      <c r="A241" s="31" t="s">
        <v>172</v>
      </c>
      <c r="B241" s="42" t="s">
        <v>201</v>
      </c>
      <c r="C241" s="42" t="s">
        <v>285</v>
      </c>
      <c r="D241" s="42" t="s">
        <v>173</v>
      </c>
      <c r="E241" s="42"/>
      <c r="F241" s="7">
        <f>F242</f>
        <v>450</v>
      </c>
      <c r="G241" s="7">
        <f t="shared" ref="G241:L247" si="147">G242</f>
        <v>450</v>
      </c>
      <c r="H241" s="7">
        <f t="shared" si="147"/>
        <v>450</v>
      </c>
      <c r="I241" s="7">
        <f t="shared" si="147"/>
        <v>450</v>
      </c>
      <c r="J241" s="7">
        <f t="shared" si="147"/>
        <v>450</v>
      </c>
      <c r="K241" s="7">
        <f>K242</f>
        <v>799.6</v>
      </c>
      <c r="L241" s="7">
        <f t="shared" ref="L241" si="148">L242</f>
        <v>544.6</v>
      </c>
      <c r="M241" s="7">
        <f t="shared" si="127"/>
        <v>68.109054527263638</v>
      </c>
    </row>
    <row r="242" spans="1:13" ht="31.5" x14ac:dyDescent="0.25">
      <c r="A242" s="31" t="s">
        <v>236</v>
      </c>
      <c r="B242" s="42" t="s">
        <v>201</v>
      </c>
      <c r="C242" s="42" t="s">
        <v>285</v>
      </c>
      <c r="D242" s="42" t="s">
        <v>237</v>
      </c>
      <c r="E242" s="42"/>
      <c r="F242" s="7">
        <f>F246</f>
        <v>450</v>
      </c>
      <c r="G242" s="7">
        <f>G246</f>
        <v>450</v>
      </c>
      <c r="H242" s="7">
        <f>H246</f>
        <v>450</v>
      </c>
      <c r="I242" s="7">
        <f>I246</f>
        <v>450</v>
      </c>
      <c r="J242" s="7">
        <f>J246</f>
        <v>450</v>
      </c>
      <c r="K242" s="7">
        <f>K246+K243</f>
        <v>799.6</v>
      </c>
      <c r="L242" s="7">
        <f t="shared" ref="L242" si="149">L246+L243</f>
        <v>544.6</v>
      </c>
      <c r="M242" s="7">
        <f t="shared" si="127"/>
        <v>68.109054527263638</v>
      </c>
    </row>
    <row r="243" spans="1:13" ht="31.5" x14ac:dyDescent="0.25">
      <c r="A243" s="26" t="s">
        <v>968</v>
      </c>
      <c r="B243" s="42" t="s">
        <v>201</v>
      </c>
      <c r="C243" s="42" t="s">
        <v>285</v>
      </c>
      <c r="D243" s="21" t="s">
        <v>969</v>
      </c>
      <c r="E243" s="42"/>
      <c r="F243" s="7"/>
      <c r="G243" s="7"/>
      <c r="H243" s="7"/>
      <c r="I243" s="7"/>
      <c r="J243" s="7"/>
      <c r="K243" s="7">
        <f>K244</f>
        <v>289.60000000000002</v>
      </c>
      <c r="L243" s="7">
        <f t="shared" ref="L243:L244" si="150">L244</f>
        <v>289.60000000000002</v>
      </c>
      <c r="M243" s="7">
        <f t="shared" si="127"/>
        <v>100</v>
      </c>
    </row>
    <row r="244" spans="1:13" ht="15.75" x14ac:dyDescent="0.25">
      <c r="A244" s="31" t="s">
        <v>186</v>
      </c>
      <c r="B244" s="42" t="s">
        <v>201</v>
      </c>
      <c r="C244" s="42" t="s">
        <v>285</v>
      </c>
      <c r="D244" s="21" t="s">
        <v>969</v>
      </c>
      <c r="E244" s="42" t="s">
        <v>196</v>
      </c>
      <c r="F244" s="7"/>
      <c r="G244" s="7"/>
      <c r="H244" s="7"/>
      <c r="I244" s="7"/>
      <c r="J244" s="7"/>
      <c r="K244" s="7">
        <f>K245</f>
        <v>289.60000000000002</v>
      </c>
      <c r="L244" s="7">
        <f t="shared" si="150"/>
        <v>289.60000000000002</v>
      </c>
      <c r="M244" s="7">
        <f t="shared" si="127"/>
        <v>100</v>
      </c>
    </row>
    <row r="245" spans="1:13" ht="47.25" x14ac:dyDescent="0.25">
      <c r="A245" s="31" t="s">
        <v>235</v>
      </c>
      <c r="B245" s="42" t="s">
        <v>201</v>
      </c>
      <c r="C245" s="42" t="s">
        <v>285</v>
      </c>
      <c r="D245" s="21" t="s">
        <v>969</v>
      </c>
      <c r="E245" s="42" t="s">
        <v>211</v>
      </c>
      <c r="F245" s="7"/>
      <c r="G245" s="7"/>
      <c r="H245" s="7"/>
      <c r="I245" s="7"/>
      <c r="J245" s="7"/>
      <c r="K245" s="7">
        <f>'Прил.№4 ведомств.'!M198</f>
        <v>289.60000000000002</v>
      </c>
      <c r="L245" s="7">
        <f>'Прил.№4 ведомств.'!N198</f>
        <v>289.60000000000002</v>
      </c>
      <c r="M245" s="7">
        <f t="shared" si="127"/>
        <v>100</v>
      </c>
    </row>
    <row r="246" spans="1:13" ht="31.5" x14ac:dyDescent="0.25">
      <c r="A246" s="26" t="s">
        <v>653</v>
      </c>
      <c r="B246" s="42" t="s">
        <v>201</v>
      </c>
      <c r="C246" s="42" t="s">
        <v>285</v>
      </c>
      <c r="D246" s="42" t="s">
        <v>287</v>
      </c>
      <c r="E246" s="42"/>
      <c r="F246" s="7">
        <f>F247</f>
        <v>450</v>
      </c>
      <c r="G246" s="7">
        <f t="shared" si="147"/>
        <v>450</v>
      </c>
      <c r="H246" s="7">
        <f t="shared" si="147"/>
        <v>450</v>
      </c>
      <c r="I246" s="7">
        <f t="shared" si="147"/>
        <v>450</v>
      </c>
      <c r="J246" s="7">
        <f t="shared" si="147"/>
        <v>450</v>
      </c>
      <c r="K246" s="7">
        <f t="shared" si="147"/>
        <v>510</v>
      </c>
      <c r="L246" s="7">
        <f t="shared" si="147"/>
        <v>255</v>
      </c>
      <c r="M246" s="7">
        <f t="shared" si="127"/>
        <v>50</v>
      </c>
    </row>
    <row r="247" spans="1:13" ht="15.75" x14ac:dyDescent="0.25">
      <c r="A247" s="31" t="s">
        <v>186</v>
      </c>
      <c r="B247" s="42" t="s">
        <v>201</v>
      </c>
      <c r="C247" s="42" t="s">
        <v>285</v>
      </c>
      <c r="D247" s="42" t="s">
        <v>287</v>
      </c>
      <c r="E247" s="42" t="s">
        <v>196</v>
      </c>
      <c r="F247" s="7">
        <f>F248</f>
        <v>450</v>
      </c>
      <c r="G247" s="7">
        <f t="shared" si="147"/>
        <v>450</v>
      </c>
      <c r="H247" s="7">
        <f t="shared" si="147"/>
        <v>450</v>
      </c>
      <c r="I247" s="7">
        <f t="shared" si="147"/>
        <v>450</v>
      </c>
      <c r="J247" s="7">
        <f t="shared" si="147"/>
        <v>450</v>
      </c>
      <c r="K247" s="7">
        <f t="shared" si="147"/>
        <v>510</v>
      </c>
      <c r="L247" s="7">
        <f t="shared" si="147"/>
        <v>255</v>
      </c>
      <c r="M247" s="7">
        <f t="shared" si="127"/>
        <v>50</v>
      </c>
    </row>
    <row r="248" spans="1:13" ht="47.25" x14ac:dyDescent="0.25">
      <c r="A248" s="26" t="s">
        <v>235</v>
      </c>
      <c r="B248" s="42" t="s">
        <v>201</v>
      </c>
      <c r="C248" s="42" t="s">
        <v>285</v>
      </c>
      <c r="D248" s="42" t="s">
        <v>287</v>
      </c>
      <c r="E248" s="42" t="s">
        <v>211</v>
      </c>
      <c r="F248" s="7">
        <f>'Прил.№4 ведомств.'!G201</f>
        <v>450</v>
      </c>
      <c r="G248" s="7">
        <f>'Прил.№4 ведомств.'!I201</f>
        <v>450</v>
      </c>
      <c r="H248" s="7">
        <f>'Прил.№4 ведомств.'!J201</f>
        <v>450</v>
      </c>
      <c r="I248" s="7">
        <f>'Прил.№4 ведомств.'!K201</f>
        <v>450</v>
      </c>
      <c r="J248" s="7">
        <f>'Прил.№4 ведомств.'!L201</f>
        <v>450</v>
      </c>
      <c r="K248" s="7">
        <f>'Прил.№4 ведомств.'!M201</f>
        <v>510</v>
      </c>
      <c r="L248" s="7">
        <f>'Прил.№4 ведомств.'!N201</f>
        <v>255</v>
      </c>
      <c r="M248" s="7">
        <f t="shared" si="127"/>
        <v>50</v>
      </c>
    </row>
    <row r="249" spans="1:13" ht="15.75" x14ac:dyDescent="0.25">
      <c r="A249" s="43" t="s">
        <v>557</v>
      </c>
      <c r="B249" s="8" t="s">
        <v>201</v>
      </c>
      <c r="C249" s="8" t="s">
        <v>350</v>
      </c>
      <c r="D249" s="8"/>
      <c r="E249" s="8"/>
      <c r="F249" s="4">
        <f>F250</f>
        <v>3207.7</v>
      </c>
      <c r="G249" s="4">
        <f t="shared" ref="G249:L253" si="151">G250</f>
        <v>3207.7</v>
      </c>
      <c r="H249" s="4">
        <f t="shared" si="151"/>
        <v>3207.7</v>
      </c>
      <c r="I249" s="4">
        <f t="shared" si="151"/>
        <v>3207.7</v>
      </c>
      <c r="J249" s="4">
        <f t="shared" si="151"/>
        <v>3207.7</v>
      </c>
      <c r="K249" s="4">
        <f t="shared" si="151"/>
        <v>3258.3</v>
      </c>
      <c r="L249" s="4">
        <f t="shared" si="151"/>
        <v>2144.5</v>
      </c>
      <c r="M249" s="4">
        <f t="shared" si="127"/>
        <v>65.816530092379452</v>
      </c>
    </row>
    <row r="250" spans="1:13" ht="15.75" x14ac:dyDescent="0.25">
      <c r="A250" s="31" t="s">
        <v>172</v>
      </c>
      <c r="B250" s="42" t="s">
        <v>201</v>
      </c>
      <c r="C250" s="42" t="s">
        <v>350</v>
      </c>
      <c r="D250" s="42" t="s">
        <v>173</v>
      </c>
      <c r="E250" s="8"/>
      <c r="F250" s="7">
        <f>F251</f>
        <v>3207.7</v>
      </c>
      <c r="G250" s="7">
        <f t="shared" si="151"/>
        <v>3207.7</v>
      </c>
      <c r="H250" s="7">
        <f t="shared" si="151"/>
        <v>3207.7</v>
      </c>
      <c r="I250" s="7">
        <f t="shared" si="151"/>
        <v>3207.7</v>
      </c>
      <c r="J250" s="7">
        <f t="shared" si="151"/>
        <v>3207.7</v>
      </c>
      <c r="K250" s="7">
        <f t="shared" si="151"/>
        <v>3258.3</v>
      </c>
      <c r="L250" s="7">
        <f t="shared" si="151"/>
        <v>2144.5</v>
      </c>
      <c r="M250" s="7">
        <f t="shared" si="127"/>
        <v>65.816530092379452</v>
      </c>
    </row>
    <row r="251" spans="1:13" ht="15.75" x14ac:dyDescent="0.25">
      <c r="A251" s="31" t="s">
        <v>192</v>
      </c>
      <c r="B251" s="42" t="s">
        <v>201</v>
      </c>
      <c r="C251" s="42" t="s">
        <v>350</v>
      </c>
      <c r="D251" s="42" t="s">
        <v>193</v>
      </c>
      <c r="E251" s="8"/>
      <c r="F251" s="7">
        <f>F252</f>
        <v>3207.7</v>
      </c>
      <c r="G251" s="7">
        <f t="shared" si="151"/>
        <v>3207.7</v>
      </c>
      <c r="H251" s="7">
        <f t="shared" si="151"/>
        <v>3207.7</v>
      </c>
      <c r="I251" s="7">
        <f t="shared" si="151"/>
        <v>3207.7</v>
      </c>
      <c r="J251" s="7">
        <f t="shared" si="151"/>
        <v>3207.7</v>
      </c>
      <c r="K251" s="7">
        <f t="shared" si="151"/>
        <v>3258.3</v>
      </c>
      <c r="L251" s="7">
        <f t="shared" si="151"/>
        <v>2144.5</v>
      </c>
      <c r="M251" s="7">
        <f t="shared" si="127"/>
        <v>65.816530092379452</v>
      </c>
    </row>
    <row r="252" spans="1:13" ht="31.5" x14ac:dyDescent="0.25">
      <c r="A252" s="31" t="s">
        <v>558</v>
      </c>
      <c r="B252" s="42" t="s">
        <v>201</v>
      </c>
      <c r="C252" s="42" t="s">
        <v>350</v>
      </c>
      <c r="D252" s="42" t="s">
        <v>559</v>
      </c>
      <c r="E252" s="42"/>
      <c r="F252" s="7">
        <f>F253</f>
        <v>3207.7</v>
      </c>
      <c r="G252" s="7">
        <f t="shared" si="151"/>
        <v>3207.7</v>
      </c>
      <c r="H252" s="7">
        <f t="shared" si="151"/>
        <v>3207.7</v>
      </c>
      <c r="I252" s="7">
        <f t="shared" si="151"/>
        <v>3207.7</v>
      </c>
      <c r="J252" s="7">
        <f t="shared" si="151"/>
        <v>3207.7</v>
      </c>
      <c r="K252" s="7">
        <f t="shared" si="151"/>
        <v>3258.3</v>
      </c>
      <c r="L252" s="7">
        <f t="shared" si="151"/>
        <v>2144.5</v>
      </c>
      <c r="M252" s="7">
        <f t="shared" si="127"/>
        <v>65.816530092379452</v>
      </c>
    </row>
    <row r="253" spans="1:13" ht="31.5" x14ac:dyDescent="0.25">
      <c r="A253" s="31" t="s">
        <v>182</v>
      </c>
      <c r="B253" s="42" t="s">
        <v>201</v>
      </c>
      <c r="C253" s="42" t="s">
        <v>350</v>
      </c>
      <c r="D253" s="42" t="s">
        <v>559</v>
      </c>
      <c r="E253" s="42" t="s">
        <v>183</v>
      </c>
      <c r="F253" s="7">
        <f>F254</f>
        <v>3207.7</v>
      </c>
      <c r="G253" s="7">
        <f t="shared" si="151"/>
        <v>3207.7</v>
      </c>
      <c r="H253" s="7">
        <f t="shared" si="151"/>
        <v>3207.7</v>
      </c>
      <c r="I253" s="7">
        <f t="shared" si="151"/>
        <v>3207.7</v>
      </c>
      <c r="J253" s="7">
        <f t="shared" si="151"/>
        <v>3207.7</v>
      </c>
      <c r="K253" s="7">
        <f t="shared" si="151"/>
        <v>3258.3</v>
      </c>
      <c r="L253" s="7">
        <f t="shared" si="151"/>
        <v>2144.5</v>
      </c>
      <c r="M253" s="7">
        <f t="shared" si="127"/>
        <v>65.816530092379452</v>
      </c>
    </row>
    <row r="254" spans="1:13" ht="47.25" x14ac:dyDescent="0.25">
      <c r="A254" s="31" t="s">
        <v>184</v>
      </c>
      <c r="B254" s="42" t="s">
        <v>201</v>
      </c>
      <c r="C254" s="42" t="s">
        <v>350</v>
      </c>
      <c r="D254" s="42" t="s">
        <v>559</v>
      </c>
      <c r="E254" s="42" t="s">
        <v>185</v>
      </c>
      <c r="F254" s="63">
        <f>'Прил.№4 ведомств.'!G900</f>
        <v>3207.7</v>
      </c>
      <c r="G254" s="63">
        <f>'Прил.№4 ведомств.'!I900</f>
        <v>3207.7</v>
      </c>
      <c r="H254" s="63">
        <f>'Прил.№4 ведомств.'!J900</f>
        <v>3207.7</v>
      </c>
      <c r="I254" s="63">
        <f>'Прил.№4 ведомств.'!K900</f>
        <v>3207.7</v>
      </c>
      <c r="J254" s="63">
        <f>'Прил.№4 ведомств.'!L900</f>
        <v>3207.7</v>
      </c>
      <c r="K254" s="63">
        <f>'Прил.№4 ведомств.'!M900</f>
        <v>3258.3</v>
      </c>
      <c r="L254" s="63">
        <f>'Прил.№4 ведомств.'!N900</f>
        <v>2144.5</v>
      </c>
      <c r="M254" s="7">
        <f t="shared" si="127"/>
        <v>65.816530092379452</v>
      </c>
    </row>
    <row r="255" spans="1:13" ht="15.75" x14ac:dyDescent="0.25">
      <c r="A255" s="43" t="s">
        <v>560</v>
      </c>
      <c r="B255" s="8" t="s">
        <v>201</v>
      </c>
      <c r="C255" s="8" t="s">
        <v>270</v>
      </c>
      <c r="D255" s="42"/>
      <c r="E255" s="8"/>
      <c r="F255" s="4">
        <f>F256</f>
        <v>15124.1</v>
      </c>
      <c r="G255" s="4">
        <f t="shared" ref="G255:L256" si="152">G256</f>
        <v>15124.1</v>
      </c>
      <c r="H255" s="4">
        <f t="shared" si="152"/>
        <v>15124.1</v>
      </c>
      <c r="I255" s="4">
        <f t="shared" si="152"/>
        <v>15124.1</v>
      </c>
      <c r="J255" s="4">
        <f t="shared" si="152"/>
        <v>15124.1</v>
      </c>
      <c r="K255" s="4">
        <f t="shared" si="152"/>
        <v>6895.3</v>
      </c>
      <c r="L255" s="4">
        <f t="shared" si="152"/>
        <v>3675.9</v>
      </c>
      <c r="M255" s="4">
        <f t="shared" si="127"/>
        <v>53.310225805983791</v>
      </c>
    </row>
    <row r="256" spans="1:13" ht="47.25" x14ac:dyDescent="0.25">
      <c r="A256" s="31" t="s">
        <v>997</v>
      </c>
      <c r="B256" s="42" t="s">
        <v>201</v>
      </c>
      <c r="C256" s="42" t="s">
        <v>270</v>
      </c>
      <c r="D256" s="42" t="s">
        <v>562</v>
      </c>
      <c r="E256" s="42"/>
      <c r="F256" s="11">
        <f>F257</f>
        <v>15124.1</v>
      </c>
      <c r="G256" s="11">
        <f t="shared" si="152"/>
        <v>15124.1</v>
      </c>
      <c r="H256" s="11">
        <f t="shared" si="152"/>
        <v>15124.1</v>
      </c>
      <c r="I256" s="11">
        <f t="shared" si="152"/>
        <v>15124.1</v>
      </c>
      <c r="J256" s="11">
        <f t="shared" si="152"/>
        <v>15124.1</v>
      </c>
      <c r="K256" s="11">
        <f t="shared" si="152"/>
        <v>6895.3</v>
      </c>
      <c r="L256" s="11">
        <f t="shared" si="152"/>
        <v>3675.9</v>
      </c>
      <c r="M256" s="7">
        <f t="shared" si="127"/>
        <v>53.310225805983791</v>
      </c>
    </row>
    <row r="257" spans="1:13" ht="15.75" x14ac:dyDescent="0.25">
      <c r="A257" s="31" t="s">
        <v>563</v>
      </c>
      <c r="B257" s="42" t="s">
        <v>201</v>
      </c>
      <c r="C257" s="42" t="s">
        <v>270</v>
      </c>
      <c r="D257" s="42" t="s">
        <v>564</v>
      </c>
      <c r="E257" s="42"/>
      <c r="F257" s="11">
        <f>F258+F260</f>
        <v>15124.1</v>
      </c>
      <c r="G257" s="11">
        <f t="shared" ref="G257:K257" si="153">G258+G260</f>
        <v>15124.1</v>
      </c>
      <c r="H257" s="11">
        <f t="shared" si="153"/>
        <v>15124.1</v>
      </c>
      <c r="I257" s="11">
        <f t="shared" si="153"/>
        <v>15124.1</v>
      </c>
      <c r="J257" s="11">
        <f t="shared" si="153"/>
        <v>15124.1</v>
      </c>
      <c r="K257" s="11">
        <f t="shared" si="153"/>
        <v>6895.3</v>
      </c>
      <c r="L257" s="11">
        <f t="shared" ref="L257" si="154">L258+L260</f>
        <v>3675.9</v>
      </c>
      <c r="M257" s="7">
        <f t="shared" si="127"/>
        <v>53.310225805983791</v>
      </c>
    </row>
    <row r="258" spans="1:13" ht="31.5" x14ac:dyDescent="0.25">
      <c r="A258" s="31" t="s">
        <v>182</v>
      </c>
      <c r="B258" s="42" t="s">
        <v>201</v>
      </c>
      <c r="C258" s="42" t="s">
        <v>270</v>
      </c>
      <c r="D258" s="42" t="s">
        <v>564</v>
      </c>
      <c r="E258" s="42" t="s">
        <v>183</v>
      </c>
      <c r="F258" s="11">
        <f>F259</f>
        <v>15108.1</v>
      </c>
      <c r="G258" s="11">
        <f t="shared" ref="G258:L258" si="155">G259</f>
        <v>15108.1</v>
      </c>
      <c r="H258" s="11">
        <f t="shared" si="155"/>
        <v>15108.1</v>
      </c>
      <c r="I258" s="11">
        <f t="shared" si="155"/>
        <v>15108.1</v>
      </c>
      <c r="J258" s="11">
        <f t="shared" si="155"/>
        <v>15108.1</v>
      </c>
      <c r="K258" s="11">
        <f t="shared" si="155"/>
        <v>6879.3</v>
      </c>
      <c r="L258" s="11">
        <f t="shared" si="155"/>
        <v>3675.9</v>
      </c>
      <c r="M258" s="7">
        <f t="shared" si="127"/>
        <v>53.434215690549912</v>
      </c>
    </row>
    <row r="259" spans="1:13" ht="47.25" x14ac:dyDescent="0.25">
      <c r="A259" s="31" t="s">
        <v>184</v>
      </c>
      <c r="B259" s="42" t="s">
        <v>201</v>
      </c>
      <c r="C259" s="42" t="s">
        <v>270</v>
      </c>
      <c r="D259" s="42" t="s">
        <v>564</v>
      </c>
      <c r="E259" s="42" t="s">
        <v>185</v>
      </c>
      <c r="F259" s="63">
        <f>'Прил.№4 ведомств.'!G905</f>
        <v>15108.1</v>
      </c>
      <c r="G259" s="63">
        <f>'Прил.№4 ведомств.'!I905</f>
        <v>15108.1</v>
      </c>
      <c r="H259" s="63">
        <f>'Прил.№4 ведомств.'!J905</f>
        <v>15108.1</v>
      </c>
      <c r="I259" s="63">
        <f>'Прил.№4 ведомств.'!K905</f>
        <v>15108.1</v>
      </c>
      <c r="J259" s="63">
        <f>'Прил.№4 ведомств.'!L905</f>
        <v>15108.1</v>
      </c>
      <c r="K259" s="63">
        <f>'Прил.№4 ведомств.'!M905</f>
        <v>6879.3</v>
      </c>
      <c r="L259" s="63">
        <f>'Прил.№4 ведомств.'!N905</f>
        <v>3675.9</v>
      </c>
      <c r="M259" s="7">
        <f t="shared" si="127"/>
        <v>53.434215690549912</v>
      </c>
    </row>
    <row r="260" spans="1:13" ht="15.75" x14ac:dyDescent="0.25">
      <c r="A260" s="31" t="s">
        <v>186</v>
      </c>
      <c r="B260" s="42" t="s">
        <v>201</v>
      </c>
      <c r="C260" s="42" t="s">
        <v>270</v>
      </c>
      <c r="D260" s="42" t="s">
        <v>564</v>
      </c>
      <c r="E260" s="42" t="s">
        <v>196</v>
      </c>
      <c r="F260" s="63">
        <f>F261</f>
        <v>16</v>
      </c>
      <c r="G260" s="63">
        <f t="shared" ref="G260:L260" si="156">G261</f>
        <v>16</v>
      </c>
      <c r="H260" s="63">
        <f t="shared" si="156"/>
        <v>16</v>
      </c>
      <c r="I260" s="63">
        <f t="shared" si="156"/>
        <v>16</v>
      </c>
      <c r="J260" s="63">
        <f t="shared" si="156"/>
        <v>16</v>
      </c>
      <c r="K260" s="63">
        <f t="shared" si="156"/>
        <v>16</v>
      </c>
      <c r="L260" s="63">
        <f t="shared" si="156"/>
        <v>0</v>
      </c>
      <c r="M260" s="7">
        <f t="shared" si="127"/>
        <v>0</v>
      </c>
    </row>
    <row r="261" spans="1:13" ht="15.75" x14ac:dyDescent="0.25">
      <c r="A261" s="31" t="s">
        <v>620</v>
      </c>
      <c r="B261" s="42" t="s">
        <v>201</v>
      </c>
      <c r="C261" s="42" t="s">
        <v>270</v>
      </c>
      <c r="D261" s="42" t="s">
        <v>564</v>
      </c>
      <c r="E261" s="42" t="s">
        <v>189</v>
      </c>
      <c r="F261" s="63">
        <f>'Прил.№4 ведомств.'!G907</f>
        <v>16</v>
      </c>
      <c r="G261" s="63">
        <f>'Прил.№4 ведомств.'!I907</f>
        <v>16</v>
      </c>
      <c r="H261" s="63">
        <f>'Прил.№4 ведомств.'!J907</f>
        <v>16</v>
      </c>
      <c r="I261" s="63">
        <f>'Прил.№4 ведомств.'!K907</f>
        <v>16</v>
      </c>
      <c r="J261" s="63">
        <f>'Прил.№4 ведомств.'!L907</f>
        <v>16</v>
      </c>
      <c r="K261" s="63">
        <f>'Прил.№4 ведомств.'!M907</f>
        <v>16</v>
      </c>
      <c r="L261" s="63">
        <f>'Прил.№4 ведомств.'!N907</f>
        <v>0</v>
      </c>
      <c r="M261" s="7">
        <f t="shared" si="127"/>
        <v>0</v>
      </c>
    </row>
    <row r="262" spans="1:13" ht="31.5" x14ac:dyDescent="0.25">
      <c r="A262" s="43" t="s">
        <v>288</v>
      </c>
      <c r="B262" s="8" t="s">
        <v>201</v>
      </c>
      <c r="C262" s="8" t="s">
        <v>289</v>
      </c>
      <c r="D262" s="8"/>
      <c r="E262" s="8"/>
      <c r="F262" s="68">
        <f>F267+F263</f>
        <v>1371.3999999999999</v>
      </c>
      <c r="G262" s="68">
        <f t="shared" ref="G262:K262" si="157">G267+G263</f>
        <v>1371.3999999999999</v>
      </c>
      <c r="H262" s="68">
        <f t="shared" si="157"/>
        <v>1371.3999999999999</v>
      </c>
      <c r="I262" s="68">
        <f t="shared" si="157"/>
        <v>1911.3999999999999</v>
      </c>
      <c r="J262" s="68">
        <f t="shared" si="157"/>
        <v>1911.3999999999999</v>
      </c>
      <c r="K262" s="68">
        <f t="shared" si="157"/>
        <v>1200.1999999999998</v>
      </c>
      <c r="L262" s="68">
        <f t="shared" ref="L262" si="158">L267+L263</f>
        <v>276.3</v>
      </c>
      <c r="M262" s="4">
        <f t="shared" si="127"/>
        <v>23.021163139476759</v>
      </c>
    </row>
    <row r="263" spans="1:13" ht="47.25" x14ac:dyDescent="0.25">
      <c r="A263" s="26" t="s">
        <v>979</v>
      </c>
      <c r="B263" s="21" t="s">
        <v>201</v>
      </c>
      <c r="C263" s="21" t="s">
        <v>289</v>
      </c>
      <c r="D263" s="21" t="s">
        <v>207</v>
      </c>
      <c r="E263" s="21"/>
      <c r="F263" s="11">
        <f>F264</f>
        <v>0</v>
      </c>
      <c r="G263" s="11">
        <f t="shared" ref="G263:L265" si="159">G264</f>
        <v>0</v>
      </c>
      <c r="H263" s="11">
        <f t="shared" si="159"/>
        <v>0</v>
      </c>
      <c r="I263" s="11">
        <f t="shared" si="159"/>
        <v>540</v>
      </c>
      <c r="J263" s="11">
        <f t="shared" si="159"/>
        <v>540</v>
      </c>
      <c r="K263" s="11">
        <f t="shared" si="159"/>
        <v>250</v>
      </c>
      <c r="L263" s="11">
        <f t="shared" si="159"/>
        <v>0</v>
      </c>
      <c r="M263" s="7">
        <f t="shared" si="127"/>
        <v>0</v>
      </c>
    </row>
    <row r="264" spans="1:13" ht="31.5" x14ac:dyDescent="0.25">
      <c r="A264" s="26" t="s">
        <v>208</v>
      </c>
      <c r="B264" s="21" t="s">
        <v>201</v>
      </c>
      <c r="C264" s="21" t="s">
        <v>289</v>
      </c>
      <c r="D264" s="21" t="s">
        <v>209</v>
      </c>
      <c r="E264" s="21"/>
      <c r="F264" s="11">
        <f>F265</f>
        <v>0</v>
      </c>
      <c r="G264" s="11">
        <f t="shared" si="159"/>
        <v>0</v>
      </c>
      <c r="H264" s="11">
        <f t="shared" si="159"/>
        <v>0</v>
      </c>
      <c r="I264" s="11">
        <f t="shared" si="159"/>
        <v>540</v>
      </c>
      <c r="J264" s="11">
        <f t="shared" si="159"/>
        <v>540</v>
      </c>
      <c r="K264" s="11">
        <f t="shared" si="159"/>
        <v>250</v>
      </c>
      <c r="L264" s="11">
        <f t="shared" si="159"/>
        <v>0</v>
      </c>
      <c r="M264" s="7">
        <f t="shared" si="127"/>
        <v>0</v>
      </c>
    </row>
    <row r="265" spans="1:13" ht="15.75" x14ac:dyDescent="0.25">
      <c r="A265" s="26" t="s">
        <v>186</v>
      </c>
      <c r="B265" s="21" t="s">
        <v>201</v>
      </c>
      <c r="C265" s="21" t="s">
        <v>289</v>
      </c>
      <c r="D265" s="21" t="s">
        <v>209</v>
      </c>
      <c r="E265" s="21" t="s">
        <v>196</v>
      </c>
      <c r="F265" s="11">
        <f>F266</f>
        <v>0</v>
      </c>
      <c r="G265" s="11">
        <f t="shared" si="159"/>
        <v>0</v>
      </c>
      <c r="H265" s="11">
        <f t="shared" si="159"/>
        <v>0</v>
      </c>
      <c r="I265" s="11">
        <f t="shared" si="159"/>
        <v>540</v>
      </c>
      <c r="J265" s="11">
        <f t="shared" si="159"/>
        <v>540</v>
      </c>
      <c r="K265" s="11">
        <f t="shared" si="159"/>
        <v>250</v>
      </c>
      <c r="L265" s="11">
        <f t="shared" si="159"/>
        <v>0</v>
      </c>
      <c r="M265" s="7">
        <f t="shared" si="127"/>
        <v>0</v>
      </c>
    </row>
    <row r="266" spans="1:13" ht="63" x14ac:dyDescent="0.25">
      <c r="A266" s="26" t="s">
        <v>210</v>
      </c>
      <c r="B266" s="21" t="s">
        <v>201</v>
      </c>
      <c r="C266" s="21" t="s">
        <v>289</v>
      </c>
      <c r="D266" s="21" t="s">
        <v>209</v>
      </c>
      <c r="E266" s="21" t="s">
        <v>211</v>
      </c>
      <c r="F266" s="11">
        <f>'Прил.№4 ведомств.'!G206</f>
        <v>0</v>
      </c>
      <c r="G266" s="11">
        <f>'Прил.№4 ведомств.'!H206</f>
        <v>0</v>
      </c>
      <c r="H266" s="11">
        <f>'Прил.№4 ведомств.'!I206</f>
        <v>0</v>
      </c>
      <c r="I266" s="11">
        <f>'Прил.№4 ведомств.'!J206</f>
        <v>540</v>
      </c>
      <c r="J266" s="11">
        <f>'Прил.№4 ведомств.'!K206</f>
        <v>540</v>
      </c>
      <c r="K266" s="11">
        <f>'Прил.№4 ведомств.'!M206</f>
        <v>250</v>
      </c>
      <c r="L266" s="11">
        <f>'Прил.№4 ведомств.'!N206</f>
        <v>0</v>
      </c>
      <c r="M266" s="7">
        <f t="shared" si="127"/>
        <v>0</v>
      </c>
    </row>
    <row r="267" spans="1:13" ht="15.75" x14ac:dyDescent="0.25">
      <c r="A267" s="31" t="s">
        <v>172</v>
      </c>
      <c r="B267" s="42" t="s">
        <v>201</v>
      </c>
      <c r="C267" s="42" t="s">
        <v>289</v>
      </c>
      <c r="D267" s="42" t="s">
        <v>173</v>
      </c>
      <c r="E267" s="8"/>
      <c r="F267" s="11">
        <f>F268</f>
        <v>1371.3999999999999</v>
      </c>
      <c r="G267" s="11">
        <f t="shared" ref="G267:L267" si="160">G268</f>
        <v>1371.3999999999999</v>
      </c>
      <c r="H267" s="11">
        <f t="shared" si="160"/>
        <v>1371.3999999999999</v>
      </c>
      <c r="I267" s="11">
        <f t="shared" si="160"/>
        <v>1371.3999999999999</v>
      </c>
      <c r="J267" s="11">
        <f t="shared" si="160"/>
        <v>1371.3999999999999</v>
      </c>
      <c r="K267" s="11">
        <f t="shared" si="160"/>
        <v>950.19999999999993</v>
      </c>
      <c r="L267" s="11">
        <f t="shared" si="160"/>
        <v>276.3</v>
      </c>
      <c r="M267" s="7">
        <f t="shared" si="127"/>
        <v>29.078088823405601</v>
      </c>
    </row>
    <row r="268" spans="1:13" ht="31.5" x14ac:dyDescent="0.25">
      <c r="A268" s="31" t="s">
        <v>236</v>
      </c>
      <c r="B268" s="42" t="s">
        <v>201</v>
      </c>
      <c r="C268" s="42" t="s">
        <v>289</v>
      </c>
      <c r="D268" s="42" t="s">
        <v>237</v>
      </c>
      <c r="E268" s="8"/>
      <c r="F268" s="11">
        <f>F272+F269</f>
        <v>1371.3999999999999</v>
      </c>
      <c r="G268" s="11">
        <f t="shared" ref="G268:K268" si="161">G272+G269</f>
        <v>1371.3999999999999</v>
      </c>
      <c r="H268" s="11">
        <f t="shared" si="161"/>
        <v>1371.3999999999999</v>
      </c>
      <c r="I268" s="11">
        <f t="shared" si="161"/>
        <v>1371.3999999999999</v>
      </c>
      <c r="J268" s="11">
        <f t="shared" si="161"/>
        <v>1371.3999999999999</v>
      </c>
      <c r="K268" s="11">
        <f t="shared" si="161"/>
        <v>950.19999999999993</v>
      </c>
      <c r="L268" s="11">
        <f t="shared" ref="L268" si="162">L272+L269</f>
        <v>276.3</v>
      </c>
      <c r="M268" s="7">
        <f t="shared" si="127"/>
        <v>29.078088823405601</v>
      </c>
    </row>
    <row r="269" spans="1:13" ht="31.5" x14ac:dyDescent="0.25">
      <c r="A269" s="26" t="s">
        <v>290</v>
      </c>
      <c r="B269" s="21" t="s">
        <v>201</v>
      </c>
      <c r="C269" s="21" t="s">
        <v>289</v>
      </c>
      <c r="D269" s="21" t="s">
        <v>291</v>
      </c>
      <c r="E269" s="25"/>
      <c r="F269" s="11">
        <f>F270</f>
        <v>90</v>
      </c>
      <c r="G269" s="11">
        <f t="shared" ref="G269:L270" si="163">G270</f>
        <v>90</v>
      </c>
      <c r="H269" s="11">
        <f t="shared" si="163"/>
        <v>90</v>
      </c>
      <c r="I269" s="11">
        <f t="shared" si="163"/>
        <v>90</v>
      </c>
      <c r="J269" s="11">
        <f t="shared" si="163"/>
        <v>90</v>
      </c>
      <c r="K269" s="11">
        <f t="shared" si="163"/>
        <v>48.9</v>
      </c>
      <c r="L269" s="11">
        <f t="shared" si="163"/>
        <v>0</v>
      </c>
      <c r="M269" s="7">
        <f t="shared" ref="M269:M332" si="164">L269/K269*100</f>
        <v>0</v>
      </c>
    </row>
    <row r="270" spans="1:13" ht="15.75" x14ac:dyDescent="0.25">
      <c r="A270" s="26" t="s">
        <v>186</v>
      </c>
      <c r="B270" s="21" t="s">
        <v>201</v>
      </c>
      <c r="C270" s="21" t="s">
        <v>289</v>
      </c>
      <c r="D270" s="21" t="s">
        <v>291</v>
      </c>
      <c r="E270" s="21" t="s">
        <v>196</v>
      </c>
      <c r="F270" s="11">
        <f>F271</f>
        <v>90</v>
      </c>
      <c r="G270" s="11">
        <f t="shared" si="163"/>
        <v>90</v>
      </c>
      <c r="H270" s="11">
        <f t="shared" si="163"/>
        <v>90</v>
      </c>
      <c r="I270" s="11">
        <f t="shared" si="163"/>
        <v>90</v>
      </c>
      <c r="J270" s="11">
        <f t="shared" si="163"/>
        <v>90</v>
      </c>
      <c r="K270" s="11">
        <f t="shared" si="163"/>
        <v>48.9</v>
      </c>
      <c r="L270" s="11">
        <f t="shared" si="163"/>
        <v>0</v>
      </c>
      <c r="M270" s="7">
        <f t="shared" si="164"/>
        <v>0</v>
      </c>
    </row>
    <row r="271" spans="1:13" ht="47.25" x14ac:dyDescent="0.25">
      <c r="A271" s="26" t="s">
        <v>235</v>
      </c>
      <c r="B271" s="21" t="s">
        <v>201</v>
      </c>
      <c r="C271" s="21" t="s">
        <v>289</v>
      </c>
      <c r="D271" s="21" t="s">
        <v>291</v>
      </c>
      <c r="E271" s="21" t="s">
        <v>211</v>
      </c>
      <c r="F271" s="11">
        <f>'Прил.№4 ведомств.'!G211</f>
        <v>90</v>
      </c>
      <c r="G271" s="11">
        <f>'Прил.№4 ведомств.'!I211</f>
        <v>90</v>
      </c>
      <c r="H271" s="11">
        <f>'Прил.№4 ведомств.'!J211</f>
        <v>90</v>
      </c>
      <c r="I271" s="11">
        <f>'Прил.№4 ведомств.'!K211</f>
        <v>90</v>
      </c>
      <c r="J271" s="11">
        <f>'Прил.№4 ведомств.'!L211</f>
        <v>90</v>
      </c>
      <c r="K271" s="11">
        <f>'Прил.№4 ведомств.'!M211</f>
        <v>48.9</v>
      </c>
      <c r="L271" s="11">
        <f>'Прил.№4 ведомств.'!N211</f>
        <v>0</v>
      </c>
      <c r="M271" s="7">
        <f t="shared" si="164"/>
        <v>0</v>
      </c>
    </row>
    <row r="272" spans="1:13" ht="63" x14ac:dyDescent="0.25">
      <c r="A272" s="47" t="s">
        <v>292</v>
      </c>
      <c r="B272" s="42" t="s">
        <v>201</v>
      </c>
      <c r="C272" s="42" t="s">
        <v>289</v>
      </c>
      <c r="D272" s="42" t="s">
        <v>293</v>
      </c>
      <c r="E272" s="42"/>
      <c r="F272" s="7">
        <f>F273+F275</f>
        <v>1281.3999999999999</v>
      </c>
      <c r="G272" s="7">
        <f t="shared" ref="G272:K272" si="165">G273+G275</f>
        <v>1281.3999999999999</v>
      </c>
      <c r="H272" s="7">
        <f t="shared" si="165"/>
        <v>1281.3999999999999</v>
      </c>
      <c r="I272" s="7">
        <f t="shared" si="165"/>
        <v>1281.3999999999999</v>
      </c>
      <c r="J272" s="7">
        <f t="shared" si="165"/>
        <v>1281.3999999999999</v>
      </c>
      <c r="K272" s="7">
        <f t="shared" si="165"/>
        <v>901.3</v>
      </c>
      <c r="L272" s="7">
        <f t="shared" ref="L272" si="166">L273+L275</f>
        <v>276.3</v>
      </c>
      <c r="M272" s="7">
        <f t="shared" si="164"/>
        <v>30.655719516254305</v>
      </c>
    </row>
    <row r="273" spans="1:17" ht="78.75" x14ac:dyDescent="0.25">
      <c r="A273" s="31" t="s">
        <v>178</v>
      </c>
      <c r="B273" s="42" t="s">
        <v>201</v>
      </c>
      <c r="C273" s="42" t="s">
        <v>289</v>
      </c>
      <c r="D273" s="42" t="s">
        <v>293</v>
      </c>
      <c r="E273" s="42" t="s">
        <v>179</v>
      </c>
      <c r="F273" s="7">
        <f>F274</f>
        <v>1116.3999999999999</v>
      </c>
      <c r="G273" s="7">
        <f t="shared" ref="G273:L273" si="167">G274</f>
        <v>1116.3999999999999</v>
      </c>
      <c r="H273" s="7">
        <f t="shared" si="167"/>
        <v>1116.3999999999999</v>
      </c>
      <c r="I273" s="7">
        <f t="shared" si="167"/>
        <v>1116.3999999999999</v>
      </c>
      <c r="J273" s="7">
        <f t="shared" si="167"/>
        <v>1116.3999999999999</v>
      </c>
      <c r="K273" s="7">
        <f t="shared" si="167"/>
        <v>779.69999999999993</v>
      </c>
      <c r="L273" s="7">
        <f t="shared" si="167"/>
        <v>224.2</v>
      </c>
      <c r="M273" s="7">
        <f t="shared" si="164"/>
        <v>28.754649224060536</v>
      </c>
    </row>
    <row r="274" spans="1:17" ht="31.5" x14ac:dyDescent="0.25">
      <c r="A274" s="31" t="s">
        <v>180</v>
      </c>
      <c r="B274" s="42" t="s">
        <v>201</v>
      </c>
      <c r="C274" s="42" t="s">
        <v>289</v>
      </c>
      <c r="D274" s="42" t="s">
        <v>293</v>
      </c>
      <c r="E274" s="42" t="s">
        <v>181</v>
      </c>
      <c r="F274" s="7">
        <f>'Прил.№4 ведомств.'!G214</f>
        <v>1116.3999999999999</v>
      </c>
      <c r="G274" s="7">
        <f>'Прил.№4 ведомств.'!I214</f>
        <v>1116.3999999999999</v>
      </c>
      <c r="H274" s="7">
        <f>'Прил.№4 ведомств.'!J214</f>
        <v>1116.3999999999999</v>
      </c>
      <c r="I274" s="7">
        <f>'Прил.№4 ведомств.'!K214</f>
        <v>1116.3999999999999</v>
      </c>
      <c r="J274" s="7">
        <f>'Прил.№4 ведомств.'!L214</f>
        <v>1116.3999999999999</v>
      </c>
      <c r="K274" s="7">
        <f>'Прил.№4 ведомств.'!M214</f>
        <v>779.69999999999993</v>
      </c>
      <c r="L274" s="7">
        <f>'Прил.№4 ведомств.'!N214</f>
        <v>224.2</v>
      </c>
      <c r="M274" s="7">
        <f t="shared" si="164"/>
        <v>28.754649224060536</v>
      </c>
    </row>
    <row r="275" spans="1:17" ht="31.5" x14ac:dyDescent="0.25">
      <c r="A275" s="31" t="s">
        <v>182</v>
      </c>
      <c r="B275" s="42" t="s">
        <v>201</v>
      </c>
      <c r="C275" s="42" t="s">
        <v>289</v>
      </c>
      <c r="D275" s="42" t="s">
        <v>293</v>
      </c>
      <c r="E275" s="42" t="s">
        <v>183</v>
      </c>
      <c r="F275" s="7">
        <f>F276</f>
        <v>165</v>
      </c>
      <c r="G275" s="7">
        <f t="shared" ref="G275:L275" si="168">G276</f>
        <v>165</v>
      </c>
      <c r="H275" s="7">
        <f t="shared" si="168"/>
        <v>165</v>
      </c>
      <c r="I275" s="7">
        <f t="shared" si="168"/>
        <v>165</v>
      </c>
      <c r="J275" s="7">
        <f t="shared" si="168"/>
        <v>165</v>
      </c>
      <c r="K275" s="7">
        <f t="shared" si="168"/>
        <v>121.60000000000002</v>
      </c>
      <c r="L275" s="7">
        <f t="shared" si="168"/>
        <v>52.1</v>
      </c>
      <c r="M275" s="7">
        <f t="shared" si="164"/>
        <v>42.845394736842096</v>
      </c>
    </row>
    <row r="276" spans="1:17" ht="47.25" x14ac:dyDescent="0.25">
      <c r="A276" s="31" t="s">
        <v>184</v>
      </c>
      <c r="B276" s="42" t="s">
        <v>201</v>
      </c>
      <c r="C276" s="42" t="s">
        <v>289</v>
      </c>
      <c r="D276" s="42" t="s">
        <v>293</v>
      </c>
      <c r="E276" s="42" t="s">
        <v>185</v>
      </c>
      <c r="F276" s="7">
        <f>'Прил.№4 ведомств.'!G216</f>
        <v>165</v>
      </c>
      <c r="G276" s="7">
        <f>'Прил.№4 ведомств.'!I216</f>
        <v>165</v>
      </c>
      <c r="H276" s="7">
        <f>'Прил.№4 ведомств.'!J216</f>
        <v>165</v>
      </c>
      <c r="I276" s="7">
        <f>'Прил.№4 ведомств.'!K216</f>
        <v>165</v>
      </c>
      <c r="J276" s="7">
        <f>'Прил.№4 ведомств.'!L216</f>
        <v>165</v>
      </c>
      <c r="K276" s="7">
        <f>'Прил.№4 ведомств.'!M216</f>
        <v>121.60000000000002</v>
      </c>
      <c r="L276" s="7">
        <f>'Прил.№4 ведомств.'!N216</f>
        <v>52.1</v>
      </c>
      <c r="M276" s="7">
        <f t="shared" si="164"/>
        <v>42.845394736842096</v>
      </c>
    </row>
    <row r="277" spans="1:17" ht="15.75" x14ac:dyDescent="0.25">
      <c r="A277" s="43" t="s">
        <v>442</v>
      </c>
      <c r="B277" s="8" t="s">
        <v>285</v>
      </c>
      <c r="C277" s="8"/>
      <c r="D277" s="8"/>
      <c r="E277" s="8"/>
      <c r="F277" s="4">
        <f t="shared" ref="F277:K277" si="169">F278++F297+F361+F421</f>
        <v>109165.59999999999</v>
      </c>
      <c r="G277" s="4">
        <f t="shared" si="169"/>
        <v>90925.805882352943</v>
      </c>
      <c r="H277" s="4">
        <f t="shared" si="169"/>
        <v>65675</v>
      </c>
      <c r="I277" s="4">
        <f t="shared" si="169"/>
        <v>65971.899999999994</v>
      </c>
      <c r="J277" s="4">
        <f t="shared" si="169"/>
        <v>67991.899999999994</v>
      </c>
      <c r="K277" s="4">
        <f t="shared" si="169"/>
        <v>131255.98000000001</v>
      </c>
      <c r="L277" s="4">
        <f t="shared" ref="L277" si="170">L278++L297+L361+L421</f>
        <v>70912.600000000006</v>
      </c>
      <c r="M277" s="4">
        <f t="shared" si="164"/>
        <v>54.026186083102658</v>
      </c>
    </row>
    <row r="278" spans="1:17" ht="15.75" x14ac:dyDescent="0.25">
      <c r="A278" s="43" t="s">
        <v>443</v>
      </c>
      <c r="B278" s="8" t="s">
        <v>285</v>
      </c>
      <c r="C278" s="8" t="s">
        <v>169</v>
      </c>
      <c r="D278" s="8"/>
      <c r="E278" s="8"/>
      <c r="F278" s="4">
        <f>F279</f>
        <v>8865.2000000000007</v>
      </c>
      <c r="G278" s="4">
        <f t="shared" ref="G278:L279" si="171">G279</f>
        <v>8757.6</v>
      </c>
      <c r="H278" s="4">
        <f t="shared" si="171"/>
        <v>8964.4</v>
      </c>
      <c r="I278" s="4">
        <f t="shared" si="171"/>
        <v>8964.4</v>
      </c>
      <c r="J278" s="4">
        <f t="shared" si="171"/>
        <v>8964.4</v>
      </c>
      <c r="K278" s="4">
        <f t="shared" si="171"/>
        <v>7821.7</v>
      </c>
      <c r="L278" s="4">
        <f t="shared" si="171"/>
        <v>5658</v>
      </c>
      <c r="M278" s="4">
        <f t="shared" si="164"/>
        <v>72.337215694797806</v>
      </c>
      <c r="N278" s="23"/>
      <c r="Q278" s="23"/>
    </row>
    <row r="279" spans="1:17" ht="15.75" x14ac:dyDescent="0.25">
      <c r="A279" s="31" t="s">
        <v>172</v>
      </c>
      <c r="B279" s="42" t="s">
        <v>285</v>
      </c>
      <c r="C279" s="42" t="s">
        <v>169</v>
      </c>
      <c r="D279" s="42" t="s">
        <v>173</v>
      </c>
      <c r="E279" s="42"/>
      <c r="F279" s="7">
        <f>F280</f>
        <v>8865.2000000000007</v>
      </c>
      <c r="G279" s="7">
        <f t="shared" si="171"/>
        <v>8757.6</v>
      </c>
      <c r="H279" s="7">
        <f t="shared" si="171"/>
        <v>8964.4</v>
      </c>
      <c r="I279" s="7">
        <f t="shared" si="171"/>
        <v>8964.4</v>
      </c>
      <c r="J279" s="7">
        <f t="shared" si="171"/>
        <v>8964.4</v>
      </c>
      <c r="K279" s="7">
        <f t="shared" si="171"/>
        <v>7821.7</v>
      </c>
      <c r="L279" s="7">
        <f t="shared" si="171"/>
        <v>5658</v>
      </c>
      <c r="M279" s="7">
        <f t="shared" si="164"/>
        <v>72.337215694797806</v>
      </c>
    </row>
    <row r="280" spans="1:17" ht="15.75" x14ac:dyDescent="0.25">
      <c r="A280" s="31" t="s">
        <v>192</v>
      </c>
      <c r="B280" s="42" t="s">
        <v>285</v>
      </c>
      <c r="C280" s="42" t="s">
        <v>169</v>
      </c>
      <c r="D280" s="42" t="s">
        <v>193</v>
      </c>
      <c r="E280" s="8"/>
      <c r="F280" s="7">
        <f>F292+F286+F281</f>
        <v>8865.2000000000007</v>
      </c>
      <c r="G280" s="7">
        <f t="shared" ref="G280:J280" si="172">G292+G286+G281</f>
        <v>8757.6</v>
      </c>
      <c r="H280" s="7">
        <f t="shared" si="172"/>
        <v>8964.4</v>
      </c>
      <c r="I280" s="7">
        <f t="shared" si="172"/>
        <v>8964.4</v>
      </c>
      <c r="J280" s="7">
        <f t="shared" si="172"/>
        <v>8964.4</v>
      </c>
      <c r="K280" s="7">
        <f>K286+K289+K292+K281</f>
        <v>7821.7</v>
      </c>
      <c r="L280" s="7">
        <f t="shared" ref="L280" si="173">L286+L289+L292+L281</f>
        <v>5658</v>
      </c>
      <c r="M280" s="7">
        <f t="shared" si="164"/>
        <v>72.337215694797806</v>
      </c>
    </row>
    <row r="281" spans="1:17" ht="15.75" x14ac:dyDescent="0.25">
      <c r="A281" s="26" t="s">
        <v>567</v>
      </c>
      <c r="B281" s="42" t="s">
        <v>285</v>
      </c>
      <c r="C281" s="42" t="s">
        <v>169</v>
      </c>
      <c r="D281" s="42" t="s">
        <v>568</v>
      </c>
      <c r="E281" s="8"/>
      <c r="F281" s="7">
        <f>F282+F284</f>
        <v>3531.3</v>
      </c>
      <c r="G281" s="7">
        <f t="shared" ref="G281:K281" si="174">G282+G284</f>
        <v>3531.3</v>
      </c>
      <c r="H281" s="7">
        <f t="shared" si="174"/>
        <v>4875.3999999999996</v>
      </c>
      <c r="I281" s="7">
        <f t="shared" si="174"/>
        <v>4875.3999999999996</v>
      </c>
      <c r="J281" s="7">
        <f t="shared" si="174"/>
        <v>4875.3999999999996</v>
      </c>
      <c r="K281" s="7">
        <f t="shared" si="174"/>
        <v>2040.8999999999999</v>
      </c>
      <c r="L281" s="7">
        <f t="shared" ref="L281" si="175">L282+L284</f>
        <v>1630.3</v>
      </c>
      <c r="M281" s="7">
        <f t="shared" si="164"/>
        <v>79.881424861580669</v>
      </c>
    </row>
    <row r="282" spans="1:17" ht="31.5" hidden="1" x14ac:dyDescent="0.25">
      <c r="A282" s="31" t="s">
        <v>182</v>
      </c>
      <c r="B282" s="42" t="s">
        <v>285</v>
      </c>
      <c r="C282" s="42" t="s">
        <v>169</v>
      </c>
      <c r="D282" s="42" t="s">
        <v>568</v>
      </c>
      <c r="E282" s="42" t="s">
        <v>183</v>
      </c>
      <c r="F282" s="7">
        <f>F283</f>
        <v>1131.3</v>
      </c>
      <c r="G282" s="7">
        <f t="shared" ref="G282:L282" si="176">G283</f>
        <v>1131.3</v>
      </c>
      <c r="H282" s="7">
        <f t="shared" si="176"/>
        <v>1131.3</v>
      </c>
      <c r="I282" s="7">
        <f t="shared" si="176"/>
        <v>1131.3</v>
      </c>
      <c r="J282" s="7">
        <f t="shared" si="176"/>
        <v>1131.3</v>
      </c>
      <c r="K282" s="7">
        <f t="shared" si="176"/>
        <v>0</v>
      </c>
      <c r="L282" s="7">
        <f t="shared" si="176"/>
        <v>0</v>
      </c>
      <c r="M282" s="7" t="e">
        <f t="shared" si="164"/>
        <v>#DIV/0!</v>
      </c>
    </row>
    <row r="283" spans="1:17" ht="47.25" hidden="1" x14ac:dyDescent="0.25">
      <c r="A283" s="31" t="s">
        <v>184</v>
      </c>
      <c r="B283" s="42" t="s">
        <v>285</v>
      </c>
      <c r="C283" s="42" t="s">
        <v>169</v>
      </c>
      <c r="D283" s="42" t="s">
        <v>568</v>
      </c>
      <c r="E283" s="42" t="s">
        <v>185</v>
      </c>
      <c r="F283" s="7">
        <f>'Прил.№4 ведомств.'!G924</f>
        <v>1131.3</v>
      </c>
      <c r="G283" s="7">
        <f>'Прил.№4 ведомств.'!I924</f>
        <v>1131.3</v>
      </c>
      <c r="H283" s="7">
        <f>'Прил.№4 ведомств.'!J924</f>
        <v>1131.3</v>
      </c>
      <c r="I283" s="7">
        <f>'Прил.№4 ведомств.'!K924</f>
        <v>1131.3</v>
      </c>
      <c r="J283" s="7">
        <f>'Прил.№4 ведомств.'!L924</f>
        <v>1131.3</v>
      </c>
      <c r="K283" s="7"/>
      <c r="L283" s="7"/>
      <c r="M283" s="7" t="e">
        <f t="shared" si="164"/>
        <v>#DIV/0!</v>
      </c>
    </row>
    <row r="284" spans="1:17" ht="15.75" x14ac:dyDescent="0.25">
      <c r="A284" s="31" t="s">
        <v>186</v>
      </c>
      <c r="B284" s="42" t="s">
        <v>285</v>
      </c>
      <c r="C284" s="42" t="s">
        <v>169</v>
      </c>
      <c r="D284" s="42" t="s">
        <v>568</v>
      </c>
      <c r="E284" s="42" t="s">
        <v>196</v>
      </c>
      <c r="F284" s="7">
        <f>F285</f>
        <v>2400</v>
      </c>
      <c r="G284" s="7">
        <f t="shared" ref="G284:L284" si="177">G285</f>
        <v>2400</v>
      </c>
      <c r="H284" s="7">
        <f t="shared" si="177"/>
        <v>3744.1</v>
      </c>
      <c r="I284" s="7">
        <f t="shared" si="177"/>
        <v>3744.1</v>
      </c>
      <c r="J284" s="7">
        <f t="shared" si="177"/>
        <v>3744.1</v>
      </c>
      <c r="K284" s="7">
        <f t="shared" si="177"/>
        <v>2040.8999999999999</v>
      </c>
      <c r="L284" s="7">
        <f t="shared" si="177"/>
        <v>1630.3</v>
      </c>
      <c r="M284" s="7">
        <f t="shared" si="164"/>
        <v>79.881424861580669</v>
      </c>
    </row>
    <row r="285" spans="1:17" ht="47.25" x14ac:dyDescent="0.25">
      <c r="A285" s="31" t="s">
        <v>235</v>
      </c>
      <c r="B285" s="42" t="s">
        <v>285</v>
      </c>
      <c r="C285" s="42" t="s">
        <v>169</v>
      </c>
      <c r="D285" s="42" t="s">
        <v>568</v>
      </c>
      <c r="E285" s="42" t="s">
        <v>211</v>
      </c>
      <c r="F285" s="7">
        <f>'Прил.№4 ведомств.'!G918</f>
        <v>2400</v>
      </c>
      <c r="G285" s="7">
        <f>'Прил.№4 ведомств.'!I918</f>
        <v>2400</v>
      </c>
      <c r="H285" s="7">
        <f>'Прил.№4 ведомств.'!J918</f>
        <v>3744.1</v>
      </c>
      <c r="I285" s="7">
        <f>'Прил.№4 ведомств.'!K918</f>
        <v>3744.1</v>
      </c>
      <c r="J285" s="7">
        <f>'Прил.№4 ведомств.'!L918</f>
        <v>3744.1</v>
      </c>
      <c r="K285" s="7">
        <f>'Прил.№4 ведомств.'!M918</f>
        <v>2040.8999999999999</v>
      </c>
      <c r="L285" s="7">
        <f>'Прил.№4 ведомств.'!N918</f>
        <v>1630.3</v>
      </c>
      <c r="M285" s="7">
        <f t="shared" si="164"/>
        <v>79.881424861580669</v>
      </c>
    </row>
    <row r="286" spans="1:17" ht="31.5" x14ac:dyDescent="0.25">
      <c r="A286" s="31" t="s">
        <v>450</v>
      </c>
      <c r="B286" s="42" t="s">
        <v>285</v>
      </c>
      <c r="C286" s="42" t="s">
        <v>169</v>
      </c>
      <c r="D286" s="42" t="s">
        <v>451</v>
      </c>
      <c r="E286" s="8"/>
      <c r="F286" s="7">
        <f>F287</f>
        <v>4494.9000000000005</v>
      </c>
      <c r="G286" s="7">
        <f t="shared" ref="G286:L287" si="178">G287</f>
        <v>4494.9000000000005</v>
      </c>
      <c r="H286" s="7">
        <f t="shared" si="178"/>
        <v>4089</v>
      </c>
      <c r="I286" s="7">
        <f t="shared" si="178"/>
        <v>4089</v>
      </c>
      <c r="J286" s="7">
        <f t="shared" si="178"/>
        <v>4089</v>
      </c>
      <c r="K286" s="7">
        <f t="shared" si="178"/>
        <v>4280.8</v>
      </c>
      <c r="L286" s="7">
        <f t="shared" si="178"/>
        <v>3235</v>
      </c>
      <c r="M286" s="7">
        <f t="shared" si="164"/>
        <v>75.569986918333015</v>
      </c>
    </row>
    <row r="287" spans="1:17" ht="31.5" x14ac:dyDescent="0.25">
      <c r="A287" s="31" t="s">
        <v>182</v>
      </c>
      <c r="B287" s="42" t="s">
        <v>285</v>
      </c>
      <c r="C287" s="42" t="s">
        <v>169</v>
      </c>
      <c r="D287" s="42" t="s">
        <v>451</v>
      </c>
      <c r="E287" s="42" t="s">
        <v>183</v>
      </c>
      <c r="F287" s="7">
        <f>F288</f>
        <v>4494.9000000000005</v>
      </c>
      <c r="G287" s="7">
        <f t="shared" si="178"/>
        <v>4494.9000000000005</v>
      </c>
      <c r="H287" s="7">
        <f t="shared" si="178"/>
        <v>4089</v>
      </c>
      <c r="I287" s="7">
        <f t="shared" si="178"/>
        <v>4089</v>
      </c>
      <c r="J287" s="7">
        <f t="shared" si="178"/>
        <v>4089</v>
      </c>
      <c r="K287" s="7">
        <f t="shared" si="178"/>
        <v>4280.8</v>
      </c>
      <c r="L287" s="7">
        <f t="shared" si="178"/>
        <v>3235</v>
      </c>
      <c r="M287" s="7">
        <f t="shared" si="164"/>
        <v>75.569986918333015</v>
      </c>
    </row>
    <row r="288" spans="1:17" ht="47.25" x14ac:dyDescent="0.25">
      <c r="A288" s="31" t="s">
        <v>184</v>
      </c>
      <c r="B288" s="42" t="s">
        <v>285</v>
      </c>
      <c r="C288" s="42" t="s">
        <v>169</v>
      </c>
      <c r="D288" s="42" t="s">
        <v>451</v>
      </c>
      <c r="E288" s="42" t="s">
        <v>185</v>
      </c>
      <c r="F288" s="7">
        <f>'Прил.№4 ведомств.'!G921+'Прил.№4 ведомств.'!G567</f>
        <v>4494.9000000000005</v>
      </c>
      <c r="G288" s="7">
        <f>'Прил.№4 ведомств.'!I921+'Прил.№4 ведомств.'!I567</f>
        <v>4494.9000000000005</v>
      </c>
      <c r="H288" s="7">
        <f>'Прил.№4 ведомств.'!J921+'Прил.№4 ведомств.'!J567</f>
        <v>4089</v>
      </c>
      <c r="I288" s="7">
        <f>'Прил.№4 ведомств.'!K921+'Прил.№4 ведомств.'!K567</f>
        <v>4089</v>
      </c>
      <c r="J288" s="7">
        <f>'Прил.№4 ведомств.'!L921+'Прил.№4 ведомств.'!L567</f>
        <v>4089</v>
      </c>
      <c r="K288" s="7">
        <f>'Прил.№4 ведомств.'!M921+'Прил.№4 ведомств.'!M567</f>
        <v>4280.8</v>
      </c>
      <c r="L288" s="7">
        <f>'Прил.№4 ведомств.'!N921+'Прил.№4 ведомств.'!N567</f>
        <v>3235</v>
      </c>
      <c r="M288" s="7">
        <f t="shared" si="164"/>
        <v>75.569986918333015</v>
      </c>
    </row>
    <row r="289" spans="1:13" ht="15.75" x14ac:dyDescent="0.25">
      <c r="A289" s="26" t="s">
        <v>591</v>
      </c>
      <c r="B289" s="42" t="s">
        <v>285</v>
      </c>
      <c r="C289" s="42" t="s">
        <v>169</v>
      </c>
      <c r="D289" s="42" t="s">
        <v>592</v>
      </c>
      <c r="E289" s="42"/>
      <c r="F289" s="7"/>
      <c r="G289" s="7"/>
      <c r="H289" s="7"/>
      <c r="I289" s="7"/>
      <c r="J289" s="7"/>
      <c r="K289" s="7">
        <f>K290</f>
        <v>1500</v>
      </c>
      <c r="L289" s="7">
        <f t="shared" ref="L289:L290" si="179">L290</f>
        <v>792.7</v>
      </c>
      <c r="M289" s="7">
        <f t="shared" si="164"/>
        <v>52.846666666666678</v>
      </c>
    </row>
    <row r="290" spans="1:13" ht="31.5" x14ac:dyDescent="0.25">
      <c r="A290" s="26" t="s">
        <v>182</v>
      </c>
      <c r="B290" s="42" t="s">
        <v>285</v>
      </c>
      <c r="C290" s="42" t="s">
        <v>169</v>
      </c>
      <c r="D290" s="42" t="s">
        <v>592</v>
      </c>
      <c r="E290" s="42" t="s">
        <v>183</v>
      </c>
      <c r="F290" s="7"/>
      <c r="G290" s="7"/>
      <c r="H290" s="7"/>
      <c r="I290" s="7"/>
      <c r="J290" s="7"/>
      <c r="K290" s="7">
        <f>K291</f>
        <v>1500</v>
      </c>
      <c r="L290" s="7">
        <f t="shared" si="179"/>
        <v>792.7</v>
      </c>
      <c r="M290" s="7">
        <f t="shared" si="164"/>
        <v>52.846666666666678</v>
      </c>
    </row>
    <row r="291" spans="1:13" ht="47.25" x14ac:dyDescent="0.25">
      <c r="A291" s="26" t="s">
        <v>184</v>
      </c>
      <c r="B291" s="42" t="s">
        <v>285</v>
      </c>
      <c r="C291" s="42" t="s">
        <v>169</v>
      </c>
      <c r="D291" s="42" t="s">
        <v>592</v>
      </c>
      <c r="E291" s="42" t="s">
        <v>185</v>
      </c>
      <c r="F291" s="7"/>
      <c r="G291" s="7"/>
      <c r="H291" s="7"/>
      <c r="I291" s="7"/>
      <c r="J291" s="7"/>
      <c r="K291" s="7">
        <f>'Прил.№4 ведомств.'!M924</f>
        <v>1500</v>
      </c>
      <c r="L291" s="7">
        <f>'Прил.№4 ведомств.'!N924</f>
        <v>792.7</v>
      </c>
      <c r="M291" s="7">
        <f t="shared" si="164"/>
        <v>52.846666666666678</v>
      </c>
    </row>
    <row r="292" spans="1:13" ht="15.75" hidden="1" x14ac:dyDescent="0.25">
      <c r="A292" s="31" t="s">
        <v>448</v>
      </c>
      <c r="B292" s="42" t="s">
        <v>285</v>
      </c>
      <c r="C292" s="42" t="s">
        <v>169</v>
      </c>
      <c r="D292" s="42" t="s">
        <v>449</v>
      </c>
      <c r="E292" s="8"/>
      <c r="F292" s="7">
        <f>F295+F293</f>
        <v>839</v>
      </c>
      <c r="G292" s="7">
        <f t="shared" ref="G292:K292" si="180">G295+G293</f>
        <v>731.4</v>
      </c>
      <c r="H292" s="7">
        <f t="shared" si="180"/>
        <v>0</v>
      </c>
      <c r="I292" s="7">
        <f t="shared" si="180"/>
        <v>0</v>
      </c>
      <c r="J292" s="7">
        <f t="shared" si="180"/>
        <v>0</v>
      </c>
      <c r="K292" s="7">
        <f t="shared" si="180"/>
        <v>0</v>
      </c>
      <c r="L292" s="7">
        <f t="shared" ref="L292" si="181">L295+L293</f>
        <v>0</v>
      </c>
      <c r="M292" s="4" t="e">
        <f t="shared" si="164"/>
        <v>#DIV/0!</v>
      </c>
    </row>
    <row r="293" spans="1:13" ht="31.5" hidden="1" x14ac:dyDescent="0.25">
      <c r="A293" s="31" t="s">
        <v>182</v>
      </c>
      <c r="B293" s="42" t="s">
        <v>285</v>
      </c>
      <c r="C293" s="42" t="s">
        <v>169</v>
      </c>
      <c r="D293" s="42" t="s">
        <v>449</v>
      </c>
      <c r="E293" s="42" t="s">
        <v>183</v>
      </c>
      <c r="F293" s="7">
        <f>F294</f>
        <v>839</v>
      </c>
      <c r="G293" s="7">
        <f t="shared" ref="G293:L293" si="182">G294</f>
        <v>731.4</v>
      </c>
      <c r="H293" s="7">
        <f t="shared" si="182"/>
        <v>0</v>
      </c>
      <c r="I293" s="7">
        <f t="shared" si="182"/>
        <v>0</v>
      </c>
      <c r="J293" s="7">
        <f t="shared" si="182"/>
        <v>0</v>
      </c>
      <c r="K293" s="7">
        <f t="shared" si="182"/>
        <v>0</v>
      </c>
      <c r="L293" s="7">
        <f t="shared" si="182"/>
        <v>0</v>
      </c>
      <c r="M293" s="4" t="e">
        <f t="shared" si="164"/>
        <v>#DIV/0!</v>
      </c>
    </row>
    <row r="294" spans="1:13" ht="47.25" hidden="1" x14ac:dyDescent="0.25">
      <c r="A294" s="31" t="s">
        <v>184</v>
      </c>
      <c r="B294" s="42" t="s">
        <v>285</v>
      </c>
      <c r="C294" s="42" t="s">
        <v>169</v>
      </c>
      <c r="D294" s="42" t="s">
        <v>449</v>
      </c>
      <c r="E294" s="42" t="s">
        <v>185</v>
      </c>
      <c r="F294" s="7">
        <f>'Прил.№4 ведомств.'!G570</f>
        <v>839</v>
      </c>
      <c r="G294" s="7">
        <f>'Прил.№4 ведомств.'!I570</f>
        <v>731.4</v>
      </c>
      <c r="H294" s="7">
        <f>'Прил.№4 ведомств.'!J570</f>
        <v>0</v>
      </c>
      <c r="I294" s="7">
        <f>'Прил.№4 ведомств.'!K570</f>
        <v>0</v>
      </c>
      <c r="J294" s="7">
        <f>'Прил.№4 ведомств.'!L570</f>
        <v>0</v>
      </c>
      <c r="K294" s="7">
        <f>'Прил.№4 ведомств.'!M570</f>
        <v>0</v>
      </c>
      <c r="L294" s="7">
        <f>'Прил.№4 ведомств.'!N570</f>
        <v>0</v>
      </c>
      <c r="M294" s="4" t="e">
        <f t="shared" si="164"/>
        <v>#DIV/0!</v>
      </c>
    </row>
    <row r="295" spans="1:13" ht="15.75" hidden="1" customHeight="1" x14ac:dyDescent="0.25">
      <c r="A295" s="31" t="s">
        <v>186</v>
      </c>
      <c r="B295" s="42" t="s">
        <v>285</v>
      </c>
      <c r="C295" s="42" t="s">
        <v>169</v>
      </c>
      <c r="D295" s="42" t="s">
        <v>449</v>
      </c>
      <c r="E295" s="42" t="s">
        <v>196</v>
      </c>
      <c r="F295" s="7">
        <f>F296</f>
        <v>0</v>
      </c>
      <c r="G295" s="7">
        <f t="shared" ref="G295:L295" si="183">G296</f>
        <v>0</v>
      </c>
      <c r="H295" s="7">
        <f t="shared" si="183"/>
        <v>0</v>
      </c>
      <c r="I295" s="7">
        <f t="shared" si="183"/>
        <v>0</v>
      </c>
      <c r="J295" s="7">
        <f t="shared" si="183"/>
        <v>0</v>
      </c>
      <c r="K295" s="7">
        <f t="shared" si="183"/>
        <v>0</v>
      </c>
      <c r="L295" s="7">
        <f t="shared" si="183"/>
        <v>0</v>
      </c>
      <c r="M295" s="4" t="e">
        <f t="shared" si="164"/>
        <v>#DIV/0!</v>
      </c>
    </row>
    <row r="296" spans="1:13" ht="47.25" hidden="1" customHeight="1" x14ac:dyDescent="0.25">
      <c r="A296" s="31" t="s">
        <v>235</v>
      </c>
      <c r="B296" s="42" t="s">
        <v>285</v>
      </c>
      <c r="C296" s="42" t="s">
        <v>169</v>
      </c>
      <c r="D296" s="42" t="s">
        <v>449</v>
      </c>
      <c r="E296" s="42" t="s">
        <v>211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4" t="e">
        <f t="shared" si="164"/>
        <v>#DIV/0!</v>
      </c>
    </row>
    <row r="297" spans="1:13" ht="15.75" x14ac:dyDescent="0.25">
      <c r="A297" s="43" t="s">
        <v>569</v>
      </c>
      <c r="B297" s="8" t="s">
        <v>285</v>
      </c>
      <c r="C297" s="8" t="s">
        <v>264</v>
      </c>
      <c r="D297" s="8"/>
      <c r="E297" s="8"/>
      <c r="F297" s="4">
        <f>F327+F298</f>
        <v>53711.1</v>
      </c>
      <c r="G297" s="4">
        <f t="shared" ref="G297:K297" si="184">G327+G298</f>
        <v>44351.4</v>
      </c>
      <c r="H297" s="4">
        <f t="shared" si="184"/>
        <v>12383.3</v>
      </c>
      <c r="I297" s="4">
        <f t="shared" si="184"/>
        <v>12383.3</v>
      </c>
      <c r="J297" s="4">
        <f t="shared" si="184"/>
        <v>12383.3</v>
      </c>
      <c r="K297" s="4">
        <f t="shared" si="184"/>
        <v>74243.400000000009</v>
      </c>
      <c r="L297" s="4">
        <f t="shared" ref="L297" si="185">L327+L298</f>
        <v>45884.399999999994</v>
      </c>
      <c r="M297" s="4">
        <f t="shared" si="164"/>
        <v>61.80266528741948</v>
      </c>
    </row>
    <row r="298" spans="1:13" ht="63" x14ac:dyDescent="0.25">
      <c r="A298" s="26" t="s">
        <v>654</v>
      </c>
      <c r="B298" s="42" t="s">
        <v>285</v>
      </c>
      <c r="C298" s="42" t="s">
        <v>264</v>
      </c>
      <c r="D298" s="21" t="s">
        <v>570</v>
      </c>
      <c r="E298" s="8"/>
      <c r="F298" s="7">
        <f>F302+F305+F310+F315+F318+F321+F324</f>
        <v>5427.9</v>
      </c>
      <c r="G298" s="7">
        <f t="shared" ref="G298:K298" si="186">G302+G305+G310+G315+G318+G321+G324</f>
        <v>5427.9</v>
      </c>
      <c r="H298" s="7">
        <f t="shared" si="186"/>
        <v>967</v>
      </c>
      <c r="I298" s="7">
        <f t="shared" si="186"/>
        <v>967</v>
      </c>
      <c r="J298" s="7">
        <f t="shared" si="186"/>
        <v>967</v>
      </c>
      <c r="K298" s="7">
        <f t="shared" si="186"/>
        <v>6625.1</v>
      </c>
      <c r="L298" s="7">
        <f t="shared" ref="L298" si="187">L302+L305+L310+L315+L318+L321+L324</f>
        <v>3232.2000000000003</v>
      </c>
      <c r="M298" s="7">
        <f t="shared" si="164"/>
        <v>48.787188117915207</v>
      </c>
    </row>
    <row r="299" spans="1:13" ht="47.25" hidden="1" customHeight="1" x14ac:dyDescent="0.25">
      <c r="A299" s="37" t="s">
        <v>571</v>
      </c>
      <c r="B299" s="42" t="s">
        <v>285</v>
      </c>
      <c r="C299" s="42" t="s">
        <v>264</v>
      </c>
      <c r="D299" s="21" t="s">
        <v>572</v>
      </c>
      <c r="E299" s="8"/>
      <c r="F299" s="7">
        <f>F300</f>
        <v>0</v>
      </c>
      <c r="G299" s="7">
        <f t="shared" ref="G299:L300" si="188">G300</f>
        <v>0</v>
      </c>
      <c r="H299" s="7">
        <f t="shared" si="188"/>
        <v>0</v>
      </c>
      <c r="I299" s="7">
        <f t="shared" si="188"/>
        <v>0</v>
      </c>
      <c r="J299" s="7">
        <f t="shared" si="188"/>
        <v>0</v>
      </c>
      <c r="K299" s="7">
        <f t="shared" si="188"/>
        <v>0</v>
      </c>
      <c r="L299" s="7">
        <f t="shared" si="188"/>
        <v>0</v>
      </c>
      <c r="M299" s="7" t="e">
        <f t="shared" si="164"/>
        <v>#DIV/0!</v>
      </c>
    </row>
    <row r="300" spans="1:13" ht="31.5" hidden="1" customHeight="1" x14ac:dyDescent="0.25">
      <c r="A300" s="26" t="s">
        <v>182</v>
      </c>
      <c r="B300" s="42" t="s">
        <v>285</v>
      </c>
      <c r="C300" s="42" t="s">
        <v>264</v>
      </c>
      <c r="D300" s="21" t="s">
        <v>572</v>
      </c>
      <c r="E300" s="42" t="s">
        <v>183</v>
      </c>
      <c r="F300" s="7">
        <f>F301</f>
        <v>0</v>
      </c>
      <c r="G300" s="7">
        <f t="shared" si="188"/>
        <v>0</v>
      </c>
      <c r="H300" s="7">
        <f t="shared" si="188"/>
        <v>0</v>
      </c>
      <c r="I300" s="7">
        <f t="shared" si="188"/>
        <v>0</v>
      </c>
      <c r="J300" s="7">
        <f t="shared" si="188"/>
        <v>0</v>
      </c>
      <c r="K300" s="7">
        <f t="shared" si="188"/>
        <v>0</v>
      </c>
      <c r="L300" s="7">
        <f t="shared" si="188"/>
        <v>0</v>
      </c>
      <c r="M300" s="7" t="e">
        <f t="shared" si="164"/>
        <v>#DIV/0!</v>
      </c>
    </row>
    <row r="301" spans="1:13" ht="47.25" hidden="1" customHeight="1" x14ac:dyDescent="0.25">
      <c r="A301" s="26" t="s">
        <v>184</v>
      </c>
      <c r="B301" s="42" t="s">
        <v>285</v>
      </c>
      <c r="C301" s="42" t="s">
        <v>264</v>
      </c>
      <c r="D301" s="21" t="s">
        <v>572</v>
      </c>
      <c r="E301" s="42" t="s">
        <v>185</v>
      </c>
      <c r="F301" s="7"/>
      <c r="G301" s="7"/>
      <c r="H301" s="7"/>
      <c r="I301" s="7"/>
      <c r="J301" s="7"/>
      <c r="K301" s="7"/>
      <c r="L301" s="7"/>
      <c r="M301" s="7" t="e">
        <f t="shared" si="164"/>
        <v>#DIV/0!</v>
      </c>
    </row>
    <row r="302" spans="1:13" ht="15.75" x14ac:dyDescent="0.25">
      <c r="A302" s="125" t="s">
        <v>573</v>
      </c>
      <c r="B302" s="42" t="s">
        <v>285</v>
      </c>
      <c r="C302" s="42" t="s">
        <v>264</v>
      </c>
      <c r="D302" s="21" t="s">
        <v>574</v>
      </c>
      <c r="E302" s="42"/>
      <c r="F302" s="7">
        <f>F303</f>
        <v>450</v>
      </c>
      <c r="G302" s="7">
        <f t="shared" ref="G302:L303" si="189">G303</f>
        <v>450</v>
      </c>
      <c r="H302" s="7">
        <f t="shared" si="189"/>
        <v>450</v>
      </c>
      <c r="I302" s="7">
        <f t="shared" si="189"/>
        <v>450</v>
      </c>
      <c r="J302" s="7">
        <f t="shared" si="189"/>
        <v>450</v>
      </c>
      <c r="K302" s="7">
        <f t="shared" si="189"/>
        <v>2078.5</v>
      </c>
      <c r="L302" s="7">
        <f t="shared" si="189"/>
        <v>1548.2</v>
      </c>
      <c r="M302" s="7">
        <f t="shared" si="164"/>
        <v>74.486408467644935</v>
      </c>
    </row>
    <row r="303" spans="1:13" ht="31.5" x14ac:dyDescent="0.25">
      <c r="A303" s="33" t="s">
        <v>182</v>
      </c>
      <c r="B303" s="42" t="s">
        <v>285</v>
      </c>
      <c r="C303" s="42" t="s">
        <v>264</v>
      </c>
      <c r="D303" s="21" t="s">
        <v>574</v>
      </c>
      <c r="E303" s="42" t="s">
        <v>183</v>
      </c>
      <c r="F303" s="7">
        <f>F304</f>
        <v>450</v>
      </c>
      <c r="G303" s="7">
        <f t="shared" si="189"/>
        <v>450</v>
      </c>
      <c r="H303" s="7">
        <f t="shared" si="189"/>
        <v>450</v>
      </c>
      <c r="I303" s="7">
        <f t="shared" si="189"/>
        <v>450</v>
      </c>
      <c r="J303" s="7">
        <f t="shared" si="189"/>
        <v>450</v>
      </c>
      <c r="K303" s="7">
        <f t="shared" si="189"/>
        <v>2078.5</v>
      </c>
      <c r="L303" s="7">
        <f t="shared" si="189"/>
        <v>1548.2</v>
      </c>
      <c r="M303" s="7">
        <f t="shared" si="164"/>
        <v>74.486408467644935</v>
      </c>
    </row>
    <row r="304" spans="1:13" ht="47.25" x14ac:dyDescent="0.25">
      <c r="A304" s="33" t="s">
        <v>184</v>
      </c>
      <c r="B304" s="42" t="s">
        <v>285</v>
      </c>
      <c r="C304" s="42" t="s">
        <v>264</v>
      </c>
      <c r="D304" s="21" t="s">
        <v>574</v>
      </c>
      <c r="E304" s="42" t="s">
        <v>185</v>
      </c>
      <c r="F304" s="7">
        <f>'Прил.№4 ведомств.'!G932</f>
        <v>450</v>
      </c>
      <c r="G304" s="7">
        <f>'Прил.№4 ведомств.'!I932</f>
        <v>450</v>
      </c>
      <c r="H304" s="7">
        <f>'Прил.№4 ведомств.'!J932</f>
        <v>450</v>
      </c>
      <c r="I304" s="7">
        <f>'Прил.№4 ведомств.'!K932</f>
        <v>450</v>
      </c>
      <c r="J304" s="7">
        <f>'Прил.№4 ведомств.'!L932</f>
        <v>450</v>
      </c>
      <c r="K304" s="7">
        <f>'Прил.№4 ведомств.'!M932</f>
        <v>2078.5</v>
      </c>
      <c r="L304" s="7">
        <f>'Прил.№4 ведомств.'!N932</f>
        <v>1548.2</v>
      </c>
      <c r="M304" s="7">
        <f t="shared" si="164"/>
        <v>74.486408467644935</v>
      </c>
    </row>
    <row r="305" spans="1:13" ht="15.75" x14ac:dyDescent="0.25">
      <c r="A305" s="125" t="s">
        <v>575</v>
      </c>
      <c r="B305" s="42" t="s">
        <v>285</v>
      </c>
      <c r="C305" s="42" t="s">
        <v>264</v>
      </c>
      <c r="D305" s="21" t="s">
        <v>576</v>
      </c>
      <c r="E305" s="42"/>
      <c r="F305" s="7">
        <f>F306</f>
        <v>3107</v>
      </c>
      <c r="G305" s="7">
        <f t="shared" ref="G305:L306" si="190">G306</f>
        <v>3107</v>
      </c>
      <c r="H305" s="7">
        <f t="shared" si="190"/>
        <v>160</v>
      </c>
      <c r="I305" s="7">
        <f t="shared" si="190"/>
        <v>160</v>
      </c>
      <c r="J305" s="7">
        <f t="shared" si="190"/>
        <v>160</v>
      </c>
      <c r="K305" s="7">
        <f>K306+K308</f>
        <v>40.6</v>
      </c>
      <c r="L305" s="7">
        <f t="shared" ref="L305" si="191">L306+L308</f>
        <v>40.6</v>
      </c>
      <c r="M305" s="7">
        <f t="shared" si="164"/>
        <v>100</v>
      </c>
    </row>
    <row r="306" spans="1:13" ht="31.5" hidden="1" x14ac:dyDescent="0.25">
      <c r="A306" s="33" t="s">
        <v>182</v>
      </c>
      <c r="B306" s="42" t="s">
        <v>285</v>
      </c>
      <c r="C306" s="42" t="s">
        <v>264</v>
      </c>
      <c r="D306" s="21" t="s">
        <v>576</v>
      </c>
      <c r="E306" s="42" t="s">
        <v>183</v>
      </c>
      <c r="F306" s="7">
        <f>F307</f>
        <v>3107</v>
      </c>
      <c r="G306" s="7">
        <f t="shared" si="190"/>
        <v>3107</v>
      </c>
      <c r="H306" s="7">
        <f t="shared" si="190"/>
        <v>160</v>
      </c>
      <c r="I306" s="7">
        <f t="shared" si="190"/>
        <v>160</v>
      </c>
      <c r="J306" s="7">
        <f t="shared" si="190"/>
        <v>160</v>
      </c>
      <c r="K306" s="7">
        <f t="shared" si="190"/>
        <v>0</v>
      </c>
      <c r="L306" s="7">
        <f t="shared" si="190"/>
        <v>0</v>
      </c>
      <c r="M306" s="7" t="e">
        <f t="shared" si="164"/>
        <v>#DIV/0!</v>
      </c>
    </row>
    <row r="307" spans="1:13" ht="47.25" hidden="1" x14ac:dyDescent="0.25">
      <c r="A307" s="33" t="s">
        <v>184</v>
      </c>
      <c r="B307" s="42" t="s">
        <v>285</v>
      </c>
      <c r="C307" s="42" t="s">
        <v>264</v>
      </c>
      <c r="D307" s="21" t="s">
        <v>576</v>
      </c>
      <c r="E307" s="42" t="s">
        <v>185</v>
      </c>
      <c r="F307" s="7">
        <f>'Прил.№4 ведомств.'!G935</f>
        <v>3107</v>
      </c>
      <c r="G307" s="7">
        <f>'Прил.№4 ведомств.'!I935</f>
        <v>3107</v>
      </c>
      <c r="H307" s="7">
        <f>'Прил.№4 ведомств.'!J935</f>
        <v>160</v>
      </c>
      <c r="I307" s="7">
        <f>'Прил.№4 ведомств.'!K935</f>
        <v>160</v>
      </c>
      <c r="J307" s="7">
        <f>'Прил.№4 ведомств.'!L935</f>
        <v>160</v>
      </c>
      <c r="K307" s="7">
        <f>'Прил.№4 ведомств.'!M935</f>
        <v>0</v>
      </c>
      <c r="L307" s="7">
        <f>'Прил.№4 ведомств.'!N935</f>
        <v>0</v>
      </c>
      <c r="M307" s="7" t="e">
        <f t="shared" si="164"/>
        <v>#DIV/0!</v>
      </c>
    </row>
    <row r="308" spans="1:13" ht="15.75" x14ac:dyDescent="0.25">
      <c r="A308" s="31" t="s">
        <v>186</v>
      </c>
      <c r="B308" s="42" t="s">
        <v>285</v>
      </c>
      <c r="C308" s="42" t="s">
        <v>264</v>
      </c>
      <c r="D308" s="21" t="s">
        <v>576</v>
      </c>
      <c r="E308" s="42" t="s">
        <v>196</v>
      </c>
      <c r="F308" s="7"/>
      <c r="G308" s="7"/>
      <c r="H308" s="7"/>
      <c r="I308" s="7"/>
      <c r="J308" s="7"/>
      <c r="K308" s="7">
        <f>K309</f>
        <v>40.6</v>
      </c>
      <c r="L308" s="7">
        <f t="shared" ref="L308" si="192">L309</f>
        <v>40.6</v>
      </c>
      <c r="M308" s="7">
        <f t="shared" si="164"/>
        <v>100</v>
      </c>
    </row>
    <row r="309" spans="1:13" ht="15.75" x14ac:dyDescent="0.25">
      <c r="A309" s="31" t="s">
        <v>197</v>
      </c>
      <c r="B309" s="42" t="s">
        <v>285</v>
      </c>
      <c r="C309" s="42" t="s">
        <v>264</v>
      </c>
      <c r="D309" s="21" t="s">
        <v>576</v>
      </c>
      <c r="E309" s="42" t="s">
        <v>198</v>
      </c>
      <c r="F309" s="7"/>
      <c r="G309" s="7"/>
      <c r="H309" s="7"/>
      <c r="I309" s="7"/>
      <c r="J309" s="7"/>
      <c r="K309" s="7">
        <f>'Прил.№4 ведомств.'!M937</f>
        <v>40.6</v>
      </c>
      <c r="L309" s="7">
        <f>'Прил.№4 ведомств.'!N937</f>
        <v>40.6</v>
      </c>
      <c r="M309" s="7">
        <f t="shared" si="164"/>
        <v>100</v>
      </c>
    </row>
    <row r="310" spans="1:13" ht="15.75" x14ac:dyDescent="0.25">
      <c r="A310" s="125" t="s">
        <v>577</v>
      </c>
      <c r="B310" s="42" t="s">
        <v>285</v>
      </c>
      <c r="C310" s="42" t="s">
        <v>264</v>
      </c>
      <c r="D310" s="21" t="s">
        <v>578</v>
      </c>
      <c r="E310" s="42"/>
      <c r="F310" s="7">
        <f>F311</f>
        <v>1389.8999999999999</v>
      </c>
      <c r="G310" s="7">
        <f t="shared" ref="G310:L311" si="193">G311</f>
        <v>1389.8999999999999</v>
      </c>
      <c r="H310" s="7">
        <f t="shared" si="193"/>
        <v>40</v>
      </c>
      <c r="I310" s="7">
        <f t="shared" si="193"/>
        <v>40</v>
      </c>
      <c r="J310" s="7">
        <f t="shared" si="193"/>
        <v>40</v>
      </c>
      <c r="K310" s="7">
        <f>K311+K313</f>
        <v>1634.7</v>
      </c>
      <c r="L310" s="7">
        <f t="shared" ref="L310" si="194">L311+L313</f>
        <v>1031.5</v>
      </c>
      <c r="M310" s="7">
        <f t="shared" si="164"/>
        <v>63.100263045207072</v>
      </c>
    </row>
    <row r="311" spans="1:13" ht="31.5" x14ac:dyDescent="0.25">
      <c r="A311" s="33" t="s">
        <v>182</v>
      </c>
      <c r="B311" s="42" t="s">
        <v>285</v>
      </c>
      <c r="C311" s="42" t="s">
        <v>264</v>
      </c>
      <c r="D311" s="21" t="s">
        <v>578</v>
      </c>
      <c r="E311" s="42" t="s">
        <v>183</v>
      </c>
      <c r="F311" s="7">
        <f>F312</f>
        <v>1389.8999999999999</v>
      </c>
      <c r="G311" s="7">
        <f t="shared" si="193"/>
        <v>1389.8999999999999</v>
      </c>
      <c r="H311" s="7">
        <f t="shared" si="193"/>
        <v>40</v>
      </c>
      <c r="I311" s="7">
        <f t="shared" si="193"/>
        <v>40</v>
      </c>
      <c r="J311" s="7">
        <f t="shared" si="193"/>
        <v>40</v>
      </c>
      <c r="K311" s="7">
        <f t="shared" si="193"/>
        <v>1633.9</v>
      </c>
      <c r="L311" s="7">
        <f t="shared" si="193"/>
        <v>1030.7</v>
      </c>
      <c r="M311" s="7">
        <f t="shared" si="164"/>
        <v>63.082195972825751</v>
      </c>
    </row>
    <row r="312" spans="1:13" ht="47.25" x14ac:dyDescent="0.25">
      <c r="A312" s="33" t="s">
        <v>184</v>
      </c>
      <c r="B312" s="42" t="s">
        <v>285</v>
      </c>
      <c r="C312" s="42" t="s">
        <v>264</v>
      </c>
      <c r="D312" s="21" t="s">
        <v>578</v>
      </c>
      <c r="E312" s="42" t="s">
        <v>185</v>
      </c>
      <c r="F312" s="7">
        <f>'Прил.№4 ведомств.'!G940</f>
        <v>1389.8999999999999</v>
      </c>
      <c r="G312" s="7">
        <f>'Прил.№4 ведомств.'!I940</f>
        <v>1389.8999999999999</v>
      </c>
      <c r="H312" s="7">
        <f>'Прил.№4 ведомств.'!J940</f>
        <v>40</v>
      </c>
      <c r="I312" s="7">
        <f>'Прил.№4 ведомств.'!K940</f>
        <v>40</v>
      </c>
      <c r="J312" s="7">
        <f>'Прил.№4 ведомств.'!L940</f>
        <v>40</v>
      </c>
      <c r="K312" s="7">
        <f>'Прил.№4 ведомств.'!M940</f>
        <v>1633.9</v>
      </c>
      <c r="L312" s="7">
        <f>'Прил.№4 ведомств.'!N940</f>
        <v>1030.7</v>
      </c>
      <c r="M312" s="7">
        <f t="shared" si="164"/>
        <v>63.082195972825751</v>
      </c>
    </row>
    <row r="313" spans="1:13" ht="15.75" x14ac:dyDescent="0.25">
      <c r="A313" s="31" t="s">
        <v>186</v>
      </c>
      <c r="B313" s="42" t="s">
        <v>285</v>
      </c>
      <c r="C313" s="42" t="s">
        <v>264</v>
      </c>
      <c r="D313" s="21" t="s">
        <v>578</v>
      </c>
      <c r="E313" s="42" t="s">
        <v>196</v>
      </c>
      <c r="F313" s="7"/>
      <c r="G313" s="7"/>
      <c r="H313" s="7"/>
      <c r="I313" s="7"/>
      <c r="J313" s="7"/>
      <c r="K313" s="7">
        <f>K314</f>
        <v>0.8</v>
      </c>
      <c r="L313" s="7">
        <f t="shared" ref="L313" si="195">L314</f>
        <v>0.8</v>
      </c>
      <c r="M313" s="7">
        <f t="shared" si="164"/>
        <v>100</v>
      </c>
    </row>
    <row r="314" spans="1:13" ht="15.75" x14ac:dyDescent="0.25">
      <c r="A314" s="31" t="s">
        <v>620</v>
      </c>
      <c r="B314" s="42" t="s">
        <v>285</v>
      </c>
      <c r="C314" s="42" t="s">
        <v>264</v>
      </c>
      <c r="D314" s="21" t="s">
        <v>578</v>
      </c>
      <c r="E314" s="42"/>
      <c r="F314" s="7"/>
      <c r="G314" s="7"/>
      <c r="H314" s="7"/>
      <c r="I314" s="7"/>
      <c r="J314" s="7"/>
      <c r="K314" s="7">
        <v>0.8</v>
      </c>
      <c r="L314" s="7">
        <v>0.8</v>
      </c>
      <c r="M314" s="7">
        <f t="shared" si="164"/>
        <v>100</v>
      </c>
    </row>
    <row r="315" spans="1:13" ht="15.75" x14ac:dyDescent="0.25">
      <c r="A315" s="125" t="s">
        <v>579</v>
      </c>
      <c r="B315" s="42" t="s">
        <v>285</v>
      </c>
      <c r="C315" s="42" t="s">
        <v>264</v>
      </c>
      <c r="D315" s="21" t="s">
        <v>580</v>
      </c>
      <c r="E315" s="42"/>
      <c r="F315" s="7">
        <f>F316</f>
        <v>159.10000000000002</v>
      </c>
      <c r="G315" s="7">
        <f t="shared" ref="G315:L316" si="196">G316</f>
        <v>159.10000000000002</v>
      </c>
      <c r="H315" s="7">
        <f t="shared" si="196"/>
        <v>305</v>
      </c>
      <c r="I315" s="7">
        <f t="shared" si="196"/>
        <v>305</v>
      </c>
      <c r="J315" s="7">
        <f t="shared" si="196"/>
        <v>305</v>
      </c>
      <c r="K315" s="7">
        <f t="shared" si="196"/>
        <v>1240.3</v>
      </c>
      <c r="L315" s="7">
        <f t="shared" si="196"/>
        <v>481.5</v>
      </c>
      <c r="M315" s="7">
        <f t="shared" si="164"/>
        <v>38.821252922680003</v>
      </c>
    </row>
    <row r="316" spans="1:13" ht="31.5" x14ac:dyDescent="0.25">
      <c r="A316" s="33" t="s">
        <v>182</v>
      </c>
      <c r="B316" s="42" t="s">
        <v>285</v>
      </c>
      <c r="C316" s="42" t="s">
        <v>264</v>
      </c>
      <c r="D316" s="21" t="s">
        <v>580</v>
      </c>
      <c r="E316" s="42" t="s">
        <v>183</v>
      </c>
      <c r="F316" s="7">
        <f>F317</f>
        <v>159.10000000000002</v>
      </c>
      <c r="G316" s="7">
        <f t="shared" si="196"/>
        <v>159.10000000000002</v>
      </c>
      <c r="H316" s="7">
        <f t="shared" si="196"/>
        <v>305</v>
      </c>
      <c r="I316" s="7">
        <f t="shared" si="196"/>
        <v>305</v>
      </c>
      <c r="J316" s="7">
        <f t="shared" si="196"/>
        <v>305</v>
      </c>
      <c r="K316" s="7">
        <f t="shared" si="196"/>
        <v>1240.3</v>
      </c>
      <c r="L316" s="7">
        <f t="shared" si="196"/>
        <v>481.5</v>
      </c>
      <c r="M316" s="7">
        <f t="shared" si="164"/>
        <v>38.821252922680003</v>
      </c>
    </row>
    <row r="317" spans="1:13" ht="47.25" x14ac:dyDescent="0.25">
      <c r="A317" s="33" t="s">
        <v>184</v>
      </c>
      <c r="B317" s="42" t="s">
        <v>285</v>
      </c>
      <c r="C317" s="42" t="s">
        <v>264</v>
      </c>
      <c r="D317" s="21" t="s">
        <v>580</v>
      </c>
      <c r="E317" s="42" t="s">
        <v>185</v>
      </c>
      <c r="F317" s="7">
        <f>'Прил.№4 ведомств.'!G945</f>
        <v>159.10000000000002</v>
      </c>
      <c r="G317" s="7">
        <f>'Прил.№4 ведомств.'!I945</f>
        <v>159.10000000000002</v>
      </c>
      <c r="H317" s="7">
        <f>'Прил.№4 ведомств.'!J945</f>
        <v>305</v>
      </c>
      <c r="I317" s="7">
        <f>'Прил.№4 ведомств.'!K945</f>
        <v>305</v>
      </c>
      <c r="J317" s="7">
        <f>'Прил.№4 ведомств.'!L945</f>
        <v>305</v>
      </c>
      <c r="K317" s="7">
        <f>'Прил.№4 ведомств.'!M945</f>
        <v>1240.3</v>
      </c>
      <c r="L317" s="7">
        <f>'Прил.№4 ведомств.'!N945</f>
        <v>481.5</v>
      </c>
      <c r="M317" s="7">
        <f t="shared" si="164"/>
        <v>38.821252922680003</v>
      </c>
    </row>
    <row r="318" spans="1:13" ht="15.75" x14ac:dyDescent="0.25">
      <c r="A318" s="125" t="s">
        <v>581</v>
      </c>
      <c r="B318" s="42" t="s">
        <v>285</v>
      </c>
      <c r="C318" s="42" t="s">
        <v>264</v>
      </c>
      <c r="D318" s="21" t="s">
        <v>582</v>
      </c>
      <c r="E318" s="42"/>
      <c r="F318" s="7">
        <f>F319</f>
        <v>272.89999999999998</v>
      </c>
      <c r="G318" s="7">
        <f t="shared" ref="G318:L319" si="197">G319</f>
        <v>272.89999999999998</v>
      </c>
      <c r="H318" s="7">
        <f t="shared" si="197"/>
        <v>2</v>
      </c>
      <c r="I318" s="7">
        <f t="shared" si="197"/>
        <v>2</v>
      </c>
      <c r="J318" s="7">
        <f t="shared" si="197"/>
        <v>2</v>
      </c>
      <c r="K318" s="7">
        <f t="shared" si="197"/>
        <v>1631</v>
      </c>
      <c r="L318" s="7">
        <f t="shared" si="197"/>
        <v>130.4</v>
      </c>
      <c r="M318" s="7">
        <f t="shared" si="164"/>
        <v>7.9950950337216424</v>
      </c>
    </row>
    <row r="319" spans="1:13" ht="31.5" x14ac:dyDescent="0.25">
      <c r="A319" s="33" t="s">
        <v>182</v>
      </c>
      <c r="B319" s="42" t="s">
        <v>285</v>
      </c>
      <c r="C319" s="42" t="s">
        <v>264</v>
      </c>
      <c r="D319" s="21" t="s">
        <v>582</v>
      </c>
      <c r="E319" s="42" t="s">
        <v>183</v>
      </c>
      <c r="F319" s="7">
        <f>F320</f>
        <v>272.89999999999998</v>
      </c>
      <c r="G319" s="7">
        <f t="shared" si="197"/>
        <v>272.89999999999998</v>
      </c>
      <c r="H319" s="7">
        <f t="shared" si="197"/>
        <v>2</v>
      </c>
      <c r="I319" s="7">
        <f t="shared" si="197"/>
        <v>2</v>
      </c>
      <c r="J319" s="7">
        <f t="shared" si="197"/>
        <v>2</v>
      </c>
      <c r="K319" s="7">
        <f t="shared" si="197"/>
        <v>1631</v>
      </c>
      <c r="L319" s="7">
        <f t="shared" si="197"/>
        <v>130.4</v>
      </c>
      <c r="M319" s="7">
        <f t="shared" si="164"/>
        <v>7.9950950337216424</v>
      </c>
    </row>
    <row r="320" spans="1:13" ht="47.25" x14ac:dyDescent="0.25">
      <c r="A320" s="33" t="s">
        <v>184</v>
      </c>
      <c r="B320" s="42" t="s">
        <v>285</v>
      </c>
      <c r="C320" s="42" t="s">
        <v>264</v>
      </c>
      <c r="D320" s="21" t="s">
        <v>582</v>
      </c>
      <c r="E320" s="42" t="s">
        <v>185</v>
      </c>
      <c r="F320" s="7">
        <f>'Прил.№4 ведомств.'!G948</f>
        <v>272.89999999999998</v>
      </c>
      <c r="G320" s="7">
        <f>'Прил.№4 ведомств.'!I948</f>
        <v>272.89999999999998</v>
      </c>
      <c r="H320" s="7">
        <f>'Прил.№4 ведомств.'!J948</f>
        <v>2</v>
      </c>
      <c r="I320" s="7">
        <f>'Прил.№4 ведомств.'!K948</f>
        <v>2</v>
      </c>
      <c r="J320" s="7">
        <f>'Прил.№4 ведомств.'!L948</f>
        <v>2</v>
      </c>
      <c r="K320" s="7">
        <f>'Прил.№4 ведомств.'!M948</f>
        <v>1631</v>
      </c>
      <c r="L320" s="7">
        <f>'Прил.№4 ведомств.'!N948</f>
        <v>130.4</v>
      </c>
      <c r="M320" s="7">
        <f t="shared" si="164"/>
        <v>7.9950950337216424</v>
      </c>
    </row>
    <row r="321" spans="1:13" ht="31.5" hidden="1" customHeight="1" x14ac:dyDescent="0.25">
      <c r="A321" s="123" t="s">
        <v>583</v>
      </c>
      <c r="B321" s="42" t="s">
        <v>285</v>
      </c>
      <c r="C321" s="42" t="s">
        <v>264</v>
      </c>
      <c r="D321" s="21" t="s">
        <v>584</v>
      </c>
      <c r="E321" s="42"/>
      <c r="F321" s="7">
        <f>F322</f>
        <v>0</v>
      </c>
      <c r="G321" s="7">
        <f t="shared" ref="G321:L322" si="198">G322</f>
        <v>0</v>
      </c>
      <c r="H321" s="7">
        <f t="shared" si="198"/>
        <v>0</v>
      </c>
      <c r="I321" s="7">
        <f t="shared" si="198"/>
        <v>0</v>
      </c>
      <c r="J321" s="7">
        <f t="shared" si="198"/>
        <v>0</v>
      </c>
      <c r="K321" s="7">
        <f t="shared" si="198"/>
        <v>0</v>
      </c>
      <c r="L321" s="7">
        <f t="shared" si="198"/>
        <v>0</v>
      </c>
      <c r="M321" s="4" t="e">
        <f t="shared" si="164"/>
        <v>#DIV/0!</v>
      </c>
    </row>
    <row r="322" spans="1:13" ht="31.5" hidden="1" customHeight="1" x14ac:dyDescent="0.25">
      <c r="A322" s="33" t="s">
        <v>182</v>
      </c>
      <c r="B322" s="42" t="s">
        <v>285</v>
      </c>
      <c r="C322" s="42" t="s">
        <v>264</v>
      </c>
      <c r="D322" s="21" t="s">
        <v>584</v>
      </c>
      <c r="E322" s="42" t="s">
        <v>183</v>
      </c>
      <c r="F322" s="7">
        <f>F323</f>
        <v>0</v>
      </c>
      <c r="G322" s="7">
        <f t="shared" si="198"/>
        <v>0</v>
      </c>
      <c r="H322" s="7">
        <f t="shared" si="198"/>
        <v>0</v>
      </c>
      <c r="I322" s="7">
        <f t="shared" si="198"/>
        <v>0</v>
      </c>
      <c r="J322" s="7">
        <f t="shared" si="198"/>
        <v>0</v>
      </c>
      <c r="K322" s="7">
        <f t="shared" si="198"/>
        <v>0</v>
      </c>
      <c r="L322" s="7">
        <f t="shared" si="198"/>
        <v>0</v>
      </c>
      <c r="M322" s="4" t="e">
        <f t="shared" si="164"/>
        <v>#DIV/0!</v>
      </c>
    </row>
    <row r="323" spans="1:13" ht="47.25" hidden="1" customHeight="1" x14ac:dyDescent="0.25">
      <c r="A323" s="33" t="s">
        <v>184</v>
      </c>
      <c r="B323" s="42" t="s">
        <v>285</v>
      </c>
      <c r="C323" s="42" t="s">
        <v>264</v>
      </c>
      <c r="D323" s="21" t="s">
        <v>584</v>
      </c>
      <c r="E323" s="42" t="s">
        <v>185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4" t="e">
        <f t="shared" si="164"/>
        <v>#DIV/0!</v>
      </c>
    </row>
    <row r="324" spans="1:13" ht="15.75" hidden="1" x14ac:dyDescent="0.25">
      <c r="A324" s="123" t="s">
        <v>585</v>
      </c>
      <c r="B324" s="42" t="s">
        <v>285</v>
      </c>
      <c r="C324" s="42" t="s">
        <v>264</v>
      </c>
      <c r="D324" s="21" t="s">
        <v>586</v>
      </c>
      <c r="E324" s="42"/>
      <c r="F324" s="7">
        <f>F325</f>
        <v>49</v>
      </c>
      <c r="G324" s="7">
        <f t="shared" ref="G324:L325" si="199">G325</f>
        <v>49</v>
      </c>
      <c r="H324" s="7">
        <f t="shared" si="199"/>
        <v>10</v>
      </c>
      <c r="I324" s="7">
        <f t="shared" si="199"/>
        <v>10</v>
      </c>
      <c r="J324" s="7">
        <f t="shared" si="199"/>
        <v>10</v>
      </c>
      <c r="K324" s="7">
        <f t="shared" si="199"/>
        <v>0</v>
      </c>
      <c r="L324" s="7">
        <f t="shared" si="199"/>
        <v>0</v>
      </c>
      <c r="M324" s="4" t="e">
        <f t="shared" si="164"/>
        <v>#DIV/0!</v>
      </c>
    </row>
    <row r="325" spans="1:13" ht="31.5" hidden="1" x14ac:dyDescent="0.25">
      <c r="A325" s="26" t="s">
        <v>182</v>
      </c>
      <c r="B325" s="42" t="s">
        <v>285</v>
      </c>
      <c r="C325" s="42" t="s">
        <v>264</v>
      </c>
      <c r="D325" s="21" t="s">
        <v>586</v>
      </c>
      <c r="E325" s="42" t="s">
        <v>183</v>
      </c>
      <c r="F325" s="7">
        <f>F326</f>
        <v>49</v>
      </c>
      <c r="G325" s="7">
        <f t="shared" si="199"/>
        <v>49</v>
      </c>
      <c r="H325" s="7">
        <f t="shared" si="199"/>
        <v>10</v>
      </c>
      <c r="I325" s="7">
        <f t="shared" si="199"/>
        <v>10</v>
      </c>
      <c r="J325" s="7">
        <f t="shared" si="199"/>
        <v>10</v>
      </c>
      <c r="K325" s="7">
        <f t="shared" si="199"/>
        <v>0</v>
      </c>
      <c r="L325" s="7">
        <f t="shared" si="199"/>
        <v>0</v>
      </c>
      <c r="M325" s="4" t="e">
        <f t="shared" si="164"/>
        <v>#DIV/0!</v>
      </c>
    </row>
    <row r="326" spans="1:13" ht="47.25" hidden="1" x14ac:dyDescent="0.25">
      <c r="A326" s="26" t="s">
        <v>184</v>
      </c>
      <c r="B326" s="42" t="s">
        <v>285</v>
      </c>
      <c r="C326" s="42" t="s">
        <v>264</v>
      </c>
      <c r="D326" s="21" t="s">
        <v>586</v>
      </c>
      <c r="E326" s="42" t="s">
        <v>185</v>
      </c>
      <c r="F326" s="7">
        <f>'Прил.№4 ведомств.'!G954</f>
        <v>49</v>
      </c>
      <c r="G326" s="7">
        <f>'Прил.№4 ведомств.'!I954</f>
        <v>49</v>
      </c>
      <c r="H326" s="7">
        <f>'Прил.№4 ведомств.'!J954</f>
        <v>10</v>
      </c>
      <c r="I326" s="7">
        <f>'Прил.№4 ведомств.'!K954</f>
        <v>10</v>
      </c>
      <c r="J326" s="7">
        <f>'Прил.№4 ведомств.'!L954</f>
        <v>10</v>
      </c>
      <c r="K326" s="7">
        <f>'Прил.№4 ведомств.'!M954</f>
        <v>0</v>
      </c>
      <c r="L326" s="7">
        <f>'Прил.№4 ведомств.'!N954</f>
        <v>0</v>
      </c>
      <c r="M326" s="4" t="e">
        <f t="shared" si="164"/>
        <v>#DIV/0!</v>
      </c>
    </row>
    <row r="327" spans="1:13" ht="15.75" x14ac:dyDescent="0.25">
      <c r="A327" s="31" t="s">
        <v>172</v>
      </c>
      <c r="B327" s="42" t="s">
        <v>285</v>
      </c>
      <c r="C327" s="42" t="s">
        <v>264</v>
      </c>
      <c r="D327" s="42" t="s">
        <v>173</v>
      </c>
      <c r="E327" s="42"/>
      <c r="F327" s="7">
        <f t="shared" ref="F327:K327" si="200">F328+F340</f>
        <v>48283.199999999997</v>
      </c>
      <c r="G327" s="7">
        <f t="shared" si="200"/>
        <v>38923.5</v>
      </c>
      <c r="H327" s="7">
        <f t="shared" si="200"/>
        <v>11416.3</v>
      </c>
      <c r="I327" s="7">
        <f t="shared" si="200"/>
        <v>11416.3</v>
      </c>
      <c r="J327" s="7">
        <f t="shared" si="200"/>
        <v>11416.3</v>
      </c>
      <c r="K327" s="7">
        <f t="shared" si="200"/>
        <v>67618.3</v>
      </c>
      <c r="L327" s="7">
        <f t="shared" ref="L327" si="201">L328+L340</f>
        <v>42652.2</v>
      </c>
      <c r="M327" s="7">
        <f t="shared" si="164"/>
        <v>63.07789459362332</v>
      </c>
    </row>
    <row r="328" spans="1:13" ht="31.5" x14ac:dyDescent="0.25">
      <c r="A328" s="31" t="s">
        <v>236</v>
      </c>
      <c r="B328" s="42" t="s">
        <v>285</v>
      </c>
      <c r="C328" s="42" t="s">
        <v>264</v>
      </c>
      <c r="D328" s="42" t="s">
        <v>237</v>
      </c>
      <c r="E328" s="42"/>
      <c r="F328" s="7">
        <f t="shared" ref="F328:K328" si="202">F329+F332+F337</f>
        <v>25111.200000000001</v>
      </c>
      <c r="G328" s="7">
        <f t="shared" si="202"/>
        <v>25111.200000000001</v>
      </c>
      <c r="H328" s="7">
        <f t="shared" si="202"/>
        <v>0</v>
      </c>
      <c r="I328" s="7">
        <f t="shared" si="202"/>
        <v>0</v>
      </c>
      <c r="J328" s="7">
        <f t="shared" si="202"/>
        <v>0</v>
      </c>
      <c r="K328" s="7">
        <f t="shared" si="202"/>
        <v>16042</v>
      </c>
      <c r="L328" s="7">
        <f t="shared" ref="L328" si="203">L329+L332+L337</f>
        <v>16042</v>
      </c>
      <c r="M328" s="7">
        <f t="shared" si="164"/>
        <v>100</v>
      </c>
    </row>
    <row r="329" spans="1:13" ht="47.25" hidden="1" x14ac:dyDescent="0.25">
      <c r="A329" s="126" t="s">
        <v>762</v>
      </c>
      <c r="B329" s="42" t="s">
        <v>285</v>
      </c>
      <c r="C329" s="42" t="s">
        <v>264</v>
      </c>
      <c r="D329" s="21" t="s">
        <v>587</v>
      </c>
      <c r="E329" s="42"/>
      <c r="F329" s="7">
        <f>F330</f>
        <v>5000</v>
      </c>
      <c r="G329" s="7">
        <f t="shared" ref="G329:L330" si="204">G330</f>
        <v>5000</v>
      </c>
      <c r="H329" s="7">
        <f t="shared" si="204"/>
        <v>0</v>
      </c>
      <c r="I329" s="7">
        <f t="shared" si="204"/>
        <v>0</v>
      </c>
      <c r="J329" s="7">
        <f t="shared" si="204"/>
        <v>0</v>
      </c>
      <c r="K329" s="7">
        <f t="shared" si="204"/>
        <v>0</v>
      </c>
      <c r="L329" s="7">
        <f t="shared" si="204"/>
        <v>0</v>
      </c>
      <c r="M329" s="7" t="e">
        <f t="shared" si="164"/>
        <v>#DIV/0!</v>
      </c>
    </row>
    <row r="330" spans="1:13" ht="31.5" hidden="1" x14ac:dyDescent="0.25">
      <c r="A330" s="31" t="s">
        <v>182</v>
      </c>
      <c r="B330" s="42" t="s">
        <v>285</v>
      </c>
      <c r="C330" s="42" t="s">
        <v>264</v>
      </c>
      <c r="D330" s="21" t="s">
        <v>587</v>
      </c>
      <c r="E330" s="42" t="s">
        <v>183</v>
      </c>
      <c r="F330" s="7">
        <f>F331</f>
        <v>5000</v>
      </c>
      <c r="G330" s="7">
        <f t="shared" si="204"/>
        <v>5000</v>
      </c>
      <c r="H330" s="7">
        <f t="shared" si="204"/>
        <v>0</v>
      </c>
      <c r="I330" s="7">
        <f t="shared" si="204"/>
        <v>0</v>
      </c>
      <c r="J330" s="7">
        <f t="shared" si="204"/>
        <v>0</v>
      </c>
      <c r="K330" s="7">
        <f t="shared" si="204"/>
        <v>0</v>
      </c>
      <c r="L330" s="7">
        <f t="shared" si="204"/>
        <v>0</v>
      </c>
      <c r="M330" s="7" t="e">
        <f t="shared" si="164"/>
        <v>#DIV/0!</v>
      </c>
    </row>
    <row r="331" spans="1:13" ht="47.25" hidden="1" x14ac:dyDescent="0.25">
      <c r="A331" s="31" t="s">
        <v>184</v>
      </c>
      <c r="B331" s="42" t="s">
        <v>285</v>
      </c>
      <c r="C331" s="42" t="s">
        <v>264</v>
      </c>
      <c r="D331" s="21" t="s">
        <v>587</v>
      </c>
      <c r="E331" s="42" t="s">
        <v>185</v>
      </c>
      <c r="F331" s="7">
        <f>'Прил.№4 ведомств.'!G959</f>
        <v>5000</v>
      </c>
      <c r="G331" s="7">
        <f>'Прил.№4 ведомств.'!I959</f>
        <v>5000</v>
      </c>
      <c r="H331" s="7">
        <f>'Прил.№4 ведомств.'!J959</f>
        <v>0</v>
      </c>
      <c r="I331" s="7">
        <f>'Прил.№4 ведомств.'!K959</f>
        <v>0</v>
      </c>
      <c r="J331" s="7">
        <f>'Прил.№4 ведомств.'!L959</f>
        <v>0</v>
      </c>
      <c r="K331" s="7">
        <f>'Прил.№4 ведомств.'!M959</f>
        <v>0</v>
      </c>
      <c r="L331" s="7">
        <f>'Прил.№4 ведомств.'!N959</f>
        <v>0</v>
      </c>
      <c r="M331" s="7" t="e">
        <f t="shared" si="164"/>
        <v>#DIV/0!</v>
      </c>
    </row>
    <row r="332" spans="1:13" ht="31.5" x14ac:dyDescent="0.25">
      <c r="A332" s="70" t="s">
        <v>768</v>
      </c>
      <c r="B332" s="42" t="s">
        <v>285</v>
      </c>
      <c r="C332" s="42" t="s">
        <v>264</v>
      </c>
      <c r="D332" s="42" t="s">
        <v>588</v>
      </c>
      <c r="E332" s="42"/>
      <c r="F332" s="7">
        <f>F333</f>
        <v>20000</v>
      </c>
      <c r="G332" s="7">
        <f t="shared" ref="G332:J332" si="205">G333</f>
        <v>20000</v>
      </c>
      <c r="H332" s="7">
        <f t="shared" si="205"/>
        <v>0</v>
      </c>
      <c r="I332" s="7">
        <f t="shared" si="205"/>
        <v>0</v>
      </c>
      <c r="J332" s="7">
        <f t="shared" si="205"/>
        <v>0</v>
      </c>
      <c r="K332" s="7">
        <f>K333+K335</f>
        <v>16042</v>
      </c>
      <c r="L332" s="7">
        <f t="shared" ref="L332" si="206">L333+L335</f>
        <v>16042</v>
      </c>
      <c r="M332" s="7">
        <f t="shared" si="164"/>
        <v>100</v>
      </c>
    </row>
    <row r="333" spans="1:13" ht="31.5" x14ac:dyDescent="0.25">
      <c r="A333" s="31" t="s">
        <v>182</v>
      </c>
      <c r="B333" s="42" t="s">
        <v>285</v>
      </c>
      <c r="C333" s="42" t="s">
        <v>264</v>
      </c>
      <c r="D333" s="42" t="s">
        <v>588</v>
      </c>
      <c r="E333" s="42" t="s">
        <v>183</v>
      </c>
      <c r="F333" s="7">
        <f>F334</f>
        <v>20000</v>
      </c>
      <c r="G333" s="7">
        <f>G334</f>
        <v>20000</v>
      </c>
      <c r="H333" s="7">
        <f>H334</f>
        <v>0</v>
      </c>
      <c r="I333" s="7">
        <f>I334</f>
        <v>0</v>
      </c>
      <c r="J333" s="7">
        <f>J334</f>
        <v>0</v>
      </c>
      <c r="K333" s="7">
        <f>K334</f>
        <v>15905.43</v>
      </c>
      <c r="L333" s="7">
        <f t="shared" ref="L333" si="207">L334</f>
        <v>15905.4</v>
      </c>
      <c r="M333" s="7">
        <f t="shared" ref="M333:M396" si="208">L333/K333*100</f>
        <v>99.999811385168456</v>
      </c>
    </row>
    <row r="334" spans="1:13" ht="47.25" x14ac:dyDescent="0.25">
      <c r="A334" s="31" t="s">
        <v>184</v>
      </c>
      <c r="B334" s="42" t="s">
        <v>285</v>
      </c>
      <c r="C334" s="42" t="s">
        <v>264</v>
      </c>
      <c r="D334" s="42" t="s">
        <v>588</v>
      </c>
      <c r="E334" s="42" t="s">
        <v>185</v>
      </c>
      <c r="F334" s="7">
        <f>'Прил.№4 ведомств.'!G962</f>
        <v>20000</v>
      </c>
      <c r="G334" s="7">
        <f>'Прил.№4 ведомств.'!I962</f>
        <v>20000</v>
      </c>
      <c r="H334" s="7">
        <f>'Прил.№4 ведомств.'!J962</f>
        <v>0</v>
      </c>
      <c r="I334" s="7">
        <f>'Прил.№4 ведомств.'!K962</f>
        <v>0</v>
      </c>
      <c r="J334" s="7">
        <f>'Прил.№4 ведомств.'!L962</f>
        <v>0</v>
      </c>
      <c r="K334" s="7">
        <f>'Прил.№4 ведомств.'!M962</f>
        <v>15905.43</v>
      </c>
      <c r="L334" s="7">
        <f>'Прил.№4 ведомств.'!N962</f>
        <v>15905.4</v>
      </c>
      <c r="M334" s="7">
        <f t="shared" si="208"/>
        <v>99.999811385168456</v>
      </c>
    </row>
    <row r="335" spans="1:13" ht="15.75" x14ac:dyDescent="0.25">
      <c r="A335" s="31" t="s">
        <v>186</v>
      </c>
      <c r="B335" s="42" t="s">
        <v>285</v>
      </c>
      <c r="C335" s="42" t="s">
        <v>264</v>
      </c>
      <c r="D335" s="42" t="s">
        <v>588</v>
      </c>
      <c r="E335" s="42" t="s">
        <v>196</v>
      </c>
      <c r="F335" s="7"/>
      <c r="G335" s="7"/>
      <c r="H335" s="7"/>
      <c r="I335" s="7"/>
      <c r="J335" s="7"/>
      <c r="K335" s="7">
        <f>K336</f>
        <v>136.57</v>
      </c>
      <c r="L335" s="7">
        <f t="shared" ref="L335" si="209">L336</f>
        <v>136.6</v>
      </c>
      <c r="M335" s="7">
        <f t="shared" si="208"/>
        <v>100.02196675697445</v>
      </c>
    </row>
    <row r="336" spans="1:13" ht="15.75" x14ac:dyDescent="0.25">
      <c r="A336" s="31" t="s">
        <v>620</v>
      </c>
      <c r="B336" s="42" t="s">
        <v>285</v>
      </c>
      <c r="C336" s="42" t="s">
        <v>264</v>
      </c>
      <c r="D336" s="42" t="s">
        <v>588</v>
      </c>
      <c r="E336" s="42" t="s">
        <v>189</v>
      </c>
      <c r="F336" s="7"/>
      <c r="G336" s="7"/>
      <c r="H336" s="7"/>
      <c r="I336" s="7"/>
      <c r="J336" s="7"/>
      <c r="K336" s="7">
        <f>'Прил.№4 ведомств.'!M964</f>
        <v>136.57</v>
      </c>
      <c r="L336" s="7">
        <f>'Прил.№4 ведомств.'!N964</f>
        <v>136.6</v>
      </c>
      <c r="M336" s="7">
        <f t="shared" si="208"/>
        <v>100.02196675697445</v>
      </c>
    </row>
    <row r="337" spans="1:13" ht="47.25" hidden="1" x14ac:dyDescent="0.25">
      <c r="A337" s="26" t="s">
        <v>769</v>
      </c>
      <c r="B337" s="42" t="s">
        <v>285</v>
      </c>
      <c r="C337" s="42" t="s">
        <v>264</v>
      </c>
      <c r="D337" s="21" t="s">
        <v>770</v>
      </c>
      <c r="E337" s="42"/>
      <c r="F337" s="7">
        <f>F338</f>
        <v>111.2</v>
      </c>
      <c r="G337" s="7">
        <f t="shared" ref="G337:L338" si="210">G338</f>
        <v>111.2</v>
      </c>
      <c r="H337" s="7">
        <f t="shared" si="210"/>
        <v>0</v>
      </c>
      <c r="I337" s="7">
        <f t="shared" si="210"/>
        <v>0</v>
      </c>
      <c r="J337" s="7">
        <f t="shared" si="210"/>
        <v>0</v>
      </c>
      <c r="K337" s="7">
        <f t="shared" si="210"/>
        <v>0</v>
      </c>
      <c r="L337" s="7">
        <f t="shared" si="210"/>
        <v>0</v>
      </c>
      <c r="M337" s="7" t="e">
        <f t="shared" si="208"/>
        <v>#DIV/0!</v>
      </c>
    </row>
    <row r="338" spans="1:13" ht="31.5" hidden="1" x14ac:dyDescent="0.25">
      <c r="A338" s="26" t="s">
        <v>182</v>
      </c>
      <c r="B338" s="42" t="s">
        <v>285</v>
      </c>
      <c r="C338" s="42" t="s">
        <v>264</v>
      </c>
      <c r="D338" s="21" t="s">
        <v>770</v>
      </c>
      <c r="E338" s="42" t="s">
        <v>183</v>
      </c>
      <c r="F338" s="7">
        <f>F339</f>
        <v>111.2</v>
      </c>
      <c r="G338" s="7">
        <f t="shared" si="210"/>
        <v>111.2</v>
      </c>
      <c r="H338" s="7">
        <f t="shared" si="210"/>
        <v>0</v>
      </c>
      <c r="I338" s="7">
        <f t="shared" si="210"/>
        <v>0</v>
      </c>
      <c r="J338" s="7">
        <f t="shared" si="210"/>
        <v>0</v>
      </c>
      <c r="K338" s="7">
        <f t="shared" si="210"/>
        <v>0</v>
      </c>
      <c r="L338" s="7">
        <f t="shared" si="210"/>
        <v>0</v>
      </c>
      <c r="M338" s="7" t="e">
        <f t="shared" si="208"/>
        <v>#DIV/0!</v>
      </c>
    </row>
    <row r="339" spans="1:13" ht="47.25" hidden="1" x14ac:dyDescent="0.25">
      <c r="A339" s="26" t="s">
        <v>184</v>
      </c>
      <c r="B339" s="42" t="s">
        <v>285</v>
      </c>
      <c r="C339" s="42" t="s">
        <v>264</v>
      </c>
      <c r="D339" s="21" t="s">
        <v>770</v>
      </c>
      <c r="E339" s="42" t="s">
        <v>185</v>
      </c>
      <c r="F339" s="7">
        <f>'Прил.№4 ведомств.'!G967</f>
        <v>111.2</v>
      </c>
      <c r="G339" s="7">
        <f>'Прил.№4 ведомств.'!I967</f>
        <v>111.2</v>
      </c>
      <c r="H339" s="7">
        <f>'Прил.№4 ведомств.'!J967</f>
        <v>0</v>
      </c>
      <c r="I339" s="7">
        <f>'Прил.№4 ведомств.'!K967</f>
        <v>0</v>
      </c>
      <c r="J339" s="7">
        <f>'Прил.№4 ведомств.'!L967</f>
        <v>0</v>
      </c>
      <c r="K339" s="7">
        <f>'Прил.№4 ведомств.'!M967</f>
        <v>0</v>
      </c>
      <c r="L339" s="7">
        <f>'Прил.№4 ведомств.'!N967</f>
        <v>0</v>
      </c>
      <c r="M339" s="7" t="e">
        <f t="shared" si="208"/>
        <v>#DIV/0!</v>
      </c>
    </row>
    <row r="340" spans="1:13" ht="15.75" x14ac:dyDescent="0.25">
      <c r="A340" s="31" t="s">
        <v>192</v>
      </c>
      <c r="B340" s="42" t="s">
        <v>285</v>
      </c>
      <c r="C340" s="42" t="s">
        <v>264</v>
      </c>
      <c r="D340" s="42" t="s">
        <v>193</v>
      </c>
      <c r="E340" s="8"/>
      <c r="F340" s="7">
        <f>F341+F347</f>
        <v>23171.999999999996</v>
      </c>
      <c r="G340" s="7">
        <f t="shared" ref="G340:J340" si="211">G341+G347</f>
        <v>13812.3</v>
      </c>
      <c r="H340" s="7">
        <f t="shared" si="211"/>
        <v>11416.3</v>
      </c>
      <c r="I340" s="7">
        <f t="shared" si="211"/>
        <v>11416.3</v>
      </c>
      <c r="J340" s="7">
        <f t="shared" si="211"/>
        <v>11416.3</v>
      </c>
      <c r="K340" s="7">
        <f>K341+K347+K352+K355+K358</f>
        <v>51576.3</v>
      </c>
      <c r="L340" s="7">
        <f t="shared" ref="L340" si="212">L341+L347+L352+L355+L358</f>
        <v>26610.2</v>
      </c>
      <c r="M340" s="7">
        <f t="shared" si="208"/>
        <v>51.59385221506777</v>
      </c>
    </row>
    <row r="341" spans="1:13" ht="15.75" x14ac:dyDescent="0.25">
      <c r="A341" s="31" t="s">
        <v>589</v>
      </c>
      <c r="B341" s="42" t="s">
        <v>285</v>
      </c>
      <c r="C341" s="42" t="s">
        <v>264</v>
      </c>
      <c r="D341" s="42" t="s">
        <v>590</v>
      </c>
      <c r="E341" s="8"/>
      <c r="F341" s="7">
        <f>F342+F344</f>
        <v>20493.699999999997</v>
      </c>
      <c r="G341" s="7">
        <f t="shared" ref="G341:K341" si="213">G342+G344</f>
        <v>3493.7</v>
      </c>
      <c r="H341" s="7">
        <f t="shared" si="213"/>
        <v>0</v>
      </c>
      <c r="I341" s="7">
        <f t="shared" si="213"/>
        <v>0</v>
      </c>
      <c r="J341" s="7">
        <f t="shared" si="213"/>
        <v>0</v>
      </c>
      <c r="K341" s="7">
        <f t="shared" si="213"/>
        <v>1725.8000000000015</v>
      </c>
      <c r="L341" s="7">
        <f t="shared" ref="L341" si="214">L342+L344</f>
        <v>0</v>
      </c>
      <c r="M341" s="7">
        <f t="shared" si="208"/>
        <v>0</v>
      </c>
    </row>
    <row r="342" spans="1:13" ht="31.5" x14ac:dyDescent="0.25">
      <c r="A342" s="31" t="s">
        <v>182</v>
      </c>
      <c r="B342" s="42" t="s">
        <v>285</v>
      </c>
      <c r="C342" s="42" t="s">
        <v>264</v>
      </c>
      <c r="D342" s="42" t="s">
        <v>590</v>
      </c>
      <c r="E342" s="42" t="s">
        <v>183</v>
      </c>
      <c r="F342" s="7">
        <f>F343</f>
        <v>20462.099999999999</v>
      </c>
      <c r="G342" s="7">
        <f t="shared" ref="G342:L342" si="215">G343</f>
        <v>3462.1</v>
      </c>
      <c r="H342" s="7">
        <f t="shared" si="215"/>
        <v>0</v>
      </c>
      <c r="I342" s="7">
        <f t="shared" si="215"/>
        <v>0</v>
      </c>
      <c r="J342" s="7">
        <f t="shared" si="215"/>
        <v>0</v>
      </c>
      <c r="K342" s="7">
        <f t="shared" si="215"/>
        <v>1725.8000000000015</v>
      </c>
      <c r="L342" s="7">
        <f t="shared" si="215"/>
        <v>0</v>
      </c>
      <c r="M342" s="7">
        <f t="shared" si="208"/>
        <v>0</v>
      </c>
    </row>
    <row r="343" spans="1:13" ht="47.25" x14ac:dyDescent="0.25">
      <c r="A343" s="31" t="s">
        <v>184</v>
      </c>
      <c r="B343" s="42" t="s">
        <v>285</v>
      </c>
      <c r="C343" s="42" t="s">
        <v>264</v>
      </c>
      <c r="D343" s="42" t="s">
        <v>590</v>
      </c>
      <c r="E343" s="42" t="s">
        <v>185</v>
      </c>
      <c r="F343" s="7">
        <f>'Прил.№4 ведомств.'!G971</f>
        <v>20462.099999999999</v>
      </c>
      <c r="G343" s="7">
        <f>'Прил.№4 ведомств.'!I971</f>
        <v>3462.1</v>
      </c>
      <c r="H343" s="7">
        <f>'Прил.№4 ведомств.'!J971</f>
        <v>0</v>
      </c>
      <c r="I343" s="7">
        <f>'Прил.№4 ведомств.'!K971</f>
        <v>0</v>
      </c>
      <c r="J343" s="7">
        <f>'Прил.№4 ведомств.'!L971</f>
        <v>0</v>
      </c>
      <c r="K343" s="7">
        <f>'Прил.№4 ведомств.'!M971</f>
        <v>1725.8000000000015</v>
      </c>
      <c r="L343" s="7">
        <f>'Прил.№4 ведомств.'!N971</f>
        <v>0</v>
      </c>
      <c r="M343" s="7">
        <f t="shared" si="208"/>
        <v>0</v>
      </c>
    </row>
    <row r="344" spans="1:13" ht="15.75" hidden="1" x14ac:dyDescent="0.25">
      <c r="A344" s="31" t="s">
        <v>186</v>
      </c>
      <c r="B344" s="42" t="s">
        <v>285</v>
      </c>
      <c r="C344" s="42" t="s">
        <v>264</v>
      </c>
      <c r="D344" s="42" t="s">
        <v>590</v>
      </c>
      <c r="E344" s="42" t="s">
        <v>196</v>
      </c>
      <c r="F344" s="7">
        <f>F346+F345</f>
        <v>31.6</v>
      </c>
      <c r="G344" s="7">
        <f t="shared" ref="G344:K344" si="216">G346+G345</f>
        <v>31.6</v>
      </c>
      <c r="H344" s="7">
        <f t="shared" si="216"/>
        <v>0</v>
      </c>
      <c r="I344" s="7">
        <f t="shared" si="216"/>
        <v>0</v>
      </c>
      <c r="J344" s="7">
        <f t="shared" si="216"/>
        <v>0</v>
      </c>
      <c r="K344" s="7">
        <f t="shared" si="216"/>
        <v>0</v>
      </c>
      <c r="L344" s="7">
        <f t="shared" ref="L344" si="217">L346+L345</f>
        <v>0</v>
      </c>
      <c r="M344" s="7" t="e">
        <f t="shared" si="208"/>
        <v>#DIV/0!</v>
      </c>
    </row>
    <row r="345" spans="1:13" ht="47.25" hidden="1" customHeight="1" x14ac:dyDescent="0.25">
      <c r="A345" s="31" t="s">
        <v>235</v>
      </c>
      <c r="B345" s="42" t="s">
        <v>285</v>
      </c>
      <c r="C345" s="42" t="s">
        <v>264</v>
      </c>
      <c r="D345" s="42" t="s">
        <v>590</v>
      </c>
      <c r="E345" s="42" t="s">
        <v>211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 t="e">
        <f t="shared" si="208"/>
        <v>#DIV/0!</v>
      </c>
    </row>
    <row r="346" spans="1:13" ht="15.75" hidden="1" x14ac:dyDescent="0.25">
      <c r="A346" s="31" t="s">
        <v>620</v>
      </c>
      <c r="B346" s="42" t="s">
        <v>285</v>
      </c>
      <c r="C346" s="42" t="s">
        <v>264</v>
      </c>
      <c r="D346" s="42" t="s">
        <v>590</v>
      </c>
      <c r="E346" s="42" t="s">
        <v>189</v>
      </c>
      <c r="F346" s="7">
        <f>'Прил.№4 ведомств.'!G974</f>
        <v>31.6</v>
      </c>
      <c r="G346" s="7">
        <f>'Прил.№4 ведомств.'!I974</f>
        <v>31.6</v>
      </c>
      <c r="H346" s="7">
        <f>'Прил.№4 ведомств.'!J974</f>
        <v>0</v>
      </c>
      <c r="I346" s="7">
        <f>'Прил.№4 ведомств.'!K974</f>
        <v>0</v>
      </c>
      <c r="J346" s="7">
        <f>'Прил.№4 ведомств.'!L974</f>
        <v>0</v>
      </c>
      <c r="K346" s="7">
        <f>'Прил.№4 ведомств.'!M974</f>
        <v>0</v>
      </c>
      <c r="L346" s="7">
        <f>'Прил.№4 ведомств.'!N974</f>
        <v>0</v>
      </c>
      <c r="M346" s="7" t="e">
        <f t="shared" si="208"/>
        <v>#DIV/0!</v>
      </c>
    </row>
    <row r="347" spans="1:13" ht="15.75" x14ac:dyDescent="0.25">
      <c r="A347" s="31" t="s">
        <v>591</v>
      </c>
      <c r="B347" s="42" t="s">
        <v>285</v>
      </c>
      <c r="C347" s="42" t="s">
        <v>264</v>
      </c>
      <c r="D347" s="42" t="s">
        <v>592</v>
      </c>
      <c r="E347" s="42"/>
      <c r="F347" s="7">
        <f>F350</f>
        <v>2678.3</v>
      </c>
      <c r="G347" s="7">
        <f>G350</f>
        <v>10318.6</v>
      </c>
      <c r="H347" s="7">
        <f>H350</f>
        <v>11416.3</v>
      </c>
      <c r="I347" s="7">
        <f>I350</f>
        <v>11416.3</v>
      </c>
      <c r="J347" s="7">
        <f>J350</f>
        <v>11416.3</v>
      </c>
      <c r="K347" s="7">
        <f>K350+K348</f>
        <v>6883.2999999999993</v>
      </c>
      <c r="L347" s="7">
        <f t="shared" ref="L347" si="218">L350+L348</f>
        <v>3460.2</v>
      </c>
      <c r="M347" s="7">
        <f t="shared" si="208"/>
        <v>50.269492830473759</v>
      </c>
    </row>
    <row r="348" spans="1:13" ht="31.5" x14ac:dyDescent="0.25">
      <c r="A348" s="31" t="s">
        <v>182</v>
      </c>
      <c r="B348" s="42" t="s">
        <v>285</v>
      </c>
      <c r="C348" s="42" t="s">
        <v>264</v>
      </c>
      <c r="D348" s="42" t="s">
        <v>592</v>
      </c>
      <c r="E348" s="42" t="s">
        <v>183</v>
      </c>
      <c r="F348" s="7"/>
      <c r="G348" s="7"/>
      <c r="H348" s="7"/>
      <c r="I348" s="7"/>
      <c r="J348" s="7"/>
      <c r="K348" s="7">
        <f>K349</f>
        <v>5200</v>
      </c>
      <c r="L348" s="7">
        <f t="shared" ref="L348" si="219">L349</f>
        <v>3460.2</v>
      </c>
      <c r="M348" s="7">
        <f t="shared" si="208"/>
        <v>66.542307692307688</v>
      </c>
    </row>
    <row r="349" spans="1:13" ht="47.25" x14ac:dyDescent="0.25">
      <c r="A349" s="31" t="s">
        <v>184</v>
      </c>
      <c r="B349" s="42" t="s">
        <v>285</v>
      </c>
      <c r="C349" s="42" t="s">
        <v>264</v>
      </c>
      <c r="D349" s="42" t="s">
        <v>592</v>
      </c>
      <c r="E349" s="42" t="s">
        <v>185</v>
      </c>
      <c r="F349" s="7"/>
      <c r="G349" s="7"/>
      <c r="H349" s="7"/>
      <c r="I349" s="7"/>
      <c r="J349" s="7"/>
      <c r="K349" s="7">
        <f>'Прил.№4 ведомств.'!M977</f>
        <v>5200</v>
      </c>
      <c r="L349" s="7">
        <f>'Прил.№4 ведомств.'!N977</f>
        <v>3460.2</v>
      </c>
      <c r="M349" s="7">
        <f t="shared" si="208"/>
        <v>66.542307692307688</v>
      </c>
    </row>
    <row r="350" spans="1:13" ht="15.75" x14ac:dyDescent="0.25">
      <c r="A350" s="31" t="s">
        <v>186</v>
      </c>
      <c r="B350" s="42" t="s">
        <v>285</v>
      </c>
      <c r="C350" s="42" t="s">
        <v>264</v>
      </c>
      <c r="D350" s="42" t="s">
        <v>592</v>
      </c>
      <c r="E350" s="42" t="s">
        <v>196</v>
      </c>
      <c r="F350" s="7">
        <f>F351</f>
        <v>2678.3</v>
      </c>
      <c r="G350" s="7">
        <f t="shared" ref="G350:L350" si="220">G351</f>
        <v>10318.6</v>
      </c>
      <c r="H350" s="7">
        <f t="shared" si="220"/>
        <v>11416.3</v>
      </c>
      <c r="I350" s="7">
        <f t="shared" si="220"/>
        <v>11416.3</v>
      </c>
      <c r="J350" s="7">
        <f t="shared" si="220"/>
        <v>11416.3</v>
      </c>
      <c r="K350" s="7">
        <f t="shared" si="220"/>
        <v>1683.2999999999993</v>
      </c>
      <c r="L350" s="7">
        <f t="shared" si="220"/>
        <v>0</v>
      </c>
      <c r="M350" s="7">
        <f t="shared" si="208"/>
        <v>0</v>
      </c>
    </row>
    <row r="351" spans="1:13" ht="15.75" x14ac:dyDescent="0.25">
      <c r="A351" s="31" t="s">
        <v>197</v>
      </c>
      <c r="B351" s="42" t="s">
        <v>285</v>
      </c>
      <c r="C351" s="42" t="s">
        <v>264</v>
      </c>
      <c r="D351" s="42" t="s">
        <v>592</v>
      </c>
      <c r="E351" s="42" t="s">
        <v>198</v>
      </c>
      <c r="F351" s="7">
        <f>'Прил.№4 ведомств.'!G979</f>
        <v>2678.3</v>
      </c>
      <c r="G351" s="7">
        <f>'Прил.№4 ведомств.'!I979</f>
        <v>10318.6</v>
      </c>
      <c r="H351" s="7">
        <f>'Прил.№4 ведомств.'!J979</f>
        <v>11416.3</v>
      </c>
      <c r="I351" s="7">
        <f>'Прил.№4 ведомств.'!K979</f>
        <v>11416.3</v>
      </c>
      <c r="J351" s="7">
        <f>'Прил.№4 ведомств.'!L979</f>
        <v>11416.3</v>
      </c>
      <c r="K351" s="7">
        <f>'Прил.№4 ведомств.'!M979</f>
        <v>1683.2999999999993</v>
      </c>
      <c r="L351" s="7">
        <f>'Прил.№4 ведомств.'!N979</f>
        <v>0</v>
      </c>
      <c r="M351" s="7">
        <f t="shared" si="208"/>
        <v>0</v>
      </c>
    </row>
    <row r="352" spans="1:13" ht="77.25" customHeight="1" x14ac:dyDescent="0.25">
      <c r="A352" s="26" t="s">
        <v>961</v>
      </c>
      <c r="B352" s="42" t="s">
        <v>285</v>
      </c>
      <c r="C352" s="42" t="s">
        <v>264</v>
      </c>
      <c r="D352" s="21" t="s">
        <v>963</v>
      </c>
      <c r="E352" s="42"/>
      <c r="F352" s="7">
        <f>F353</f>
        <v>0</v>
      </c>
      <c r="G352" s="7">
        <f t="shared" ref="G352:L353" si="221">G353</f>
        <v>0</v>
      </c>
      <c r="H352" s="7">
        <f t="shared" si="221"/>
        <v>0</v>
      </c>
      <c r="I352" s="7">
        <f t="shared" si="221"/>
        <v>0</v>
      </c>
      <c r="J352" s="7">
        <f t="shared" si="221"/>
        <v>0</v>
      </c>
      <c r="K352" s="7">
        <f t="shared" si="221"/>
        <v>20000</v>
      </c>
      <c r="L352" s="7">
        <f t="shared" si="221"/>
        <v>3650</v>
      </c>
      <c r="M352" s="7">
        <f t="shared" si="208"/>
        <v>18.25</v>
      </c>
    </row>
    <row r="353" spans="1:13" ht="31.5" customHeight="1" x14ac:dyDescent="0.25">
      <c r="A353" s="26" t="s">
        <v>182</v>
      </c>
      <c r="B353" s="42" t="s">
        <v>285</v>
      </c>
      <c r="C353" s="42" t="s">
        <v>264</v>
      </c>
      <c r="D353" s="21" t="s">
        <v>963</v>
      </c>
      <c r="E353" s="42" t="s">
        <v>183</v>
      </c>
      <c r="F353" s="7">
        <f>F354</f>
        <v>0</v>
      </c>
      <c r="G353" s="7">
        <f t="shared" si="221"/>
        <v>0</v>
      </c>
      <c r="H353" s="7">
        <f t="shared" si="221"/>
        <v>0</v>
      </c>
      <c r="I353" s="7">
        <f t="shared" si="221"/>
        <v>0</v>
      </c>
      <c r="J353" s="7">
        <f t="shared" si="221"/>
        <v>0</v>
      </c>
      <c r="K353" s="7">
        <f t="shared" si="221"/>
        <v>20000</v>
      </c>
      <c r="L353" s="7">
        <f t="shared" si="221"/>
        <v>3650</v>
      </c>
      <c r="M353" s="7">
        <f t="shared" si="208"/>
        <v>18.25</v>
      </c>
    </row>
    <row r="354" spans="1:13" ht="47.25" customHeight="1" x14ac:dyDescent="0.25">
      <c r="A354" s="26" t="s">
        <v>184</v>
      </c>
      <c r="B354" s="42" t="s">
        <v>285</v>
      </c>
      <c r="C354" s="42" t="s">
        <v>264</v>
      </c>
      <c r="D354" s="21" t="s">
        <v>963</v>
      </c>
      <c r="E354" s="42" t="s">
        <v>185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f>'Прил.№4 ведомств.'!M982</f>
        <v>20000</v>
      </c>
      <c r="L354" s="7">
        <f>'Прил.№4 ведомств.'!N982</f>
        <v>3650</v>
      </c>
      <c r="M354" s="7">
        <f t="shared" si="208"/>
        <v>18.25</v>
      </c>
    </row>
    <row r="355" spans="1:13" ht="63" x14ac:dyDescent="0.25">
      <c r="A355" s="26" t="s">
        <v>986</v>
      </c>
      <c r="B355" s="42" t="s">
        <v>285</v>
      </c>
      <c r="C355" s="42" t="s">
        <v>264</v>
      </c>
      <c r="D355" s="21" t="s">
        <v>988</v>
      </c>
      <c r="E355" s="42"/>
      <c r="F355" s="7"/>
      <c r="G355" s="7"/>
      <c r="H355" s="7"/>
      <c r="I355" s="7"/>
      <c r="J355" s="7"/>
      <c r="K355" s="7">
        <f>K356</f>
        <v>2967.2</v>
      </c>
      <c r="L355" s="7">
        <f t="shared" ref="L355:L356" si="222">L356</f>
        <v>0</v>
      </c>
      <c r="M355" s="7">
        <f t="shared" si="208"/>
        <v>0</v>
      </c>
    </row>
    <row r="356" spans="1:13" ht="31.5" x14ac:dyDescent="0.25">
      <c r="A356" s="26" t="s">
        <v>182</v>
      </c>
      <c r="B356" s="42" t="s">
        <v>285</v>
      </c>
      <c r="C356" s="42" t="s">
        <v>264</v>
      </c>
      <c r="D356" s="21" t="s">
        <v>988</v>
      </c>
      <c r="E356" s="42" t="s">
        <v>183</v>
      </c>
      <c r="F356" s="7"/>
      <c r="G356" s="7"/>
      <c r="H356" s="7"/>
      <c r="I356" s="7"/>
      <c r="J356" s="7"/>
      <c r="K356" s="7">
        <f>K357</f>
        <v>2967.2</v>
      </c>
      <c r="L356" s="7">
        <f t="shared" si="222"/>
        <v>0</v>
      </c>
      <c r="M356" s="7">
        <f t="shared" si="208"/>
        <v>0</v>
      </c>
    </row>
    <row r="357" spans="1:13" ht="47.25" x14ac:dyDescent="0.25">
      <c r="A357" s="26" t="s">
        <v>184</v>
      </c>
      <c r="B357" s="42" t="s">
        <v>285</v>
      </c>
      <c r="C357" s="42" t="s">
        <v>264</v>
      </c>
      <c r="D357" s="21" t="s">
        <v>988</v>
      </c>
      <c r="E357" s="42" t="s">
        <v>185</v>
      </c>
      <c r="F357" s="7"/>
      <c r="G357" s="7"/>
      <c r="H357" s="7"/>
      <c r="I357" s="7"/>
      <c r="J357" s="7"/>
      <c r="K357" s="7">
        <f>'Прил.№4 ведомств.'!M985</f>
        <v>2967.2</v>
      </c>
      <c r="L357" s="7">
        <f>'Прил.№4 ведомств.'!N985</f>
        <v>0</v>
      </c>
      <c r="M357" s="7">
        <f t="shared" si="208"/>
        <v>0</v>
      </c>
    </row>
    <row r="358" spans="1:13" ht="78.75" x14ac:dyDescent="0.25">
      <c r="A358" s="123" t="s">
        <v>1008</v>
      </c>
      <c r="B358" s="42" t="s">
        <v>285</v>
      </c>
      <c r="C358" s="42" t="s">
        <v>264</v>
      </c>
      <c r="D358" s="21" t="s">
        <v>1010</v>
      </c>
      <c r="E358" s="42"/>
      <c r="F358" s="7"/>
      <c r="G358" s="7"/>
      <c r="H358" s="7"/>
      <c r="I358" s="7"/>
      <c r="J358" s="7"/>
      <c r="K358" s="7">
        <f>K359</f>
        <v>20000</v>
      </c>
      <c r="L358" s="7">
        <f t="shared" ref="L358:L359" si="223">L359</f>
        <v>19500</v>
      </c>
      <c r="M358" s="7">
        <f t="shared" si="208"/>
        <v>97.5</v>
      </c>
    </row>
    <row r="359" spans="1:13" ht="31.5" x14ac:dyDescent="0.25">
      <c r="A359" s="26" t="s">
        <v>182</v>
      </c>
      <c r="B359" s="42" t="s">
        <v>285</v>
      </c>
      <c r="C359" s="42" t="s">
        <v>264</v>
      </c>
      <c r="D359" s="21" t="s">
        <v>1010</v>
      </c>
      <c r="E359" s="42" t="s">
        <v>183</v>
      </c>
      <c r="F359" s="7"/>
      <c r="G359" s="7"/>
      <c r="H359" s="7"/>
      <c r="I359" s="7"/>
      <c r="J359" s="7"/>
      <c r="K359" s="7">
        <f>K360</f>
        <v>20000</v>
      </c>
      <c r="L359" s="7">
        <f t="shared" si="223"/>
        <v>19500</v>
      </c>
      <c r="M359" s="7">
        <f t="shared" si="208"/>
        <v>97.5</v>
      </c>
    </row>
    <row r="360" spans="1:13" ht="47.25" x14ac:dyDescent="0.25">
      <c r="A360" s="26" t="s">
        <v>184</v>
      </c>
      <c r="B360" s="42" t="s">
        <v>285</v>
      </c>
      <c r="C360" s="42" t="s">
        <v>264</v>
      </c>
      <c r="D360" s="21" t="s">
        <v>1010</v>
      </c>
      <c r="E360" s="42" t="s">
        <v>185</v>
      </c>
      <c r="F360" s="7"/>
      <c r="G360" s="7"/>
      <c r="H360" s="7"/>
      <c r="I360" s="7"/>
      <c r="J360" s="7"/>
      <c r="K360" s="7">
        <f>'Прил.№4 ведомств.'!M988</f>
        <v>20000</v>
      </c>
      <c r="L360" s="7">
        <f>'Прил.№4 ведомств.'!N988</f>
        <v>19500</v>
      </c>
      <c r="M360" s="7">
        <f t="shared" si="208"/>
        <v>97.5</v>
      </c>
    </row>
    <row r="361" spans="1:13" ht="15.75" x14ac:dyDescent="0.25">
      <c r="A361" s="43" t="s">
        <v>593</v>
      </c>
      <c r="B361" s="8" t="s">
        <v>285</v>
      </c>
      <c r="C361" s="8" t="s">
        <v>266</v>
      </c>
      <c r="D361" s="8"/>
      <c r="E361" s="8"/>
      <c r="F361" s="4">
        <f t="shared" ref="F361:K361" si="224">F362+F397+F393</f>
        <v>25464.6</v>
      </c>
      <c r="G361" s="4">
        <f t="shared" si="224"/>
        <v>16228</v>
      </c>
      <c r="H361" s="4">
        <f t="shared" si="224"/>
        <v>19935.400000000001</v>
      </c>
      <c r="I361" s="4">
        <f t="shared" si="224"/>
        <v>20104</v>
      </c>
      <c r="J361" s="4">
        <f t="shared" si="224"/>
        <v>22018.100000000002</v>
      </c>
      <c r="K361" s="4">
        <f t="shared" si="224"/>
        <v>26098.479999999996</v>
      </c>
      <c r="L361" s="4">
        <f t="shared" ref="L361" si="225">L362+L397+L393</f>
        <v>4434.3</v>
      </c>
      <c r="M361" s="4">
        <f t="shared" si="208"/>
        <v>16.990644665896255</v>
      </c>
    </row>
    <row r="362" spans="1:13" ht="48" customHeight="1" x14ac:dyDescent="0.25">
      <c r="A362" s="26" t="s">
        <v>594</v>
      </c>
      <c r="B362" s="42" t="s">
        <v>285</v>
      </c>
      <c r="C362" s="42" t="s">
        <v>266</v>
      </c>
      <c r="D362" s="42" t="s">
        <v>595</v>
      </c>
      <c r="E362" s="42"/>
      <c r="F362" s="7">
        <f t="shared" ref="F362:K362" si="226">F363+F378</f>
        <v>12375.499999999998</v>
      </c>
      <c r="G362" s="7">
        <f t="shared" si="226"/>
        <v>3394.8</v>
      </c>
      <c r="H362" s="7">
        <f t="shared" si="226"/>
        <v>16123</v>
      </c>
      <c r="I362" s="7">
        <f t="shared" si="226"/>
        <v>16291.599999999999</v>
      </c>
      <c r="J362" s="7">
        <f t="shared" si="226"/>
        <v>18205.7</v>
      </c>
      <c r="K362" s="7">
        <f t="shared" si="226"/>
        <v>18293.899999999998</v>
      </c>
      <c r="L362" s="7">
        <f t="shared" ref="L362" si="227">L363+L378</f>
        <v>3493.4</v>
      </c>
      <c r="M362" s="7">
        <f t="shared" si="208"/>
        <v>19.095982813943451</v>
      </c>
    </row>
    <row r="363" spans="1:13" ht="47.25" x14ac:dyDescent="0.25">
      <c r="A363" s="26" t="s">
        <v>596</v>
      </c>
      <c r="B363" s="21" t="s">
        <v>285</v>
      </c>
      <c r="C363" s="21" t="s">
        <v>266</v>
      </c>
      <c r="D363" s="21" t="s">
        <v>597</v>
      </c>
      <c r="E363" s="21"/>
      <c r="F363" s="7">
        <f>F367+F364+F372</f>
        <v>8697.2999999999993</v>
      </c>
      <c r="G363" s="7">
        <f t="shared" ref="G363:J363" si="228">G367+G364+G372</f>
        <v>1853.4</v>
      </c>
      <c r="H363" s="7">
        <f t="shared" si="228"/>
        <v>11055.8</v>
      </c>
      <c r="I363" s="7">
        <f t="shared" si="228"/>
        <v>10998</v>
      </c>
      <c r="J363" s="7">
        <f t="shared" si="228"/>
        <v>12675.6</v>
      </c>
      <c r="K363" s="7">
        <f>K367+K364+K372+K375</f>
        <v>13226.699999999999</v>
      </c>
      <c r="L363" s="7">
        <f t="shared" ref="L363" si="229">L367+L364+L372+L375</f>
        <v>3377</v>
      </c>
      <c r="M363" s="7">
        <f t="shared" si="208"/>
        <v>25.531689688282039</v>
      </c>
    </row>
    <row r="364" spans="1:13" ht="24" customHeight="1" x14ac:dyDescent="0.25">
      <c r="A364" s="26" t="s">
        <v>598</v>
      </c>
      <c r="B364" s="21" t="s">
        <v>285</v>
      </c>
      <c r="C364" s="21" t="s">
        <v>266</v>
      </c>
      <c r="D364" s="21" t="s">
        <v>599</v>
      </c>
      <c r="E364" s="21"/>
      <c r="F364" s="7">
        <f>F365</f>
        <v>253.4</v>
      </c>
      <c r="G364" s="7">
        <f t="shared" ref="G364:L365" si="230">G365</f>
        <v>253.4</v>
      </c>
      <c r="H364" s="7">
        <f t="shared" si="230"/>
        <v>356</v>
      </c>
      <c r="I364" s="7">
        <f t="shared" si="230"/>
        <v>371</v>
      </c>
      <c r="J364" s="7">
        <f t="shared" si="230"/>
        <v>378</v>
      </c>
      <c r="K364" s="7">
        <f t="shared" si="230"/>
        <v>356</v>
      </c>
      <c r="L364" s="7">
        <f t="shared" si="230"/>
        <v>0</v>
      </c>
      <c r="M364" s="7">
        <f t="shared" si="208"/>
        <v>0</v>
      </c>
    </row>
    <row r="365" spans="1:13" ht="31.5" x14ac:dyDescent="0.25">
      <c r="A365" s="26" t="s">
        <v>182</v>
      </c>
      <c r="B365" s="21" t="s">
        <v>285</v>
      </c>
      <c r="C365" s="21" t="s">
        <v>266</v>
      </c>
      <c r="D365" s="21" t="s">
        <v>599</v>
      </c>
      <c r="E365" s="21" t="s">
        <v>183</v>
      </c>
      <c r="F365" s="7">
        <f>F366</f>
        <v>253.4</v>
      </c>
      <c r="G365" s="7">
        <f t="shared" si="230"/>
        <v>253.4</v>
      </c>
      <c r="H365" s="7">
        <f t="shared" si="230"/>
        <v>356</v>
      </c>
      <c r="I365" s="7">
        <f t="shared" si="230"/>
        <v>371</v>
      </c>
      <c r="J365" s="7">
        <f t="shared" si="230"/>
        <v>378</v>
      </c>
      <c r="K365" s="7">
        <f t="shared" si="230"/>
        <v>356</v>
      </c>
      <c r="L365" s="7">
        <f t="shared" si="230"/>
        <v>0</v>
      </c>
      <c r="M365" s="7">
        <f t="shared" si="208"/>
        <v>0</v>
      </c>
    </row>
    <row r="366" spans="1:13" ht="47.25" x14ac:dyDescent="0.25">
      <c r="A366" s="26" t="s">
        <v>184</v>
      </c>
      <c r="B366" s="21" t="s">
        <v>285</v>
      </c>
      <c r="C366" s="21" t="s">
        <v>266</v>
      </c>
      <c r="D366" s="21" t="s">
        <v>599</v>
      </c>
      <c r="E366" s="21" t="s">
        <v>185</v>
      </c>
      <c r="F366" s="7">
        <f>'Прил.№4 ведомств.'!G994</f>
        <v>253.4</v>
      </c>
      <c r="G366" s="7">
        <f>'Прил.№4 ведомств.'!I994</f>
        <v>253.4</v>
      </c>
      <c r="H366" s="7">
        <f>'Прил.№4 ведомств.'!J994</f>
        <v>356</v>
      </c>
      <c r="I366" s="7">
        <f>'Прил.№4 ведомств.'!K994</f>
        <v>371</v>
      </c>
      <c r="J366" s="7">
        <f>'Прил.№4 ведомств.'!L994</f>
        <v>378</v>
      </c>
      <c r="K366" s="7">
        <f>'Прил.№4 ведомств.'!M994</f>
        <v>356</v>
      </c>
      <c r="L366" s="7">
        <f>'Прил.№4 ведомств.'!N994</f>
        <v>0</v>
      </c>
      <c r="M366" s="7">
        <f t="shared" si="208"/>
        <v>0</v>
      </c>
    </row>
    <row r="367" spans="1:13" ht="15.75" x14ac:dyDescent="0.25">
      <c r="A367" s="26" t="s">
        <v>600</v>
      </c>
      <c r="B367" s="21" t="s">
        <v>285</v>
      </c>
      <c r="C367" s="21" t="s">
        <v>266</v>
      </c>
      <c r="D367" s="21" t="s">
        <v>601</v>
      </c>
      <c r="E367" s="21"/>
      <c r="F367" s="7">
        <f>F368</f>
        <v>5258.6</v>
      </c>
      <c r="G367" s="7">
        <f t="shared" ref="G367:L368" si="231">G368</f>
        <v>1500</v>
      </c>
      <c r="H367" s="7">
        <f t="shared" si="231"/>
        <v>6383</v>
      </c>
      <c r="I367" s="7">
        <f t="shared" si="231"/>
        <v>6266.6</v>
      </c>
      <c r="J367" s="7">
        <f t="shared" si="231"/>
        <v>6060</v>
      </c>
      <c r="K367" s="7">
        <f>K368+K370</f>
        <v>6383</v>
      </c>
      <c r="L367" s="7">
        <f t="shared" ref="L367" si="232">L368+L370</f>
        <v>1206</v>
      </c>
      <c r="M367" s="7">
        <f t="shared" si="208"/>
        <v>18.893937020209933</v>
      </c>
    </row>
    <row r="368" spans="1:13" ht="31.5" x14ac:dyDescent="0.25">
      <c r="A368" s="26" t="s">
        <v>182</v>
      </c>
      <c r="B368" s="21" t="s">
        <v>285</v>
      </c>
      <c r="C368" s="21" t="s">
        <v>266</v>
      </c>
      <c r="D368" s="21" t="s">
        <v>601</v>
      </c>
      <c r="E368" s="21" t="s">
        <v>183</v>
      </c>
      <c r="F368" s="7">
        <f>F369</f>
        <v>5258.6</v>
      </c>
      <c r="G368" s="7">
        <f t="shared" si="231"/>
        <v>1500</v>
      </c>
      <c r="H368" s="7">
        <f t="shared" si="231"/>
        <v>6383</v>
      </c>
      <c r="I368" s="7">
        <f t="shared" si="231"/>
        <v>6266.6</v>
      </c>
      <c r="J368" s="7">
        <f t="shared" si="231"/>
        <v>6060</v>
      </c>
      <c r="K368" s="7">
        <f t="shared" si="231"/>
        <v>6342.1</v>
      </c>
      <c r="L368" s="7">
        <f t="shared" si="231"/>
        <v>1168.5</v>
      </c>
      <c r="M368" s="7">
        <f t="shared" si="208"/>
        <v>18.424496617839516</v>
      </c>
    </row>
    <row r="369" spans="1:13" ht="47.25" x14ac:dyDescent="0.25">
      <c r="A369" s="26" t="s">
        <v>184</v>
      </c>
      <c r="B369" s="21" t="s">
        <v>285</v>
      </c>
      <c r="C369" s="21" t="s">
        <v>266</v>
      </c>
      <c r="D369" s="21" t="s">
        <v>601</v>
      </c>
      <c r="E369" s="21" t="s">
        <v>185</v>
      </c>
      <c r="F369" s="7">
        <f>'Прил.№4 ведомств.'!G997</f>
        <v>5258.6</v>
      </c>
      <c r="G369" s="7">
        <f>'Прил.№4 ведомств.'!I997</f>
        <v>1500</v>
      </c>
      <c r="H369" s="7">
        <f>'Прил.№4 ведомств.'!J997</f>
        <v>6383</v>
      </c>
      <c r="I369" s="7">
        <f>'Прил.№4 ведомств.'!K997</f>
        <v>6266.6</v>
      </c>
      <c r="J369" s="7">
        <f>'Прил.№4 ведомств.'!L997</f>
        <v>6060</v>
      </c>
      <c r="K369" s="7">
        <f>'Прил.№4 ведомств.'!M997</f>
        <v>6342.1</v>
      </c>
      <c r="L369" s="7">
        <f>'Прил.№4 ведомств.'!N997</f>
        <v>1168.5</v>
      </c>
      <c r="M369" s="7">
        <f t="shared" si="208"/>
        <v>18.424496617839516</v>
      </c>
    </row>
    <row r="370" spans="1:13" ht="15.75" x14ac:dyDescent="0.25">
      <c r="A370" s="31" t="s">
        <v>186</v>
      </c>
      <c r="B370" s="21" t="s">
        <v>285</v>
      </c>
      <c r="C370" s="21" t="s">
        <v>266</v>
      </c>
      <c r="D370" s="21" t="s">
        <v>601</v>
      </c>
      <c r="E370" s="21" t="s">
        <v>196</v>
      </c>
      <c r="F370" s="7"/>
      <c r="G370" s="7"/>
      <c r="H370" s="7"/>
      <c r="I370" s="7"/>
      <c r="J370" s="7"/>
      <c r="K370" s="7">
        <f>K371</f>
        <v>40.9</v>
      </c>
      <c r="L370" s="7">
        <f t="shared" ref="L370" si="233">L371</f>
        <v>37.5</v>
      </c>
      <c r="M370" s="7">
        <f t="shared" si="208"/>
        <v>91.687041564792182</v>
      </c>
    </row>
    <row r="371" spans="1:13" ht="15.75" x14ac:dyDescent="0.25">
      <c r="A371" s="31" t="s">
        <v>620</v>
      </c>
      <c r="B371" s="21" t="s">
        <v>285</v>
      </c>
      <c r="C371" s="21" t="s">
        <v>266</v>
      </c>
      <c r="D371" s="21" t="s">
        <v>601</v>
      </c>
      <c r="E371" s="21" t="s">
        <v>189</v>
      </c>
      <c r="F371" s="7"/>
      <c r="G371" s="7"/>
      <c r="H371" s="7"/>
      <c r="I371" s="7"/>
      <c r="J371" s="7"/>
      <c r="K371" s="7">
        <f>'Прил.№4 ведомств.'!M999</f>
        <v>40.9</v>
      </c>
      <c r="L371" s="7">
        <f>'Прил.№4 ведомств.'!N999</f>
        <v>37.5</v>
      </c>
      <c r="M371" s="7">
        <f t="shared" si="208"/>
        <v>91.687041564792182</v>
      </c>
    </row>
    <row r="372" spans="1:13" ht="15.75" x14ac:dyDescent="0.25">
      <c r="A372" s="26" t="s">
        <v>602</v>
      </c>
      <c r="B372" s="21" t="s">
        <v>285</v>
      </c>
      <c r="C372" s="21" t="s">
        <v>266</v>
      </c>
      <c r="D372" s="21" t="s">
        <v>603</v>
      </c>
      <c r="E372" s="21"/>
      <c r="F372" s="7">
        <f>F373</f>
        <v>3185.3</v>
      </c>
      <c r="G372" s="7">
        <f t="shared" ref="G372:L373" si="234">G373</f>
        <v>100</v>
      </c>
      <c r="H372" s="7">
        <f t="shared" si="234"/>
        <v>4316.8</v>
      </c>
      <c r="I372" s="7">
        <f t="shared" si="234"/>
        <v>4360.3999999999996</v>
      </c>
      <c r="J372" s="7">
        <f t="shared" si="234"/>
        <v>6237.6</v>
      </c>
      <c r="K372" s="7">
        <f t="shared" si="234"/>
        <v>4316.8</v>
      </c>
      <c r="L372" s="7">
        <f t="shared" si="234"/>
        <v>0.1</v>
      </c>
      <c r="M372" s="7">
        <f t="shared" si="208"/>
        <v>2.3165307635285397E-3</v>
      </c>
    </row>
    <row r="373" spans="1:13" ht="31.5" x14ac:dyDescent="0.25">
      <c r="A373" s="26" t="s">
        <v>182</v>
      </c>
      <c r="B373" s="21" t="s">
        <v>285</v>
      </c>
      <c r="C373" s="21" t="s">
        <v>266</v>
      </c>
      <c r="D373" s="21" t="s">
        <v>603</v>
      </c>
      <c r="E373" s="21" t="s">
        <v>183</v>
      </c>
      <c r="F373" s="7">
        <f>F374</f>
        <v>3185.3</v>
      </c>
      <c r="G373" s="7">
        <f t="shared" si="234"/>
        <v>100</v>
      </c>
      <c r="H373" s="7">
        <f t="shared" si="234"/>
        <v>4316.8</v>
      </c>
      <c r="I373" s="7">
        <f t="shared" si="234"/>
        <v>4360.3999999999996</v>
      </c>
      <c r="J373" s="7">
        <f t="shared" si="234"/>
        <v>6237.6</v>
      </c>
      <c r="K373" s="7">
        <f t="shared" si="234"/>
        <v>4316.8</v>
      </c>
      <c r="L373" s="7">
        <f t="shared" si="234"/>
        <v>0.1</v>
      </c>
      <c r="M373" s="7">
        <f t="shared" si="208"/>
        <v>2.3165307635285397E-3</v>
      </c>
    </row>
    <row r="374" spans="1:13" ht="47.25" x14ac:dyDescent="0.25">
      <c r="A374" s="26" t="s">
        <v>184</v>
      </c>
      <c r="B374" s="21" t="s">
        <v>285</v>
      </c>
      <c r="C374" s="21" t="s">
        <v>266</v>
      </c>
      <c r="D374" s="21" t="s">
        <v>603</v>
      </c>
      <c r="E374" s="21" t="s">
        <v>185</v>
      </c>
      <c r="F374" s="7">
        <f>'Прил.№4 ведомств.'!G1002</f>
        <v>3185.3</v>
      </c>
      <c r="G374" s="7">
        <f>'Прил.№4 ведомств.'!I1002</f>
        <v>100</v>
      </c>
      <c r="H374" s="7">
        <f>'Прил.№4 ведомств.'!J1002</f>
        <v>4316.8</v>
      </c>
      <c r="I374" s="7">
        <f>'Прил.№4 ведомств.'!K1002</f>
        <v>4360.3999999999996</v>
      </c>
      <c r="J374" s="7">
        <f>'Прил.№4 ведомств.'!L1002</f>
        <v>6237.6</v>
      </c>
      <c r="K374" s="7">
        <f>'Прил.№4 ведомств.'!M1002</f>
        <v>4316.8</v>
      </c>
      <c r="L374" s="7">
        <f>'Прил.№4 ведомств.'!N1002</f>
        <v>0.1</v>
      </c>
      <c r="M374" s="7">
        <f t="shared" si="208"/>
        <v>2.3165307635285397E-3</v>
      </c>
    </row>
    <row r="375" spans="1:13" ht="31.5" x14ac:dyDescent="0.25">
      <c r="A375" s="26" t="s">
        <v>613</v>
      </c>
      <c r="B375" s="21" t="s">
        <v>285</v>
      </c>
      <c r="C375" s="21" t="s">
        <v>266</v>
      </c>
      <c r="D375" s="21" t="s">
        <v>972</v>
      </c>
      <c r="E375" s="21"/>
      <c r="F375" s="7"/>
      <c r="G375" s="7"/>
      <c r="H375" s="7"/>
      <c r="I375" s="7"/>
      <c r="J375" s="7"/>
      <c r="K375" s="7">
        <f>K376</f>
        <v>2170.9</v>
      </c>
      <c r="L375" s="7">
        <f t="shared" ref="L375:L376" si="235">L376</f>
        <v>2170.9</v>
      </c>
      <c r="M375" s="7">
        <f t="shared" si="208"/>
        <v>100</v>
      </c>
    </row>
    <row r="376" spans="1:13" ht="31.5" x14ac:dyDescent="0.25">
      <c r="A376" s="26" t="s">
        <v>182</v>
      </c>
      <c r="B376" s="21" t="s">
        <v>285</v>
      </c>
      <c r="C376" s="21" t="s">
        <v>266</v>
      </c>
      <c r="D376" s="21" t="s">
        <v>972</v>
      </c>
      <c r="E376" s="21" t="s">
        <v>183</v>
      </c>
      <c r="F376" s="7"/>
      <c r="G376" s="7"/>
      <c r="H376" s="7"/>
      <c r="I376" s="7"/>
      <c r="J376" s="7"/>
      <c r="K376" s="7">
        <f>K377</f>
        <v>2170.9</v>
      </c>
      <c r="L376" s="7">
        <f t="shared" si="235"/>
        <v>2170.9</v>
      </c>
      <c r="M376" s="7">
        <f t="shared" si="208"/>
        <v>100</v>
      </c>
    </row>
    <row r="377" spans="1:13" ht="47.25" x14ac:dyDescent="0.25">
      <c r="A377" s="26" t="s">
        <v>184</v>
      </c>
      <c r="B377" s="21" t="s">
        <v>285</v>
      </c>
      <c r="C377" s="21" t="s">
        <v>266</v>
      </c>
      <c r="D377" s="21" t="s">
        <v>972</v>
      </c>
      <c r="E377" s="21" t="s">
        <v>185</v>
      </c>
      <c r="F377" s="7"/>
      <c r="G377" s="7"/>
      <c r="H377" s="7"/>
      <c r="I377" s="7"/>
      <c r="J377" s="7"/>
      <c r="K377" s="7">
        <f>'Прил.№4 ведомств.'!M1005</f>
        <v>2170.9</v>
      </c>
      <c r="L377" s="7">
        <f>'Прил.№4 ведомств.'!N1005</f>
        <v>2170.9</v>
      </c>
      <c r="M377" s="7">
        <f t="shared" si="208"/>
        <v>100</v>
      </c>
    </row>
    <row r="378" spans="1:13" ht="47.25" x14ac:dyDescent="0.25">
      <c r="A378" s="26" t="s">
        <v>604</v>
      </c>
      <c r="B378" s="21" t="s">
        <v>285</v>
      </c>
      <c r="C378" s="21" t="s">
        <v>266</v>
      </c>
      <c r="D378" s="21" t="s">
        <v>605</v>
      </c>
      <c r="E378" s="21"/>
      <c r="F378" s="7">
        <f>F379+F384+F387+F390</f>
        <v>3678.1999999999994</v>
      </c>
      <c r="G378" s="7">
        <f t="shared" ref="G378:K378" si="236">G379+G384+G387+G390</f>
        <v>1541.4</v>
      </c>
      <c r="H378" s="7">
        <f>H379+H384+H387+H390</f>
        <v>5067.2</v>
      </c>
      <c r="I378" s="7">
        <f t="shared" si="236"/>
        <v>5293.5999999999995</v>
      </c>
      <c r="J378" s="7">
        <f t="shared" si="236"/>
        <v>5530.0999999999995</v>
      </c>
      <c r="K378" s="7">
        <f t="shared" si="236"/>
        <v>5067.2</v>
      </c>
      <c r="L378" s="7">
        <f t="shared" ref="L378" si="237">L379+L384+L387+L390</f>
        <v>116.39999999999999</v>
      </c>
      <c r="M378" s="7">
        <f t="shared" si="208"/>
        <v>2.2971266182507102</v>
      </c>
    </row>
    <row r="379" spans="1:13" ht="15.75" x14ac:dyDescent="0.25">
      <c r="A379" s="26" t="s">
        <v>602</v>
      </c>
      <c r="B379" s="21" t="s">
        <v>285</v>
      </c>
      <c r="C379" s="21" t="s">
        <v>266</v>
      </c>
      <c r="D379" s="21" t="s">
        <v>606</v>
      </c>
      <c r="E379" s="21"/>
      <c r="F379" s="7">
        <f>F380+F382</f>
        <v>1112.3999999999999</v>
      </c>
      <c r="G379" s="7">
        <f t="shared" ref="G379:K379" si="238">G380+G382</f>
        <v>992.8</v>
      </c>
      <c r="H379" s="7">
        <f t="shared" si="238"/>
        <v>1364</v>
      </c>
      <c r="I379" s="7">
        <f t="shared" si="238"/>
        <v>1430.3</v>
      </c>
      <c r="J379" s="7">
        <f t="shared" si="238"/>
        <v>1500</v>
      </c>
      <c r="K379" s="7">
        <f t="shared" si="238"/>
        <v>1364</v>
      </c>
      <c r="L379" s="7">
        <f t="shared" ref="L379" si="239">L380+L382</f>
        <v>101.3</v>
      </c>
      <c r="M379" s="7">
        <f t="shared" si="208"/>
        <v>7.4266862170087977</v>
      </c>
    </row>
    <row r="380" spans="1:13" ht="78.75" hidden="1" x14ac:dyDescent="0.25">
      <c r="A380" s="26" t="s">
        <v>178</v>
      </c>
      <c r="B380" s="21" t="s">
        <v>285</v>
      </c>
      <c r="C380" s="21" t="s">
        <v>266</v>
      </c>
      <c r="D380" s="21" t="s">
        <v>606</v>
      </c>
      <c r="E380" s="21" t="s">
        <v>179</v>
      </c>
      <c r="F380" s="7">
        <f>F381</f>
        <v>892.8</v>
      </c>
      <c r="G380" s="7">
        <f t="shared" ref="G380:L380" si="240">G381</f>
        <v>892.8</v>
      </c>
      <c r="H380" s="7">
        <f t="shared" si="240"/>
        <v>0</v>
      </c>
      <c r="I380" s="7">
        <f t="shared" si="240"/>
        <v>0</v>
      </c>
      <c r="J380" s="7">
        <f t="shared" si="240"/>
        <v>0</v>
      </c>
      <c r="K380" s="7">
        <f t="shared" si="240"/>
        <v>0</v>
      </c>
      <c r="L380" s="7">
        <f t="shared" si="240"/>
        <v>0</v>
      </c>
      <c r="M380" s="7" t="e">
        <f t="shared" si="208"/>
        <v>#DIV/0!</v>
      </c>
    </row>
    <row r="381" spans="1:13" ht="31.5" hidden="1" x14ac:dyDescent="0.25">
      <c r="A381" s="48" t="s">
        <v>393</v>
      </c>
      <c r="B381" s="21" t="s">
        <v>285</v>
      </c>
      <c r="C381" s="21" t="s">
        <v>266</v>
      </c>
      <c r="D381" s="21" t="s">
        <v>606</v>
      </c>
      <c r="E381" s="21" t="s">
        <v>260</v>
      </c>
      <c r="F381" s="7">
        <f>'Прил.№4 ведомств.'!G1009</f>
        <v>892.8</v>
      </c>
      <c r="G381" s="7">
        <f>'Прил.№4 ведомств.'!I1009</f>
        <v>892.8</v>
      </c>
      <c r="H381" s="7">
        <f>'Прил.№4 ведомств.'!J1009</f>
        <v>0</v>
      </c>
      <c r="I381" s="7">
        <f>'Прил.№4 ведомств.'!K1009</f>
        <v>0</v>
      </c>
      <c r="J381" s="7">
        <f>'Прил.№4 ведомств.'!L1009</f>
        <v>0</v>
      </c>
      <c r="K381" s="7">
        <f>'Прил.№4 ведомств.'!M1009</f>
        <v>0</v>
      </c>
      <c r="L381" s="7">
        <f>'Прил.№4 ведомств.'!N1009</f>
        <v>0</v>
      </c>
      <c r="M381" s="7" t="e">
        <f t="shared" si="208"/>
        <v>#DIV/0!</v>
      </c>
    </row>
    <row r="382" spans="1:13" ht="31.5" x14ac:dyDescent="0.25">
      <c r="A382" s="26" t="s">
        <v>182</v>
      </c>
      <c r="B382" s="21" t="s">
        <v>285</v>
      </c>
      <c r="C382" s="21" t="s">
        <v>266</v>
      </c>
      <c r="D382" s="21" t="s">
        <v>606</v>
      </c>
      <c r="E382" s="21" t="s">
        <v>183</v>
      </c>
      <c r="F382" s="7">
        <f>F383</f>
        <v>219.6</v>
      </c>
      <c r="G382" s="7">
        <f t="shared" ref="G382:L382" si="241">G383</f>
        <v>100</v>
      </c>
      <c r="H382" s="7">
        <f t="shared" si="241"/>
        <v>1364</v>
      </c>
      <c r="I382" s="7">
        <f t="shared" si="241"/>
        <v>1430.3</v>
      </c>
      <c r="J382" s="7">
        <f t="shared" si="241"/>
        <v>1500</v>
      </c>
      <c r="K382" s="7">
        <f t="shared" si="241"/>
        <v>1364</v>
      </c>
      <c r="L382" s="7">
        <f t="shared" si="241"/>
        <v>101.3</v>
      </c>
      <c r="M382" s="7">
        <f t="shared" si="208"/>
        <v>7.4266862170087977</v>
      </c>
    </row>
    <row r="383" spans="1:13" ht="47.25" x14ac:dyDescent="0.25">
      <c r="A383" s="26" t="s">
        <v>184</v>
      </c>
      <c r="B383" s="21" t="s">
        <v>285</v>
      </c>
      <c r="C383" s="21" t="s">
        <v>266</v>
      </c>
      <c r="D383" s="21" t="s">
        <v>606</v>
      </c>
      <c r="E383" s="21" t="s">
        <v>185</v>
      </c>
      <c r="F383" s="7">
        <f>'Прил.№4 ведомств.'!G1011</f>
        <v>219.6</v>
      </c>
      <c r="G383" s="7">
        <f>'Прил.№4 ведомств.'!I1011</f>
        <v>100</v>
      </c>
      <c r="H383" s="7">
        <f>'Прил.№4 ведомств.'!J1011</f>
        <v>1364</v>
      </c>
      <c r="I383" s="7">
        <f>'Прил.№4 ведомств.'!K1011</f>
        <v>1430.3</v>
      </c>
      <c r="J383" s="7">
        <f>'Прил.№4 ведомств.'!L1011</f>
        <v>1500</v>
      </c>
      <c r="K383" s="7">
        <f>'Прил.№4 ведомств.'!M1011</f>
        <v>1364</v>
      </c>
      <c r="L383" s="7">
        <f>'Прил.№4 ведомств.'!N1011</f>
        <v>101.3</v>
      </c>
      <c r="M383" s="7">
        <f t="shared" si="208"/>
        <v>7.4266862170087977</v>
      </c>
    </row>
    <row r="384" spans="1:13" ht="15.75" x14ac:dyDescent="0.25">
      <c r="A384" s="26" t="s">
        <v>607</v>
      </c>
      <c r="B384" s="21" t="s">
        <v>285</v>
      </c>
      <c r="C384" s="21" t="s">
        <v>266</v>
      </c>
      <c r="D384" s="21" t="s">
        <v>608</v>
      </c>
      <c r="E384" s="21"/>
      <c r="F384" s="7">
        <f>F385</f>
        <v>86.6</v>
      </c>
      <c r="G384" s="7">
        <f t="shared" ref="G384:L385" si="242">G385</f>
        <v>0</v>
      </c>
      <c r="H384" s="7">
        <f t="shared" si="242"/>
        <v>115.8</v>
      </c>
      <c r="I384" s="7">
        <f t="shared" si="242"/>
        <v>121.6</v>
      </c>
      <c r="J384" s="7">
        <f t="shared" si="242"/>
        <v>127.6</v>
      </c>
      <c r="K384" s="7">
        <f t="shared" si="242"/>
        <v>115.8</v>
      </c>
      <c r="L384" s="7">
        <f t="shared" si="242"/>
        <v>0</v>
      </c>
      <c r="M384" s="7">
        <f t="shared" si="208"/>
        <v>0</v>
      </c>
    </row>
    <row r="385" spans="1:13" ht="31.5" x14ac:dyDescent="0.25">
      <c r="A385" s="26" t="s">
        <v>182</v>
      </c>
      <c r="B385" s="21" t="s">
        <v>285</v>
      </c>
      <c r="C385" s="21" t="s">
        <v>266</v>
      </c>
      <c r="D385" s="21" t="s">
        <v>608</v>
      </c>
      <c r="E385" s="21" t="s">
        <v>183</v>
      </c>
      <c r="F385" s="7">
        <f>F386</f>
        <v>86.6</v>
      </c>
      <c r="G385" s="7">
        <f t="shared" si="242"/>
        <v>0</v>
      </c>
      <c r="H385" s="7">
        <f t="shared" si="242"/>
        <v>115.8</v>
      </c>
      <c r="I385" s="7">
        <f t="shared" si="242"/>
        <v>121.6</v>
      </c>
      <c r="J385" s="7">
        <f t="shared" si="242"/>
        <v>127.6</v>
      </c>
      <c r="K385" s="7">
        <f t="shared" si="242"/>
        <v>115.8</v>
      </c>
      <c r="L385" s="7">
        <f t="shared" si="242"/>
        <v>0</v>
      </c>
      <c r="M385" s="7">
        <f t="shared" si="208"/>
        <v>0</v>
      </c>
    </row>
    <row r="386" spans="1:13" ht="47.25" x14ac:dyDescent="0.25">
      <c r="A386" s="26" t="s">
        <v>184</v>
      </c>
      <c r="B386" s="21" t="s">
        <v>285</v>
      </c>
      <c r="C386" s="21" t="s">
        <v>266</v>
      </c>
      <c r="D386" s="21" t="s">
        <v>608</v>
      </c>
      <c r="E386" s="21" t="s">
        <v>185</v>
      </c>
      <c r="F386" s="7">
        <f>'Прил.№4 ведомств.'!G1014</f>
        <v>86.6</v>
      </c>
      <c r="G386" s="7">
        <f>'Прил.№4 ведомств.'!I1014</f>
        <v>0</v>
      </c>
      <c r="H386" s="7">
        <f>'Прил.№4 ведомств.'!J1014</f>
        <v>115.8</v>
      </c>
      <c r="I386" s="7">
        <f>'Прил.№4 ведомств.'!K1014</f>
        <v>121.6</v>
      </c>
      <c r="J386" s="7">
        <f>'Прил.№4 ведомств.'!L1014</f>
        <v>127.6</v>
      </c>
      <c r="K386" s="7">
        <f>'Прил.№4 ведомств.'!M1014</f>
        <v>115.8</v>
      </c>
      <c r="L386" s="7">
        <f>'Прил.№4 ведомств.'!N1014</f>
        <v>0</v>
      </c>
      <c r="M386" s="7">
        <f t="shared" si="208"/>
        <v>0</v>
      </c>
    </row>
    <row r="387" spans="1:13" ht="47.25" x14ac:dyDescent="0.25">
      <c r="A387" s="125" t="s">
        <v>609</v>
      </c>
      <c r="B387" s="21" t="s">
        <v>285</v>
      </c>
      <c r="C387" s="21" t="s">
        <v>266</v>
      </c>
      <c r="D387" s="21" t="s">
        <v>610</v>
      </c>
      <c r="E387" s="21"/>
      <c r="F387" s="7">
        <f>F388</f>
        <v>2130.6</v>
      </c>
      <c r="G387" s="7">
        <f t="shared" ref="G387:L388" si="243">G388</f>
        <v>200</v>
      </c>
      <c r="H387" s="7">
        <f t="shared" si="243"/>
        <v>3124.2</v>
      </c>
      <c r="I387" s="7">
        <f t="shared" si="243"/>
        <v>3258.5</v>
      </c>
      <c r="J387" s="7">
        <f t="shared" si="243"/>
        <v>3398.6</v>
      </c>
      <c r="K387" s="7">
        <f t="shared" si="243"/>
        <v>3124.2</v>
      </c>
      <c r="L387" s="7">
        <f t="shared" si="243"/>
        <v>0</v>
      </c>
      <c r="M387" s="7">
        <f t="shared" si="208"/>
        <v>0</v>
      </c>
    </row>
    <row r="388" spans="1:13" ht="31.5" x14ac:dyDescent="0.25">
      <c r="A388" s="26" t="s">
        <v>182</v>
      </c>
      <c r="B388" s="21" t="s">
        <v>285</v>
      </c>
      <c r="C388" s="21" t="s">
        <v>266</v>
      </c>
      <c r="D388" s="21" t="s">
        <v>610</v>
      </c>
      <c r="E388" s="21" t="s">
        <v>183</v>
      </c>
      <c r="F388" s="7">
        <f>F389</f>
        <v>2130.6</v>
      </c>
      <c r="G388" s="7">
        <f t="shared" si="243"/>
        <v>200</v>
      </c>
      <c r="H388" s="7">
        <f t="shared" si="243"/>
        <v>3124.2</v>
      </c>
      <c r="I388" s="7">
        <f t="shared" si="243"/>
        <v>3258.5</v>
      </c>
      <c r="J388" s="7">
        <f t="shared" si="243"/>
        <v>3398.6</v>
      </c>
      <c r="K388" s="7">
        <f t="shared" si="243"/>
        <v>3124.2</v>
      </c>
      <c r="L388" s="7">
        <f t="shared" si="243"/>
        <v>0</v>
      </c>
      <c r="M388" s="7">
        <f t="shared" si="208"/>
        <v>0</v>
      </c>
    </row>
    <row r="389" spans="1:13" ht="47.25" x14ac:dyDescent="0.25">
      <c r="A389" s="26" t="s">
        <v>184</v>
      </c>
      <c r="B389" s="21" t="s">
        <v>285</v>
      </c>
      <c r="C389" s="21" t="s">
        <v>266</v>
      </c>
      <c r="D389" s="21" t="s">
        <v>610</v>
      </c>
      <c r="E389" s="21" t="s">
        <v>185</v>
      </c>
      <c r="F389" s="7">
        <f>'Прил.№4 ведомств.'!G1017</f>
        <v>2130.6</v>
      </c>
      <c r="G389" s="7">
        <f>'Прил.№4 ведомств.'!I1017</f>
        <v>200</v>
      </c>
      <c r="H389" s="7">
        <f>'Прил.№4 ведомств.'!J1017</f>
        <v>3124.2</v>
      </c>
      <c r="I389" s="7">
        <f>'Прил.№4 ведомств.'!K1017</f>
        <v>3258.5</v>
      </c>
      <c r="J389" s="7">
        <f>'Прил.№4 ведомств.'!L1017</f>
        <v>3398.6</v>
      </c>
      <c r="K389" s="7">
        <f>'Прил.№4 ведомств.'!M1017</f>
        <v>3124.2</v>
      </c>
      <c r="L389" s="7">
        <f>'Прил.№4 ведомств.'!N1017</f>
        <v>0</v>
      </c>
      <c r="M389" s="7">
        <f t="shared" si="208"/>
        <v>0</v>
      </c>
    </row>
    <row r="390" spans="1:13" ht="15.75" x14ac:dyDescent="0.25">
      <c r="A390" s="125" t="s">
        <v>611</v>
      </c>
      <c r="B390" s="21" t="s">
        <v>285</v>
      </c>
      <c r="C390" s="21" t="s">
        <v>266</v>
      </c>
      <c r="D390" s="21" t="s">
        <v>612</v>
      </c>
      <c r="E390" s="21"/>
      <c r="F390" s="7">
        <f>F391</f>
        <v>348.6</v>
      </c>
      <c r="G390" s="7">
        <f t="shared" ref="G390:L391" si="244">G391</f>
        <v>348.6</v>
      </c>
      <c r="H390" s="7">
        <f t="shared" si="244"/>
        <v>463.2</v>
      </c>
      <c r="I390" s="7">
        <f t="shared" si="244"/>
        <v>483.2</v>
      </c>
      <c r="J390" s="7">
        <f t="shared" si="244"/>
        <v>503.9</v>
      </c>
      <c r="K390" s="7">
        <f t="shared" si="244"/>
        <v>463.2</v>
      </c>
      <c r="L390" s="7">
        <f t="shared" si="244"/>
        <v>15.1</v>
      </c>
      <c r="M390" s="7">
        <f t="shared" si="208"/>
        <v>3.2599309153713301</v>
      </c>
    </row>
    <row r="391" spans="1:13" ht="31.5" x14ac:dyDescent="0.25">
      <c r="A391" s="26" t="s">
        <v>182</v>
      </c>
      <c r="B391" s="21" t="s">
        <v>285</v>
      </c>
      <c r="C391" s="21" t="s">
        <v>266</v>
      </c>
      <c r="D391" s="21" t="s">
        <v>612</v>
      </c>
      <c r="E391" s="21" t="s">
        <v>183</v>
      </c>
      <c r="F391" s="7">
        <f>F392</f>
        <v>348.6</v>
      </c>
      <c r="G391" s="7">
        <f t="shared" si="244"/>
        <v>348.6</v>
      </c>
      <c r="H391" s="7">
        <f t="shared" si="244"/>
        <v>463.2</v>
      </c>
      <c r="I391" s="7">
        <f t="shared" si="244"/>
        <v>483.2</v>
      </c>
      <c r="J391" s="7">
        <f t="shared" si="244"/>
        <v>503.9</v>
      </c>
      <c r="K391" s="7">
        <f t="shared" si="244"/>
        <v>463.2</v>
      </c>
      <c r="L391" s="7">
        <f t="shared" si="244"/>
        <v>15.1</v>
      </c>
      <c r="M391" s="7">
        <f t="shared" si="208"/>
        <v>3.2599309153713301</v>
      </c>
    </row>
    <row r="392" spans="1:13" ht="47.25" x14ac:dyDescent="0.25">
      <c r="A392" s="26" t="s">
        <v>184</v>
      </c>
      <c r="B392" s="21" t="s">
        <v>285</v>
      </c>
      <c r="C392" s="21" t="s">
        <v>266</v>
      </c>
      <c r="D392" s="21" t="s">
        <v>612</v>
      </c>
      <c r="E392" s="21" t="s">
        <v>185</v>
      </c>
      <c r="F392" s="7">
        <f>'Прил.№4 ведомств.'!G1020</f>
        <v>348.6</v>
      </c>
      <c r="G392" s="7">
        <f>'Прил.№4 ведомств.'!I1020</f>
        <v>348.6</v>
      </c>
      <c r="H392" s="7">
        <f>'Прил.№4 ведомств.'!J1020</f>
        <v>463.2</v>
      </c>
      <c r="I392" s="7">
        <f>'Прил.№4 ведомств.'!K1020</f>
        <v>483.2</v>
      </c>
      <c r="J392" s="7">
        <f>'Прил.№4 ведомств.'!L1020</f>
        <v>503.9</v>
      </c>
      <c r="K392" s="7">
        <f>'Прил.№4 ведомств.'!M1020</f>
        <v>463.2</v>
      </c>
      <c r="L392" s="7">
        <f>'Прил.№4 ведомств.'!N1020</f>
        <v>15.1</v>
      </c>
      <c r="M392" s="7">
        <f t="shared" si="208"/>
        <v>3.2599309153713301</v>
      </c>
    </row>
    <row r="393" spans="1:13" ht="63" x14ac:dyDescent="0.25">
      <c r="A393" s="26" t="s">
        <v>1001</v>
      </c>
      <c r="B393" s="21" t="s">
        <v>285</v>
      </c>
      <c r="C393" s="21" t="s">
        <v>266</v>
      </c>
      <c r="D393" s="21" t="s">
        <v>805</v>
      </c>
      <c r="E393" s="21"/>
      <c r="F393" s="7">
        <f>F394</f>
        <v>600</v>
      </c>
      <c r="G393" s="7">
        <f t="shared" ref="G393:L395" si="245">G394</f>
        <v>600</v>
      </c>
      <c r="H393" s="7">
        <f t="shared" si="245"/>
        <v>0</v>
      </c>
      <c r="I393" s="7">
        <f t="shared" si="245"/>
        <v>0</v>
      </c>
      <c r="J393" s="7">
        <f t="shared" si="245"/>
        <v>0</v>
      </c>
      <c r="K393" s="7">
        <f t="shared" si="245"/>
        <v>500</v>
      </c>
      <c r="L393" s="7">
        <f t="shared" si="245"/>
        <v>399</v>
      </c>
      <c r="M393" s="7">
        <f t="shared" si="208"/>
        <v>79.800000000000011</v>
      </c>
    </row>
    <row r="394" spans="1:13" ht="31.5" x14ac:dyDescent="0.25">
      <c r="A394" s="155" t="s">
        <v>804</v>
      </c>
      <c r="B394" s="21" t="s">
        <v>285</v>
      </c>
      <c r="C394" s="21" t="s">
        <v>266</v>
      </c>
      <c r="D394" s="21" t="s">
        <v>806</v>
      </c>
      <c r="E394" s="21"/>
      <c r="F394" s="7">
        <f>F395</f>
        <v>600</v>
      </c>
      <c r="G394" s="7">
        <f t="shared" si="245"/>
        <v>600</v>
      </c>
      <c r="H394" s="7">
        <f t="shared" si="245"/>
        <v>0</v>
      </c>
      <c r="I394" s="7">
        <f t="shared" si="245"/>
        <v>0</v>
      </c>
      <c r="J394" s="7">
        <f t="shared" si="245"/>
        <v>0</v>
      </c>
      <c r="K394" s="7">
        <f t="shared" si="245"/>
        <v>500</v>
      </c>
      <c r="L394" s="7">
        <f t="shared" si="245"/>
        <v>399</v>
      </c>
      <c r="M394" s="7">
        <f t="shared" si="208"/>
        <v>79.800000000000011</v>
      </c>
    </row>
    <row r="395" spans="1:13" ht="31.5" x14ac:dyDescent="0.25">
      <c r="A395" s="26" t="s">
        <v>182</v>
      </c>
      <c r="B395" s="21" t="s">
        <v>285</v>
      </c>
      <c r="C395" s="21" t="s">
        <v>266</v>
      </c>
      <c r="D395" s="21" t="s">
        <v>806</v>
      </c>
      <c r="E395" s="21" t="s">
        <v>183</v>
      </c>
      <c r="F395" s="7">
        <f>F396</f>
        <v>600</v>
      </c>
      <c r="G395" s="7">
        <f t="shared" si="245"/>
        <v>600</v>
      </c>
      <c r="H395" s="7">
        <f t="shared" si="245"/>
        <v>0</v>
      </c>
      <c r="I395" s="7">
        <f t="shared" si="245"/>
        <v>0</v>
      </c>
      <c r="J395" s="7">
        <f t="shared" si="245"/>
        <v>0</v>
      </c>
      <c r="K395" s="7">
        <f t="shared" si="245"/>
        <v>500</v>
      </c>
      <c r="L395" s="7">
        <f t="shared" si="245"/>
        <v>399</v>
      </c>
      <c r="M395" s="7">
        <f t="shared" si="208"/>
        <v>79.800000000000011</v>
      </c>
    </row>
    <row r="396" spans="1:13" ht="47.25" x14ac:dyDescent="0.25">
      <c r="A396" s="26" t="s">
        <v>184</v>
      </c>
      <c r="B396" s="21" t="s">
        <v>285</v>
      </c>
      <c r="C396" s="21" t="s">
        <v>266</v>
      </c>
      <c r="D396" s="21" t="s">
        <v>806</v>
      </c>
      <c r="E396" s="21" t="s">
        <v>185</v>
      </c>
      <c r="F396" s="7">
        <f>'Прил.№4 ведомств.'!G1024</f>
        <v>600</v>
      </c>
      <c r="G396" s="7">
        <f>'Прил.№4 ведомств.'!I1024</f>
        <v>600</v>
      </c>
      <c r="H396" s="7">
        <f>'Прил.№4 ведомств.'!J1024</f>
        <v>0</v>
      </c>
      <c r="I396" s="7">
        <f>'Прил.№4 ведомств.'!K1024</f>
        <v>0</v>
      </c>
      <c r="J396" s="7">
        <f>'Прил.№4 ведомств.'!L1024</f>
        <v>0</v>
      </c>
      <c r="K396" s="7">
        <f>'Прил.№4 ведомств.'!M1024</f>
        <v>500</v>
      </c>
      <c r="L396" s="7">
        <f>'Прил.№4 ведомств.'!N1024</f>
        <v>399</v>
      </c>
      <c r="M396" s="7">
        <f t="shared" si="208"/>
        <v>79.800000000000011</v>
      </c>
    </row>
    <row r="397" spans="1:13" ht="15.75" x14ac:dyDescent="0.25">
      <c r="A397" s="31" t="s">
        <v>172</v>
      </c>
      <c r="B397" s="42" t="s">
        <v>285</v>
      </c>
      <c r="C397" s="42" t="s">
        <v>266</v>
      </c>
      <c r="D397" s="42" t="s">
        <v>173</v>
      </c>
      <c r="E397" s="8"/>
      <c r="F397" s="7">
        <f>F398+F411</f>
        <v>12489.099999999999</v>
      </c>
      <c r="G397" s="7">
        <f t="shared" ref="G397:K397" si="246">G398+G411</f>
        <v>12233.199999999999</v>
      </c>
      <c r="H397" s="7">
        <f t="shared" si="246"/>
        <v>3812.4</v>
      </c>
      <c r="I397" s="7">
        <f t="shared" si="246"/>
        <v>3812.4</v>
      </c>
      <c r="J397" s="7">
        <f t="shared" si="246"/>
        <v>3812.4</v>
      </c>
      <c r="K397" s="7">
        <f t="shared" si="246"/>
        <v>7304.58</v>
      </c>
      <c r="L397" s="7">
        <f t="shared" ref="L397" si="247">L398+L411</f>
        <v>541.9</v>
      </c>
      <c r="M397" s="7">
        <f t="shared" ref="M397:M460" si="248">L397/K397*100</f>
        <v>7.4186332410624569</v>
      </c>
    </row>
    <row r="398" spans="1:13" ht="31.5" x14ac:dyDescent="0.25">
      <c r="A398" s="31" t="s">
        <v>236</v>
      </c>
      <c r="B398" s="42" t="s">
        <v>285</v>
      </c>
      <c r="C398" s="42" t="s">
        <v>266</v>
      </c>
      <c r="D398" s="42" t="s">
        <v>237</v>
      </c>
      <c r="E398" s="8"/>
      <c r="F398" s="7">
        <f>F399+F402+F405+F408</f>
        <v>12033.199999999999</v>
      </c>
      <c r="G398" s="7">
        <f t="shared" ref="G398:K398" si="249">G399+G402+G405+G408</f>
        <v>12033.199999999999</v>
      </c>
      <c r="H398" s="7">
        <f t="shared" si="249"/>
        <v>0</v>
      </c>
      <c r="I398" s="7">
        <f t="shared" si="249"/>
        <v>0</v>
      </c>
      <c r="J398" s="7">
        <f t="shared" si="249"/>
        <v>0</v>
      </c>
      <c r="K398" s="7">
        <f t="shared" si="249"/>
        <v>3809.08</v>
      </c>
      <c r="L398" s="7">
        <f t="shared" ref="L398" si="250">L399+L402+L405+L408</f>
        <v>541.9</v>
      </c>
      <c r="M398" s="7">
        <f t="shared" si="248"/>
        <v>14.226532391023555</v>
      </c>
    </row>
    <row r="399" spans="1:13" ht="35.25" hidden="1" customHeight="1" x14ac:dyDescent="0.25">
      <c r="A399" s="48" t="s">
        <v>613</v>
      </c>
      <c r="B399" s="42" t="s">
        <v>285</v>
      </c>
      <c r="C399" s="42" t="s">
        <v>266</v>
      </c>
      <c r="D399" s="42" t="s">
        <v>614</v>
      </c>
      <c r="E399" s="8"/>
      <c r="F399" s="7">
        <f>F400</f>
        <v>6302.4</v>
      </c>
      <c r="G399" s="7">
        <f t="shared" ref="G399:L400" si="251">G400</f>
        <v>6302.4</v>
      </c>
      <c r="H399" s="7">
        <f t="shared" si="251"/>
        <v>0</v>
      </c>
      <c r="I399" s="7">
        <f t="shared" si="251"/>
        <v>0</v>
      </c>
      <c r="J399" s="7">
        <f t="shared" si="251"/>
        <v>0</v>
      </c>
      <c r="K399" s="7">
        <f t="shared" si="251"/>
        <v>0</v>
      </c>
      <c r="L399" s="7">
        <f t="shared" si="251"/>
        <v>0</v>
      </c>
      <c r="M399" s="7" t="e">
        <f t="shared" si="248"/>
        <v>#DIV/0!</v>
      </c>
    </row>
    <row r="400" spans="1:13" ht="31.5" hidden="1" x14ac:dyDescent="0.25">
      <c r="A400" s="31" t="s">
        <v>182</v>
      </c>
      <c r="B400" s="42" t="s">
        <v>285</v>
      </c>
      <c r="C400" s="42" t="s">
        <v>266</v>
      </c>
      <c r="D400" s="42" t="s">
        <v>614</v>
      </c>
      <c r="E400" s="42" t="s">
        <v>183</v>
      </c>
      <c r="F400" s="7">
        <f>F401</f>
        <v>6302.4</v>
      </c>
      <c r="G400" s="7">
        <f t="shared" si="251"/>
        <v>6302.4</v>
      </c>
      <c r="H400" s="7">
        <f t="shared" si="251"/>
        <v>0</v>
      </c>
      <c r="I400" s="7">
        <f t="shared" si="251"/>
        <v>0</v>
      </c>
      <c r="J400" s="7">
        <f t="shared" si="251"/>
        <v>0</v>
      </c>
      <c r="K400" s="7">
        <f t="shared" si="251"/>
        <v>0</v>
      </c>
      <c r="L400" s="7">
        <f t="shared" si="251"/>
        <v>0</v>
      </c>
      <c r="M400" s="7" t="e">
        <f t="shared" si="248"/>
        <v>#DIV/0!</v>
      </c>
    </row>
    <row r="401" spans="1:13" ht="47.25" hidden="1" x14ac:dyDescent="0.25">
      <c r="A401" s="31" t="s">
        <v>184</v>
      </c>
      <c r="B401" s="42" t="s">
        <v>285</v>
      </c>
      <c r="C401" s="42" t="s">
        <v>266</v>
      </c>
      <c r="D401" s="42" t="s">
        <v>614</v>
      </c>
      <c r="E401" s="42" t="s">
        <v>185</v>
      </c>
      <c r="F401" s="7">
        <f>'Прил.№4 ведомств.'!G1029</f>
        <v>6302.4</v>
      </c>
      <c r="G401" s="7">
        <f>'Прил.№4 ведомств.'!I1029</f>
        <v>6302.4</v>
      </c>
      <c r="H401" s="7">
        <f>'Прил.№4 ведомств.'!J1029</f>
        <v>0</v>
      </c>
      <c r="I401" s="7">
        <f>'Прил.№4 ведомств.'!K1029</f>
        <v>0</v>
      </c>
      <c r="J401" s="7">
        <f>'Прил.№4 ведомств.'!L1029</f>
        <v>0</v>
      </c>
      <c r="K401" s="7">
        <f>'Прил.№4 ведомств.'!M1029</f>
        <v>0</v>
      </c>
      <c r="L401" s="7">
        <f>'Прил.№4 ведомств.'!N1029</f>
        <v>0</v>
      </c>
      <c r="M401" s="7" t="e">
        <f t="shared" si="248"/>
        <v>#DIV/0!</v>
      </c>
    </row>
    <row r="402" spans="1:13" ht="31.5" x14ac:dyDescent="0.25">
      <c r="A402" s="26" t="s">
        <v>771</v>
      </c>
      <c r="B402" s="42" t="s">
        <v>285</v>
      </c>
      <c r="C402" s="42" t="s">
        <v>266</v>
      </c>
      <c r="D402" s="21" t="s">
        <v>772</v>
      </c>
      <c r="E402" s="42"/>
      <c r="F402" s="7">
        <f>F403</f>
        <v>2132</v>
      </c>
      <c r="G402" s="7">
        <f t="shared" ref="G402:L403" si="252">G403</f>
        <v>2132</v>
      </c>
      <c r="H402" s="7">
        <f t="shared" si="252"/>
        <v>0</v>
      </c>
      <c r="I402" s="7">
        <f t="shared" si="252"/>
        <v>0</v>
      </c>
      <c r="J402" s="7">
        <f t="shared" si="252"/>
        <v>0</v>
      </c>
      <c r="K402" s="7">
        <f t="shared" si="252"/>
        <v>2283.88</v>
      </c>
      <c r="L402" s="7">
        <f t="shared" si="252"/>
        <v>541.9</v>
      </c>
      <c r="M402" s="7">
        <f t="shared" si="248"/>
        <v>23.727166050755731</v>
      </c>
    </row>
    <row r="403" spans="1:13" ht="31.5" x14ac:dyDescent="0.25">
      <c r="A403" s="26" t="s">
        <v>182</v>
      </c>
      <c r="B403" s="42" t="s">
        <v>285</v>
      </c>
      <c r="C403" s="42" t="s">
        <v>266</v>
      </c>
      <c r="D403" s="21" t="s">
        <v>772</v>
      </c>
      <c r="E403" s="42" t="s">
        <v>183</v>
      </c>
      <c r="F403" s="7">
        <f>F404</f>
        <v>2132</v>
      </c>
      <c r="G403" s="7">
        <f t="shared" si="252"/>
        <v>2132</v>
      </c>
      <c r="H403" s="7">
        <f t="shared" si="252"/>
        <v>0</v>
      </c>
      <c r="I403" s="7">
        <f t="shared" si="252"/>
        <v>0</v>
      </c>
      <c r="J403" s="7">
        <f t="shared" si="252"/>
        <v>0</v>
      </c>
      <c r="K403" s="7">
        <f t="shared" si="252"/>
        <v>2283.88</v>
      </c>
      <c r="L403" s="7">
        <f t="shared" si="252"/>
        <v>541.9</v>
      </c>
      <c r="M403" s="7">
        <f t="shared" si="248"/>
        <v>23.727166050755731</v>
      </c>
    </row>
    <row r="404" spans="1:13" ht="47.25" x14ac:dyDescent="0.25">
      <c r="A404" s="26" t="s">
        <v>184</v>
      </c>
      <c r="B404" s="42" t="s">
        <v>285</v>
      </c>
      <c r="C404" s="42" t="s">
        <v>266</v>
      </c>
      <c r="D404" s="21" t="s">
        <v>772</v>
      </c>
      <c r="E404" s="42" t="s">
        <v>185</v>
      </c>
      <c r="F404" s="7">
        <f>'Прил.№4 ведомств.'!G1032</f>
        <v>2132</v>
      </c>
      <c r="G404" s="7">
        <f>'Прил.№4 ведомств.'!I1032</f>
        <v>2132</v>
      </c>
      <c r="H404" s="7">
        <f>'Прил.№4 ведомств.'!J1032</f>
        <v>0</v>
      </c>
      <c r="I404" s="7">
        <f>'Прил.№4 ведомств.'!K1032</f>
        <v>0</v>
      </c>
      <c r="J404" s="7">
        <f>'Прил.№4 ведомств.'!L1032</f>
        <v>0</v>
      </c>
      <c r="K404" s="7">
        <f>'Прил.№4 ведомств.'!M1032</f>
        <v>2283.88</v>
      </c>
      <c r="L404" s="7">
        <f>'Прил.№4 ведомств.'!N1032</f>
        <v>541.9</v>
      </c>
      <c r="M404" s="7">
        <f t="shared" si="248"/>
        <v>23.727166050755731</v>
      </c>
    </row>
    <row r="405" spans="1:13" ht="47.25" hidden="1" x14ac:dyDescent="0.25">
      <c r="A405" s="26" t="s">
        <v>773</v>
      </c>
      <c r="B405" s="42" t="s">
        <v>285</v>
      </c>
      <c r="C405" s="42" t="s">
        <v>266</v>
      </c>
      <c r="D405" s="42" t="s">
        <v>615</v>
      </c>
      <c r="E405" s="42"/>
      <c r="F405" s="7">
        <f>F406</f>
        <v>2000</v>
      </c>
      <c r="G405" s="7">
        <f t="shared" ref="G405:L406" si="253">G406</f>
        <v>2000</v>
      </c>
      <c r="H405" s="7">
        <f t="shared" si="253"/>
        <v>0</v>
      </c>
      <c r="I405" s="7">
        <f t="shared" si="253"/>
        <v>0</v>
      </c>
      <c r="J405" s="7">
        <f t="shared" si="253"/>
        <v>0</v>
      </c>
      <c r="K405" s="7">
        <f t="shared" si="253"/>
        <v>0</v>
      </c>
      <c r="L405" s="7">
        <f t="shared" si="253"/>
        <v>0</v>
      </c>
      <c r="M405" s="7" t="e">
        <f t="shared" si="248"/>
        <v>#DIV/0!</v>
      </c>
    </row>
    <row r="406" spans="1:13" ht="31.5" hidden="1" x14ac:dyDescent="0.25">
      <c r="A406" s="31" t="s">
        <v>182</v>
      </c>
      <c r="B406" s="42" t="s">
        <v>285</v>
      </c>
      <c r="C406" s="42" t="s">
        <v>266</v>
      </c>
      <c r="D406" s="42" t="s">
        <v>615</v>
      </c>
      <c r="E406" s="42" t="s">
        <v>183</v>
      </c>
      <c r="F406" s="7">
        <f>F407</f>
        <v>2000</v>
      </c>
      <c r="G406" s="7">
        <f t="shared" si="253"/>
        <v>2000</v>
      </c>
      <c r="H406" s="7">
        <f t="shared" si="253"/>
        <v>0</v>
      </c>
      <c r="I406" s="7">
        <f t="shared" si="253"/>
        <v>0</v>
      </c>
      <c r="J406" s="7">
        <f t="shared" si="253"/>
        <v>0</v>
      </c>
      <c r="K406" s="7">
        <f t="shared" si="253"/>
        <v>0</v>
      </c>
      <c r="L406" s="7">
        <f t="shared" si="253"/>
        <v>0</v>
      </c>
      <c r="M406" s="7" t="e">
        <f t="shared" si="248"/>
        <v>#DIV/0!</v>
      </c>
    </row>
    <row r="407" spans="1:13" ht="47.25" hidden="1" x14ac:dyDescent="0.25">
      <c r="A407" s="31" t="s">
        <v>184</v>
      </c>
      <c r="B407" s="42" t="s">
        <v>285</v>
      </c>
      <c r="C407" s="42" t="s">
        <v>266</v>
      </c>
      <c r="D407" s="42" t="s">
        <v>615</v>
      </c>
      <c r="E407" s="42" t="s">
        <v>185</v>
      </c>
      <c r="F407" s="7">
        <f>'Прил.№4 ведомств.'!G1035</f>
        <v>2000</v>
      </c>
      <c r="G407" s="7">
        <f>'Прил.№4 ведомств.'!I1035</f>
        <v>2000</v>
      </c>
      <c r="H407" s="7">
        <f>'Прил.№4 ведомств.'!J1035</f>
        <v>0</v>
      </c>
      <c r="I407" s="7">
        <f>'Прил.№4 ведомств.'!K1035</f>
        <v>0</v>
      </c>
      <c r="J407" s="7">
        <f>'Прил.№4 ведомств.'!L1035</f>
        <v>0</v>
      </c>
      <c r="K407" s="7">
        <f>'Прил.№4 ведомств.'!M1035</f>
        <v>0</v>
      </c>
      <c r="L407" s="7">
        <f>'Прил.№4 ведомств.'!N1035</f>
        <v>0</v>
      </c>
      <c r="M407" s="7" t="e">
        <f t="shared" si="248"/>
        <v>#DIV/0!</v>
      </c>
    </row>
    <row r="408" spans="1:13" ht="53.25" customHeight="1" x14ac:dyDescent="0.25">
      <c r="A408" s="26" t="s">
        <v>774</v>
      </c>
      <c r="B408" s="42" t="s">
        <v>285</v>
      </c>
      <c r="C408" s="42" t="s">
        <v>266</v>
      </c>
      <c r="D408" s="21" t="s">
        <v>775</v>
      </c>
      <c r="E408" s="42"/>
      <c r="F408" s="7">
        <f>F409</f>
        <v>1598.8</v>
      </c>
      <c r="G408" s="7">
        <f t="shared" ref="G408:L409" si="254">G409</f>
        <v>1598.8</v>
      </c>
      <c r="H408" s="7">
        <f t="shared" si="254"/>
        <v>0</v>
      </c>
      <c r="I408" s="7">
        <f t="shared" si="254"/>
        <v>0</v>
      </c>
      <c r="J408" s="7">
        <f t="shared" si="254"/>
        <v>0</v>
      </c>
      <c r="K408" s="7">
        <f t="shared" si="254"/>
        <v>1525.2</v>
      </c>
      <c r="L408" s="7">
        <f t="shared" si="254"/>
        <v>0</v>
      </c>
      <c r="M408" s="7">
        <f t="shared" si="248"/>
        <v>0</v>
      </c>
    </row>
    <row r="409" spans="1:13" ht="31.5" x14ac:dyDescent="0.25">
      <c r="A409" s="26" t="s">
        <v>182</v>
      </c>
      <c r="B409" s="42" t="s">
        <v>285</v>
      </c>
      <c r="C409" s="42" t="s">
        <v>266</v>
      </c>
      <c r="D409" s="21" t="s">
        <v>775</v>
      </c>
      <c r="E409" s="42" t="s">
        <v>183</v>
      </c>
      <c r="F409" s="7">
        <f>F410</f>
        <v>1598.8</v>
      </c>
      <c r="G409" s="7">
        <f t="shared" si="254"/>
        <v>1598.8</v>
      </c>
      <c r="H409" s="7">
        <f t="shared" si="254"/>
        <v>0</v>
      </c>
      <c r="I409" s="7">
        <f t="shared" si="254"/>
        <v>0</v>
      </c>
      <c r="J409" s="7">
        <f t="shared" si="254"/>
        <v>0</v>
      </c>
      <c r="K409" s="7">
        <f t="shared" si="254"/>
        <v>1525.2</v>
      </c>
      <c r="L409" s="7">
        <f t="shared" si="254"/>
        <v>0</v>
      </c>
      <c r="M409" s="7">
        <f t="shared" si="248"/>
        <v>0</v>
      </c>
    </row>
    <row r="410" spans="1:13" ht="47.25" x14ac:dyDescent="0.25">
      <c r="A410" s="26" t="s">
        <v>184</v>
      </c>
      <c r="B410" s="42" t="s">
        <v>285</v>
      </c>
      <c r="C410" s="42" t="s">
        <v>266</v>
      </c>
      <c r="D410" s="21" t="s">
        <v>775</v>
      </c>
      <c r="E410" s="42" t="s">
        <v>185</v>
      </c>
      <c r="F410" s="7">
        <f>'Прил.№4 ведомств.'!G1038</f>
        <v>1598.8</v>
      </c>
      <c r="G410" s="7">
        <f>'Прил.№4 ведомств.'!I1038</f>
        <v>1598.8</v>
      </c>
      <c r="H410" s="7">
        <f>'Прил.№4 ведомств.'!J1038</f>
        <v>0</v>
      </c>
      <c r="I410" s="7">
        <f>'Прил.№4 ведомств.'!K1038</f>
        <v>0</v>
      </c>
      <c r="J410" s="7">
        <f>'Прил.№4 ведомств.'!L1038</f>
        <v>0</v>
      </c>
      <c r="K410" s="7">
        <f>'Прил.№4 ведомств.'!M1038</f>
        <v>1525.2</v>
      </c>
      <c r="L410" s="7">
        <f>'Прил.№4 ведомств.'!N1038</f>
        <v>0</v>
      </c>
      <c r="M410" s="7">
        <f t="shared" si="248"/>
        <v>0</v>
      </c>
    </row>
    <row r="411" spans="1:13" ht="15.75" x14ac:dyDescent="0.25">
      <c r="A411" s="31" t="s">
        <v>192</v>
      </c>
      <c r="B411" s="42" t="s">
        <v>285</v>
      </c>
      <c r="C411" s="42" t="s">
        <v>266</v>
      </c>
      <c r="D411" s="42" t="s">
        <v>193</v>
      </c>
      <c r="E411" s="8"/>
      <c r="F411" s="7">
        <f>F412+F415</f>
        <v>455.9</v>
      </c>
      <c r="G411" s="7">
        <f t="shared" ref="G411:J411" si="255">G412+G415</f>
        <v>200</v>
      </c>
      <c r="H411" s="7">
        <f t="shared" si="255"/>
        <v>3812.4</v>
      </c>
      <c r="I411" s="7">
        <f t="shared" si="255"/>
        <v>3812.4</v>
      </c>
      <c r="J411" s="7">
        <f t="shared" si="255"/>
        <v>3812.4</v>
      </c>
      <c r="K411" s="7">
        <f>K412+K415+K418</f>
        <v>3495.5</v>
      </c>
      <c r="L411" s="7">
        <f t="shared" ref="L411" si="256">L412+L415+L418</f>
        <v>0</v>
      </c>
      <c r="M411" s="7">
        <f t="shared" si="248"/>
        <v>0</v>
      </c>
    </row>
    <row r="412" spans="1:13" ht="15.75" x14ac:dyDescent="0.25">
      <c r="A412" s="47" t="s">
        <v>655</v>
      </c>
      <c r="B412" s="42" t="s">
        <v>285</v>
      </c>
      <c r="C412" s="42" t="s">
        <v>266</v>
      </c>
      <c r="D412" s="42" t="s">
        <v>617</v>
      </c>
      <c r="E412" s="42"/>
      <c r="F412" s="7">
        <f>F413</f>
        <v>455.9</v>
      </c>
      <c r="G412" s="7">
        <f t="shared" ref="G412:L413" si="257">G413</f>
        <v>200</v>
      </c>
      <c r="H412" s="7">
        <f t="shared" si="257"/>
        <v>462.1</v>
      </c>
      <c r="I412" s="7">
        <f t="shared" si="257"/>
        <v>462.1</v>
      </c>
      <c r="J412" s="7">
        <f t="shared" si="257"/>
        <v>462.1</v>
      </c>
      <c r="K412" s="7">
        <f t="shared" si="257"/>
        <v>390</v>
      </c>
      <c r="L412" s="7">
        <f t="shared" si="257"/>
        <v>0</v>
      </c>
      <c r="M412" s="7">
        <f t="shared" si="248"/>
        <v>0</v>
      </c>
    </row>
    <row r="413" spans="1:13" ht="31.5" x14ac:dyDescent="0.25">
      <c r="A413" s="31" t="s">
        <v>182</v>
      </c>
      <c r="B413" s="42" t="s">
        <v>285</v>
      </c>
      <c r="C413" s="42" t="s">
        <v>266</v>
      </c>
      <c r="D413" s="42" t="s">
        <v>617</v>
      </c>
      <c r="E413" s="42" t="s">
        <v>183</v>
      </c>
      <c r="F413" s="7">
        <f>F414</f>
        <v>455.9</v>
      </c>
      <c r="G413" s="7">
        <f t="shared" si="257"/>
        <v>200</v>
      </c>
      <c r="H413" s="7">
        <f t="shared" si="257"/>
        <v>462.1</v>
      </c>
      <c r="I413" s="7">
        <f t="shared" si="257"/>
        <v>462.1</v>
      </c>
      <c r="J413" s="7">
        <f t="shared" si="257"/>
        <v>462.1</v>
      </c>
      <c r="K413" s="7">
        <f t="shared" si="257"/>
        <v>390</v>
      </c>
      <c r="L413" s="7">
        <f t="shared" si="257"/>
        <v>0</v>
      </c>
      <c r="M413" s="7">
        <f t="shared" si="248"/>
        <v>0</v>
      </c>
    </row>
    <row r="414" spans="1:13" ht="47.25" x14ac:dyDescent="0.25">
      <c r="A414" s="31" t="s">
        <v>184</v>
      </c>
      <c r="B414" s="42" t="s">
        <v>285</v>
      </c>
      <c r="C414" s="42" t="s">
        <v>266</v>
      </c>
      <c r="D414" s="42" t="s">
        <v>617</v>
      </c>
      <c r="E414" s="42" t="s">
        <v>185</v>
      </c>
      <c r="F414" s="7">
        <f>'Прил.№4 ведомств.'!G1042</f>
        <v>455.9</v>
      </c>
      <c r="G414" s="7">
        <f>'Прил.№4 ведомств.'!I1042</f>
        <v>200</v>
      </c>
      <c r="H414" s="7">
        <f>'Прил.№4 ведомств.'!J1042</f>
        <v>462.1</v>
      </c>
      <c r="I414" s="7">
        <f>'Прил.№4 ведомств.'!K1042</f>
        <v>462.1</v>
      </c>
      <c r="J414" s="7">
        <f>'Прил.№4 ведомств.'!L1042</f>
        <v>462.1</v>
      </c>
      <c r="K414" s="7">
        <f>'Прил.№4 ведомств.'!M1042</f>
        <v>390</v>
      </c>
      <c r="L414" s="7">
        <f>'Прил.№4 ведомств.'!N1042</f>
        <v>0</v>
      </c>
      <c r="M414" s="7">
        <f t="shared" si="248"/>
        <v>0</v>
      </c>
    </row>
    <row r="415" spans="1:13" ht="15.75" hidden="1" customHeight="1" x14ac:dyDescent="0.25">
      <c r="A415" s="31" t="s">
        <v>618</v>
      </c>
      <c r="B415" s="42" t="s">
        <v>285</v>
      </c>
      <c r="C415" s="42" t="s">
        <v>266</v>
      </c>
      <c r="D415" s="42" t="s">
        <v>619</v>
      </c>
      <c r="E415" s="8"/>
      <c r="F415" s="7">
        <f>F416</f>
        <v>0</v>
      </c>
      <c r="G415" s="7">
        <f t="shared" ref="G415:L416" si="258">G416</f>
        <v>0</v>
      </c>
      <c r="H415" s="7">
        <f t="shared" si="258"/>
        <v>3350.3</v>
      </c>
      <c r="I415" s="7">
        <f t="shared" si="258"/>
        <v>3350.3</v>
      </c>
      <c r="J415" s="7">
        <f t="shared" si="258"/>
        <v>3350.3</v>
      </c>
      <c r="K415" s="7">
        <f t="shared" si="258"/>
        <v>0</v>
      </c>
      <c r="L415" s="7">
        <f t="shared" si="258"/>
        <v>0</v>
      </c>
      <c r="M415" s="7" t="e">
        <f t="shared" si="248"/>
        <v>#DIV/0!</v>
      </c>
    </row>
    <row r="416" spans="1:13" ht="15.75" hidden="1" customHeight="1" x14ac:dyDescent="0.25">
      <c r="A416" s="31" t="s">
        <v>186</v>
      </c>
      <c r="B416" s="42" t="s">
        <v>285</v>
      </c>
      <c r="C416" s="42" t="s">
        <v>266</v>
      </c>
      <c r="D416" s="42" t="s">
        <v>619</v>
      </c>
      <c r="E416" s="42" t="s">
        <v>196</v>
      </c>
      <c r="F416" s="7">
        <f>F417</f>
        <v>0</v>
      </c>
      <c r="G416" s="7">
        <f t="shared" si="258"/>
        <v>0</v>
      </c>
      <c r="H416" s="7">
        <f t="shared" si="258"/>
        <v>3350.3</v>
      </c>
      <c r="I416" s="7">
        <f t="shared" si="258"/>
        <v>3350.3</v>
      </c>
      <c r="J416" s="7">
        <f t="shared" si="258"/>
        <v>3350.3</v>
      </c>
      <c r="K416" s="7">
        <f t="shared" si="258"/>
        <v>0</v>
      </c>
      <c r="L416" s="7">
        <f t="shared" si="258"/>
        <v>0</v>
      </c>
      <c r="M416" s="7" t="e">
        <f t="shared" si="248"/>
        <v>#DIV/0!</v>
      </c>
    </row>
    <row r="417" spans="1:13" ht="15.75" hidden="1" customHeight="1" x14ac:dyDescent="0.25">
      <c r="A417" s="31" t="s">
        <v>620</v>
      </c>
      <c r="B417" s="42" t="s">
        <v>285</v>
      </c>
      <c r="C417" s="42" t="s">
        <v>266</v>
      </c>
      <c r="D417" s="42" t="s">
        <v>619</v>
      </c>
      <c r="E417" s="42" t="s">
        <v>189</v>
      </c>
      <c r="F417" s="7">
        <f>'Прил.№4 ведомств.'!G1045</f>
        <v>0</v>
      </c>
      <c r="G417" s="7">
        <f>'Прил.№4 ведомств.'!I1045</f>
        <v>0</v>
      </c>
      <c r="H417" s="7">
        <f>'Прил.№4 ведомств.'!J1045</f>
        <v>3350.3</v>
      </c>
      <c r="I417" s="7">
        <f>'Прил.№4 ведомств.'!K1045</f>
        <v>3350.3</v>
      </c>
      <c r="J417" s="7">
        <f>'Прил.№4 ведомств.'!L1045</f>
        <v>3350.3</v>
      </c>
      <c r="K417" s="7">
        <f>'Прил.№4 ведомств.'!M1045</f>
        <v>0</v>
      </c>
      <c r="L417" s="7">
        <f>'Прил.№4 ведомств.'!N1045</f>
        <v>0</v>
      </c>
      <c r="M417" s="7" t="e">
        <f t="shared" si="248"/>
        <v>#DIV/0!</v>
      </c>
    </row>
    <row r="418" spans="1:13" s="1" customFormat="1" ht="63" x14ac:dyDescent="0.25">
      <c r="A418" s="26" t="s">
        <v>994</v>
      </c>
      <c r="B418" s="42" t="s">
        <v>285</v>
      </c>
      <c r="C418" s="42" t="s">
        <v>266</v>
      </c>
      <c r="D418" s="42" t="s">
        <v>995</v>
      </c>
      <c r="E418" s="42"/>
      <c r="F418" s="7"/>
      <c r="G418" s="7"/>
      <c r="H418" s="7"/>
      <c r="I418" s="7"/>
      <c r="J418" s="7"/>
      <c r="K418" s="7">
        <f>K419</f>
        <v>3105.5</v>
      </c>
      <c r="L418" s="7">
        <f t="shared" ref="L418:L419" si="259">L419</f>
        <v>0</v>
      </c>
      <c r="M418" s="7">
        <f t="shared" si="248"/>
        <v>0</v>
      </c>
    </row>
    <row r="419" spans="1:13" ht="15.75" customHeight="1" x14ac:dyDescent="0.25">
      <c r="A419" s="31" t="s">
        <v>182</v>
      </c>
      <c r="B419" s="42" t="s">
        <v>285</v>
      </c>
      <c r="C419" s="42" t="s">
        <v>266</v>
      </c>
      <c r="D419" s="42" t="s">
        <v>995</v>
      </c>
      <c r="E419" s="42" t="s">
        <v>183</v>
      </c>
      <c r="F419" s="7"/>
      <c r="G419" s="7"/>
      <c r="H419" s="7"/>
      <c r="I419" s="7"/>
      <c r="J419" s="7"/>
      <c r="K419" s="7">
        <f>K420</f>
        <v>3105.5</v>
      </c>
      <c r="L419" s="7">
        <f t="shared" si="259"/>
        <v>0</v>
      </c>
      <c r="M419" s="7">
        <f t="shared" si="248"/>
        <v>0</v>
      </c>
    </row>
    <row r="420" spans="1:13" ht="15.75" customHeight="1" x14ac:dyDescent="0.25">
      <c r="A420" s="31" t="s">
        <v>184</v>
      </c>
      <c r="B420" s="42" t="s">
        <v>285</v>
      </c>
      <c r="C420" s="42" t="s">
        <v>266</v>
      </c>
      <c r="D420" s="42" t="s">
        <v>995</v>
      </c>
      <c r="E420" s="42" t="s">
        <v>185</v>
      </c>
      <c r="F420" s="7"/>
      <c r="G420" s="7"/>
      <c r="H420" s="7"/>
      <c r="I420" s="7"/>
      <c r="J420" s="7"/>
      <c r="K420" s="7">
        <f>'Прил.№4 ведомств.'!M1048</f>
        <v>3105.5</v>
      </c>
      <c r="L420" s="7">
        <f>'Прил.№4 ведомств.'!N1048</f>
        <v>0</v>
      </c>
      <c r="M420" s="7">
        <f t="shared" si="248"/>
        <v>0</v>
      </c>
    </row>
    <row r="421" spans="1:13" ht="31.5" x14ac:dyDescent="0.25">
      <c r="A421" s="43" t="s">
        <v>621</v>
      </c>
      <c r="B421" s="8" t="s">
        <v>285</v>
      </c>
      <c r="C421" s="8" t="s">
        <v>285</v>
      </c>
      <c r="D421" s="8"/>
      <c r="E421" s="8"/>
      <c r="F421" s="4">
        <f>F422</f>
        <v>21124.699999999997</v>
      </c>
      <c r="G421" s="4">
        <f t="shared" ref="G421:L421" si="260">G422</f>
        <v>21588.805882352943</v>
      </c>
      <c r="H421" s="4">
        <f t="shared" si="260"/>
        <v>24391.9</v>
      </c>
      <c r="I421" s="4">
        <f t="shared" si="260"/>
        <v>24520.199999999997</v>
      </c>
      <c r="J421" s="4">
        <f t="shared" si="260"/>
        <v>24626.1</v>
      </c>
      <c r="K421" s="4">
        <f t="shared" si="260"/>
        <v>23092.400000000001</v>
      </c>
      <c r="L421" s="4">
        <f t="shared" si="260"/>
        <v>14935.900000000001</v>
      </c>
      <c r="M421" s="4">
        <f t="shared" si="248"/>
        <v>64.678855380991152</v>
      </c>
    </row>
    <row r="422" spans="1:13" ht="15.75" x14ac:dyDescent="0.25">
      <c r="A422" s="31" t="s">
        <v>172</v>
      </c>
      <c r="B422" s="42" t="s">
        <v>285</v>
      </c>
      <c r="C422" s="42" t="s">
        <v>285</v>
      </c>
      <c r="D422" s="42" t="s">
        <v>173</v>
      </c>
      <c r="E422" s="42"/>
      <c r="F422" s="7">
        <f>F431+F423</f>
        <v>21124.699999999997</v>
      </c>
      <c r="G422" s="7">
        <f t="shared" ref="G422:K422" si="261">G431+G423</f>
        <v>21588.805882352943</v>
      </c>
      <c r="H422" s="7">
        <f t="shared" si="261"/>
        <v>24391.9</v>
      </c>
      <c r="I422" s="7">
        <f t="shared" si="261"/>
        <v>24520.199999999997</v>
      </c>
      <c r="J422" s="7">
        <f t="shared" si="261"/>
        <v>24626.1</v>
      </c>
      <c r="K422" s="7">
        <f t="shared" si="261"/>
        <v>23092.400000000001</v>
      </c>
      <c r="L422" s="7">
        <f t="shared" ref="L422" si="262">L431+L423</f>
        <v>14935.900000000001</v>
      </c>
      <c r="M422" s="7">
        <f t="shared" si="248"/>
        <v>64.678855380991152</v>
      </c>
    </row>
    <row r="423" spans="1:13" ht="31.5" x14ac:dyDescent="0.25">
      <c r="A423" s="31" t="s">
        <v>174</v>
      </c>
      <c r="B423" s="42" t="s">
        <v>285</v>
      </c>
      <c r="C423" s="42" t="s">
        <v>285</v>
      </c>
      <c r="D423" s="42" t="s">
        <v>175</v>
      </c>
      <c r="E423" s="42"/>
      <c r="F423" s="7">
        <f>F424</f>
        <v>12441.3</v>
      </c>
      <c r="G423" s="7">
        <f t="shared" ref="G423:L423" si="263">G424</f>
        <v>12947.405882352941</v>
      </c>
      <c r="H423" s="7">
        <f t="shared" si="263"/>
        <v>15665.4</v>
      </c>
      <c r="I423" s="7">
        <f t="shared" si="263"/>
        <v>15665.4</v>
      </c>
      <c r="J423" s="7">
        <f t="shared" si="263"/>
        <v>15665.4</v>
      </c>
      <c r="K423" s="7">
        <f t="shared" si="263"/>
        <v>12626.9</v>
      </c>
      <c r="L423" s="7">
        <f t="shared" si="263"/>
        <v>9102.3000000000011</v>
      </c>
      <c r="M423" s="7">
        <f t="shared" si="248"/>
        <v>72.086577069589538</v>
      </c>
    </row>
    <row r="424" spans="1:13" ht="31.5" x14ac:dyDescent="0.25">
      <c r="A424" s="31" t="s">
        <v>656</v>
      </c>
      <c r="B424" s="42" t="s">
        <v>285</v>
      </c>
      <c r="C424" s="42" t="s">
        <v>285</v>
      </c>
      <c r="D424" s="42" t="s">
        <v>177</v>
      </c>
      <c r="E424" s="42"/>
      <c r="F424" s="7">
        <f>F425+F427+F429</f>
        <v>12441.3</v>
      </c>
      <c r="G424" s="7">
        <f t="shared" ref="G424:K424" si="264">G425+G427+G429</f>
        <v>12947.405882352941</v>
      </c>
      <c r="H424" s="7">
        <f t="shared" si="264"/>
        <v>15665.4</v>
      </c>
      <c r="I424" s="7">
        <f t="shared" si="264"/>
        <v>15665.4</v>
      </c>
      <c r="J424" s="7">
        <f t="shared" si="264"/>
        <v>15665.4</v>
      </c>
      <c r="K424" s="7">
        <f t="shared" si="264"/>
        <v>12626.9</v>
      </c>
      <c r="L424" s="7">
        <f t="shared" ref="L424" si="265">L425+L427+L429</f>
        <v>9102.3000000000011</v>
      </c>
      <c r="M424" s="7">
        <f t="shared" si="248"/>
        <v>72.086577069589538</v>
      </c>
    </row>
    <row r="425" spans="1:13" ht="87.75" customHeight="1" x14ac:dyDescent="0.25">
      <c r="A425" s="31" t="s">
        <v>178</v>
      </c>
      <c r="B425" s="42" t="s">
        <v>285</v>
      </c>
      <c r="C425" s="42" t="s">
        <v>285</v>
      </c>
      <c r="D425" s="42" t="s">
        <v>177</v>
      </c>
      <c r="E425" s="42" t="s">
        <v>179</v>
      </c>
      <c r="F425" s="63">
        <f>F426</f>
        <v>12267.4</v>
      </c>
      <c r="G425" s="63">
        <f t="shared" ref="G425:L425" si="266">G426</f>
        <v>12773.505882352942</v>
      </c>
      <c r="H425" s="63">
        <f t="shared" si="266"/>
        <v>15284</v>
      </c>
      <c r="I425" s="63">
        <f t="shared" si="266"/>
        <v>15284</v>
      </c>
      <c r="J425" s="63">
        <f t="shared" si="266"/>
        <v>15284</v>
      </c>
      <c r="K425" s="63">
        <f t="shared" si="266"/>
        <v>12500.4</v>
      </c>
      <c r="L425" s="63">
        <f t="shared" si="266"/>
        <v>9075.9</v>
      </c>
      <c r="M425" s="7">
        <f t="shared" si="248"/>
        <v>72.604876643947392</v>
      </c>
    </row>
    <row r="426" spans="1:13" ht="31.5" x14ac:dyDescent="0.25">
      <c r="A426" s="31" t="s">
        <v>180</v>
      </c>
      <c r="B426" s="42" t="s">
        <v>285</v>
      </c>
      <c r="C426" s="42" t="s">
        <v>285</v>
      </c>
      <c r="D426" s="42" t="s">
        <v>177</v>
      </c>
      <c r="E426" s="42" t="s">
        <v>181</v>
      </c>
      <c r="F426" s="63">
        <f>'Прил.№4 ведомств.'!G1054</f>
        <v>12267.4</v>
      </c>
      <c r="G426" s="63">
        <f>'Прил.№4 ведомств.'!I1054</f>
        <v>12773.505882352942</v>
      </c>
      <c r="H426" s="63">
        <f>'Прил.№4 ведомств.'!J1054</f>
        <v>15284</v>
      </c>
      <c r="I426" s="63">
        <f>'Прил.№4 ведомств.'!K1054</f>
        <v>15284</v>
      </c>
      <c r="J426" s="63">
        <f>'Прил.№4 ведомств.'!L1054</f>
        <v>15284</v>
      </c>
      <c r="K426" s="63">
        <f>'Прил.№4 ведомств.'!M1054</f>
        <v>12500.4</v>
      </c>
      <c r="L426" s="63">
        <f>'Прил.№4 ведомств.'!N1054</f>
        <v>9075.9</v>
      </c>
      <c r="M426" s="7">
        <f t="shared" si="248"/>
        <v>72.604876643947392</v>
      </c>
    </row>
    <row r="427" spans="1:13" ht="31.5" x14ac:dyDescent="0.25">
      <c r="A427" s="31" t="s">
        <v>182</v>
      </c>
      <c r="B427" s="42" t="s">
        <v>285</v>
      </c>
      <c r="C427" s="42" t="s">
        <v>285</v>
      </c>
      <c r="D427" s="42" t="s">
        <v>177</v>
      </c>
      <c r="E427" s="42" t="s">
        <v>183</v>
      </c>
      <c r="F427" s="63">
        <f>F428</f>
        <v>25</v>
      </c>
      <c r="G427" s="63">
        <f t="shared" ref="G427:L427" si="267">G428</f>
        <v>25</v>
      </c>
      <c r="H427" s="63">
        <f t="shared" si="267"/>
        <v>232.49999999999997</v>
      </c>
      <c r="I427" s="63">
        <f t="shared" si="267"/>
        <v>232.49999999999997</v>
      </c>
      <c r="J427" s="63">
        <f t="shared" si="267"/>
        <v>232.49999999999997</v>
      </c>
      <c r="K427" s="63">
        <f t="shared" si="267"/>
        <v>25.7</v>
      </c>
      <c r="L427" s="63">
        <f t="shared" si="267"/>
        <v>25.7</v>
      </c>
      <c r="M427" s="7">
        <f t="shared" si="248"/>
        <v>100</v>
      </c>
    </row>
    <row r="428" spans="1:13" ht="47.25" x14ac:dyDescent="0.25">
      <c r="A428" s="31" t="s">
        <v>184</v>
      </c>
      <c r="B428" s="42" t="s">
        <v>285</v>
      </c>
      <c r="C428" s="42" t="s">
        <v>285</v>
      </c>
      <c r="D428" s="42" t="s">
        <v>177</v>
      </c>
      <c r="E428" s="42" t="s">
        <v>185</v>
      </c>
      <c r="F428" s="63">
        <f>'Прил.№4 ведомств.'!G1056</f>
        <v>25</v>
      </c>
      <c r="G428" s="63">
        <f>'Прил.№4 ведомств.'!I1056</f>
        <v>25</v>
      </c>
      <c r="H428" s="63">
        <f>'Прил.№4 ведомств.'!J1056</f>
        <v>232.49999999999997</v>
      </c>
      <c r="I428" s="63">
        <f>'Прил.№4 ведомств.'!K1056</f>
        <v>232.49999999999997</v>
      </c>
      <c r="J428" s="63">
        <f>'Прил.№4 ведомств.'!L1056</f>
        <v>232.49999999999997</v>
      </c>
      <c r="K428" s="63">
        <f>'Прил.№4 ведомств.'!M1056</f>
        <v>25.7</v>
      </c>
      <c r="L428" s="63">
        <f>'Прил.№4 ведомств.'!N1056</f>
        <v>25.7</v>
      </c>
      <c r="M428" s="7">
        <f t="shared" si="248"/>
        <v>100</v>
      </c>
    </row>
    <row r="429" spans="1:13" ht="15.75" x14ac:dyDescent="0.25">
      <c r="A429" s="31" t="s">
        <v>186</v>
      </c>
      <c r="B429" s="42" t="s">
        <v>285</v>
      </c>
      <c r="C429" s="42" t="s">
        <v>285</v>
      </c>
      <c r="D429" s="42" t="s">
        <v>177</v>
      </c>
      <c r="E429" s="42" t="s">
        <v>196</v>
      </c>
      <c r="F429" s="63">
        <f>F430</f>
        <v>148.9</v>
      </c>
      <c r="G429" s="63">
        <f t="shared" ref="G429:L429" si="268">G430</f>
        <v>148.9</v>
      </c>
      <c r="H429" s="63">
        <f t="shared" si="268"/>
        <v>148.9</v>
      </c>
      <c r="I429" s="63">
        <f t="shared" si="268"/>
        <v>148.9</v>
      </c>
      <c r="J429" s="63">
        <f t="shared" si="268"/>
        <v>148.9</v>
      </c>
      <c r="K429" s="63">
        <f t="shared" si="268"/>
        <v>100.8</v>
      </c>
      <c r="L429" s="63">
        <f t="shared" si="268"/>
        <v>0.7</v>
      </c>
      <c r="M429" s="7">
        <f t="shared" si="248"/>
        <v>0.69444444444444442</v>
      </c>
    </row>
    <row r="430" spans="1:13" ht="15.75" x14ac:dyDescent="0.25">
      <c r="A430" s="31" t="s">
        <v>620</v>
      </c>
      <c r="B430" s="42" t="s">
        <v>285</v>
      </c>
      <c r="C430" s="42" t="s">
        <v>285</v>
      </c>
      <c r="D430" s="42" t="s">
        <v>177</v>
      </c>
      <c r="E430" s="42" t="s">
        <v>189</v>
      </c>
      <c r="F430" s="63">
        <f>'Прил.№4 ведомств.'!G1058</f>
        <v>148.9</v>
      </c>
      <c r="G430" s="63">
        <f>'Прил.№4 ведомств.'!I1058</f>
        <v>148.9</v>
      </c>
      <c r="H430" s="63">
        <f>'Прил.№4 ведомств.'!J1058</f>
        <v>148.9</v>
      </c>
      <c r="I430" s="63">
        <f>'Прил.№4 ведомств.'!K1058</f>
        <v>148.9</v>
      </c>
      <c r="J430" s="63">
        <f>'Прил.№4 ведомств.'!L1058</f>
        <v>148.9</v>
      </c>
      <c r="K430" s="63">
        <f>'Прил.№4 ведомств.'!M1058</f>
        <v>100.8</v>
      </c>
      <c r="L430" s="63">
        <f>'Прил.№4 ведомств.'!N1058</f>
        <v>0.7</v>
      </c>
      <c r="M430" s="7">
        <f t="shared" si="248"/>
        <v>0.69444444444444442</v>
      </c>
    </row>
    <row r="431" spans="1:13" ht="15.75" x14ac:dyDescent="0.25">
      <c r="A431" s="31" t="s">
        <v>192</v>
      </c>
      <c r="B431" s="42" t="s">
        <v>285</v>
      </c>
      <c r="C431" s="42" t="s">
        <v>285</v>
      </c>
      <c r="D431" s="42" t="s">
        <v>193</v>
      </c>
      <c r="E431" s="42"/>
      <c r="F431" s="7">
        <f>F432+F435</f>
        <v>8683.4</v>
      </c>
      <c r="G431" s="7">
        <f t="shared" ref="G431:K431" si="269">G432+G435</f>
        <v>8641.4</v>
      </c>
      <c r="H431" s="7">
        <f t="shared" si="269"/>
        <v>8726.5</v>
      </c>
      <c r="I431" s="7">
        <f t="shared" si="269"/>
        <v>8854.7999999999993</v>
      </c>
      <c r="J431" s="7">
        <f t="shared" si="269"/>
        <v>8960.7000000000007</v>
      </c>
      <c r="K431" s="7">
        <f t="shared" si="269"/>
        <v>10465.5</v>
      </c>
      <c r="L431" s="7">
        <f t="shared" ref="L431" si="270">L432+L435</f>
        <v>5833.5999999999995</v>
      </c>
      <c r="M431" s="7">
        <f t="shared" si="248"/>
        <v>55.741245043237299</v>
      </c>
    </row>
    <row r="432" spans="1:13" ht="31.5" x14ac:dyDescent="0.25">
      <c r="A432" s="31" t="s">
        <v>622</v>
      </c>
      <c r="B432" s="42" t="s">
        <v>285</v>
      </c>
      <c r="C432" s="42" t="s">
        <v>285</v>
      </c>
      <c r="D432" s="42" t="s">
        <v>623</v>
      </c>
      <c r="E432" s="42"/>
      <c r="F432" s="63">
        <f>F433</f>
        <v>1461</v>
      </c>
      <c r="G432" s="63">
        <f t="shared" ref="G432:L433" si="271">G433</f>
        <v>700</v>
      </c>
      <c r="H432" s="63">
        <f t="shared" si="271"/>
        <v>1541</v>
      </c>
      <c r="I432" s="63">
        <f t="shared" si="271"/>
        <v>1541</v>
      </c>
      <c r="J432" s="63">
        <f t="shared" si="271"/>
        <v>1541</v>
      </c>
      <c r="K432" s="63">
        <f t="shared" si="271"/>
        <v>982.2</v>
      </c>
      <c r="L432" s="63">
        <f t="shared" si="271"/>
        <v>340.3</v>
      </c>
      <c r="M432" s="7">
        <f t="shared" si="248"/>
        <v>34.646711464060267</v>
      </c>
    </row>
    <row r="433" spans="1:13" ht="15.75" x14ac:dyDescent="0.25">
      <c r="A433" s="31" t="s">
        <v>186</v>
      </c>
      <c r="B433" s="42" t="s">
        <v>285</v>
      </c>
      <c r="C433" s="42" t="s">
        <v>285</v>
      </c>
      <c r="D433" s="42" t="s">
        <v>623</v>
      </c>
      <c r="E433" s="42" t="s">
        <v>196</v>
      </c>
      <c r="F433" s="63">
        <f>F434</f>
        <v>1461</v>
      </c>
      <c r="G433" s="63">
        <f t="shared" si="271"/>
        <v>700</v>
      </c>
      <c r="H433" s="63">
        <f t="shared" si="271"/>
        <v>1541</v>
      </c>
      <c r="I433" s="63">
        <f t="shared" si="271"/>
        <v>1541</v>
      </c>
      <c r="J433" s="63">
        <f t="shared" si="271"/>
        <v>1541</v>
      </c>
      <c r="K433" s="63">
        <f t="shared" si="271"/>
        <v>982.2</v>
      </c>
      <c r="L433" s="63">
        <f t="shared" si="271"/>
        <v>340.3</v>
      </c>
      <c r="M433" s="7">
        <f t="shared" si="248"/>
        <v>34.646711464060267</v>
      </c>
    </row>
    <row r="434" spans="1:13" ht="15.75" x14ac:dyDescent="0.25">
      <c r="A434" s="31" t="s">
        <v>620</v>
      </c>
      <c r="B434" s="42" t="s">
        <v>285</v>
      </c>
      <c r="C434" s="42" t="s">
        <v>285</v>
      </c>
      <c r="D434" s="42" t="s">
        <v>623</v>
      </c>
      <c r="E434" s="42" t="s">
        <v>189</v>
      </c>
      <c r="F434" s="63">
        <f>'Прил.№4 ведомств.'!G1062</f>
        <v>1461</v>
      </c>
      <c r="G434" s="63">
        <f>'Прил.№4 ведомств.'!I1062</f>
        <v>700</v>
      </c>
      <c r="H434" s="63">
        <f>'Прил.№4 ведомств.'!J1062</f>
        <v>1541</v>
      </c>
      <c r="I434" s="63">
        <f>'Прил.№4 ведомств.'!K1062</f>
        <v>1541</v>
      </c>
      <c r="J434" s="63">
        <f>'Прил.№4 ведомств.'!L1062</f>
        <v>1541</v>
      </c>
      <c r="K434" s="63">
        <f>'Прил.№4 ведомств.'!M1062</f>
        <v>982.2</v>
      </c>
      <c r="L434" s="63">
        <f>'Прил.№4 ведомств.'!N1062</f>
        <v>340.3</v>
      </c>
      <c r="M434" s="7">
        <f t="shared" si="248"/>
        <v>34.646711464060267</v>
      </c>
    </row>
    <row r="435" spans="1:13" ht="31.5" x14ac:dyDescent="0.25">
      <c r="A435" s="26" t="s">
        <v>391</v>
      </c>
      <c r="B435" s="42" t="s">
        <v>285</v>
      </c>
      <c r="C435" s="42" t="s">
        <v>285</v>
      </c>
      <c r="D435" s="42" t="s">
        <v>392</v>
      </c>
      <c r="E435" s="42"/>
      <c r="F435" s="7">
        <f>F436+F438</f>
        <v>7222.4</v>
      </c>
      <c r="G435" s="7">
        <f t="shared" ref="G435:K435" si="272">G436+G438</f>
        <v>7941.4</v>
      </c>
      <c r="H435" s="7">
        <f t="shared" si="272"/>
        <v>7185.5</v>
      </c>
      <c r="I435" s="7">
        <f t="shared" si="272"/>
        <v>7313.7999999999993</v>
      </c>
      <c r="J435" s="7">
        <f t="shared" si="272"/>
        <v>7419.7</v>
      </c>
      <c r="K435" s="7">
        <f t="shared" si="272"/>
        <v>9483.2999999999993</v>
      </c>
      <c r="L435" s="7">
        <f t="shared" ref="L435" si="273">L436+L438</f>
        <v>5493.2999999999993</v>
      </c>
      <c r="M435" s="7">
        <f t="shared" si="248"/>
        <v>57.926038404352909</v>
      </c>
    </row>
    <row r="436" spans="1:13" ht="78.75" x14ac:dyDescent="0.25">
      <c r="A436" s="31" t="s">
        <v>178</v>
      </c>
      <c r="B436" s="42" t="s">
        <v>285</v>
      </c>
      <c r="C436" s="42" t="s">
        <v>285</v>
      </c>
      <c r="D436" s="42" t="s">
        <v>392</v>
      </c>
      <c r="E436" s="42" t="s">
        <v>179</v>
      </c>
      <c r="F436" s="63">
        <f>F437</f>
        <v>5565.9</v>
      </c>
      <c r="G436" s="63">
        <f t="shared" ref="G436:L436" si="274">G437</f>
        <v>6615.5</v>
      </c>
      <c r="H436" s="63">
        <f t="shared" si="274"/>
        <v>4547.3</v>
      </c>
      <c r="I436" s="63">
        <f t="shared" si="274"/>
        <v>4592.7</v>
      </c>
      <c r="J436" s="63">
        <f t="shared" si="274"/>
        <v>4638.7</v>
      </c>
      <c r="K436" s="63">
        <f t="shared" si="274"/>
        <v>5813.3</v>
      </c>
      <c r="L436" s="63">
        <f t="shared" si="274"/>
        <v>4322.7</v>
      </c>
      <c r="M436" s="7">
        <f t="shared" si="248"/>
        <v>74.358797928887199</v>
      </c>
    </row>
    <row r="437" spans="1:13" ht="31.5" x14ac:dyDescent="0.25">
      <c r="A437" s="48" t="s">
        <v>393</v>
      </c>
      <c r="B437" s="42" t="s">
        <v>285</v>
      </c>
      <c r="C437" s="42" t="s">
        <v>285</v>
      </c>
      <c r="D437" s="42" t="s">
        <v>392</v>
      </c>
      <c r="E437" s="42" t="s">
        <v>260</v>
      </c>
      <c r="F437" s="63">
        <f>'Прил.№4 ведомств.'!G1065</f>
        <v>5565.9</v>
      </c>
      <c r="G437" s="63">
        <f>'Прил.№4 ведомств.'!I1065</f>
        <v>6615.5</v>
      </c>
      <c r="H437" s="63">
        <f>'Прил.№4 ведомств.'!J1065</f>
        <v>4547.3</v>
      </c>
      <c r="I437" s="63">
        <f>'Прил.№4 ведомств.'!K1065</f>
        <v>4592.7</v>
      </c>
      <c r="J437" s="63">
        <f>'Прил.№4 ведомств.'!L1065</f>
        <v>4638.7</v>
      </c>
      <c r="K437" s="63">
        <f>'Прил.№4 ведомств.'!M1065</f>
        <v>5813.3</v>
      </c>
      <c r="L437" s="63">
        <f>'Прил.№4 ведомств.'!N1065</f>
        <v>4322.7</v>
      </c>
      <c r="M437" s="7">
        <f t="shared" si="248"/>
        <v>74.358797928887199</v>
      </c>
    </row>
    <row r="438" spans="1:13" ht="31.5" x14ac:dyDescent="0.25">
      <c r="A438" s="31" t="s">
        <v>182</v>
      </c>
      <c r="B438" s="42" t="s">
        <v>285</v>
      </c>
      <c r="C438" s="42" t="s">
        <v>285</v>
      </c>
      <c r="D438" s="42" t="s">
        <v>392</v>
      </c>
      <c r="E438" s="42" t="s">
        <v>183</v>
      </c>
      <c r="F438" s="63">
        <f>F439</f>
        <v>1656.5</v>
      </c>
      <c r="G438" s="63">
        <f t="shared" ref="G438:L438" si="275">G439</f>
        <v>1325.9</v>
      </c>
      <c r="H438" s="63">
        <f t="shared" si="275"/>
        <v>2638.2</v>
      </c>
      <c r="I438" s="63">
        <f t="shared" si="275"/>
        <v>2721.1</v>
      </c>
      <c r="J438" s="63">
        <f t="shared" si="275"/>
        <v>2781</v>
      </c>
      <c r="K438" s="63">
        <f t="shared" si="275"/>
        <v>3670</v>
      </c>
      <c r="L438" s="63">
        <f t="shared" si="275"/>
        <v>1170.5999999999999</v>
      </c>
      <c r="M438" s="7">
        <f t="shared" si="248"/>
        <v>31.896457765667574</v>
      </c>
    </row>
    <row r="439" spans="1:13" ht="47.25" x14ac:dyDescent="0.25">
      <c r="A439" s="31" t="s">
        <v>184</v>
      </c>
      <c r="B439" s="42" t="s">
        <v>285</v>
      </c>
      <c r="C439" s="42" t="s">
        <v>285</v>
      </c>
      <c r="D439" s="42" t="s">
        <v>392</v>
      </c>
      <c r="E439" s="42" t="s">
        <v>185</v>
      </c>
      <c r="F439" s="63">
        <f>'Прил.№4 ведомств.'!G1067</f>
        <v>1656.5</v>
      </c>
      <c r="G439" s="63">
        <f>'Прил.№4 ведомств.'!I1067</f>
        <v>1325.9</v>
      </c>
      <c r="H439" s="63">
        <f>'Прил.№4 ведомств.'!J1067</f>
        <v>2638.2</v>
      </c>
      <c r="I439" s="63">
        <f>'Прил.№4 ведомств.'!K1067</f>
        <v>2721.1</v>
      </c>
      <c r="J439" s="63">
        <f>'Прил.№4 ведомств.'!L1067</f>
        <v>2781</v>
      </c>
      <c r="K439" s="63">
        <f>'Прил.№4 ведомств.'!M1067</f>
        <v>3670</v>
      </c>
      <c r="L439" s="63">
        <f>'Прил.№4 ведомств.'!N1067</f>
        <v>1170.5999999999999</v>
      </c>
      <c r="M439" s="7">
        <f t="shared" si="248"/>
        <v>31.896457765667574</v>
      </c>
    </row>
    <row r="440" spans="1:13" ht="15.75" x14ac:dyDescent="0.25">
      <c r="A440" s="43" t="s">
        <v>314</v>
      </c>
      <c r="B440" s="8" t="s">
        <v>315</v>
      </c>
      <c r="C440" s="42"/>
      <c r="D440" s="42"/>
      <c r="E440" s="42"/>
      <c r="F440" s="4">
        <f t="shared" ref="F440:K440" si="276">F441+F492+F639+F650+F569</f>
        <v>290484.60000000003</v>
      </c>
      <c r="G440" s="4">
        <f t="shared" si="276"/>
        <v>286378.90000000002</v>
      </c>
      <c r="H440" s="4">
        <f t="shared" si="276"/>
        <v>351290</v>
      </c>
      <c r="I440" s="4">
        <f t="shared" si="276"/>
        <v>343706.89999999997</v>
      </c>
      <c r="J440" s="4">
        <f t="shared" si="276"/>
        <v>337520.6</v>
      </c>
      <c r="K440" s="4">
        <f t="shared" si="276"/>
        <v>309377.89999999997</v>
      </c>
      <c r="L440" s="4">
        <f t="shared" ref="L440" si="277">L441+L492+L639+L650+L569</f>
        <v>249130.60000000003</v>
      </c>
      <c r="M440" s="4">
        <f t="shared" si="248"/>
        <v>80.526307793801706</v>
      </c>
    </row>
    <row r="441" spans="1:13" ht="15.75" x14ac:dyDescent="0.25">
      <c r="A441" s="43" t="s">
        <v>456</v>
      </c>
      <c r="B441" s="8" t="s">
        <v>315</v>
      </c>
      <c r="C441" s="8" t="s">
        <v>169</v>
      </c>
      <c r="D441" s="8"/>
      <c r="E441" s="8"/>
      <c r="F441" s="4">
        <f t="shared" ref="F441:K441" si="278">F442+F472</f>
        <v>84659.4</v>
      </c>
      <c r="G441" s="4">
        <f t="shared" si="278"/>
        <v>85381.2</v>
      </c>
      <c r="H441" s="4">
        <f t="shared" si="278"/>
        <v>122402.5</v>
      </c>
      <c r="I441" s="4">
        <f t="shared" si="278"/>
        <v>117666.8</v>
      </c>
      <c r="J441" s="4">
        <f t="shared" si="278"/>
        <v>112203.8</v>
      </c>
      <c r="K441" s="4">
        <f t="shared" si="278"/>
        <v>95189.2</v>
      </c>
      <c r="L441" s="4">
        <f t="shared" ref="L441" si="279">L442+L472</f>
        <v>75455.200000000012</v>
      </c>
      <c r="M441" s="4">
        <f t="shared" si="248"/>
        <v>79.26865652826163</v>
      </c>
    </row>
    <row r="442" spans="1:13" ht="47.25" x14ac:dyDescent="0.25">
      <c r="A442" s="31" t="s">
        <v>478</v>
      </c>
      <c r="B442" s="42" t="s">
        <v>315</v>
      </c>
      <c r="C442" s="42" t="s">
        <v>169</v>
      </c>
      <c r="D442" s="42" t="s">
        <v>458</v>
      </c>
      <c r="E442" s="42"/>
      <c r="F442" s="7">
        <f>F443+F447</f>
        <v>23453.4</v>
      </c>
      <c r="G442" s="7">
        <f t="shared" ref="G442:K442" si="280">G443+G447</f>
        <v>24175.200000000001</v>
      </c>
      <c r="H442" s="7">
        <f t="shared" si="280"/>
        <v>61196.5</v>
      </c>
      <c r="I442" s="7">
        <f t="shared" si="280"/>
        <v>56460.800000000003</v>
      </c>
      <c r="J442" s="7">
        <f t="shared" si="280"/>
        <v>50997.8</v>
      </c>
      <c r="K442" s="7">
        <f t="shared" si="280"/>
        <v>25866.5</v>
      </c>
      <c r="L442" s="7">
        <f t="shared" ref="L442" si="281">L443+L447</f>
        <v>20375</v>
      </c>
      <c r="M442" s="7">
        <f t="shared" si="248"/>
        <v>78.769837434519559</v>
      </c>
    </row>
    <row r="443" spans="1:13" ht="31.5" x14ac:dyDescent="0.25">
      <c r="A443" s="31" t="s">
        <v>459</v>
      </c>
      <c r="B443" s="42" t="s">
        <v>315</v>
      </c>
      <c r="C443" s="42" t="s">
        <v>169</v>
      </c>
      <c r="D443" s="42" t="s">
        <v>460</v>
      </c>
      <c r="E443" s="42"/>
      <c r="F443" s="7">
        <f>F444</f>
        <v>15578.400000000001</v>
      </c>
      <c r="G443" s="7">
        <f t="shared" ref="G443:L443" si="282">G444</f>
        <v>16300.2</v>
      </c>
      <c r="H443" s="7">
        <f t="shared" si="282"/>
        <v>35498.199999999997</v>
      </c>
      <c r="I443" s="7">
        <f t="shared" si="282"/>
        <v>36442.5</v>
      </c>
      <c r="J443" s="7">
        <f t="shared" si="282"/>
        <v>37029.5</v>
      </c>
      <c r="K443" s="7">
        <f t="shared" si="282"/>
        <v>15576.6</v>
      </c>
      <c r="L443" s="7">
        <f t="shared" si="282"/>
        <v>13600</v>
      </c>
      <c r="M443" s="7">
        <f t="shared" si="248"/>
        <v>87.310452858775349</v>
      </c>
    </row>
    <row r="444" spans="1:13" ht="47.25" x14ac:dyDescent="0.25">
      <c r="A444" s="31" t="s">
        <v>461</v>
      </c>
      <c r="B444" s="42" t="s">
        <v>315</v>
      </c>
      <c r="C444" s="42" t="s">
        <v>169</v>
      </c>
      <c r="D444" s="42" t="s">
        <v>462</v>
      </c>
      <c r="E444" s="42"/>
      <c r="F444" s="7">
        <f>SUM(F445:F445)</f>
        <v>15578.400000000001</v>
      </c>
      <c r="G444" s="7">
        <f t="shared" ref="G444:L444" si="283">SUM(G445:G445)</f>
        <v>16300.2</v>
      </c>
      <c r="H444" s="7">
        <f t="shared" si="283"/>
        <v>35498.199999999997</v>
      </c>
      <c r="I444" s="7">
        <f t="shared" si="283"/>
        <v>36442.5</v>
      </c>
      <c r="J444" s="7">
        <f t="shared" si="283"/>
        <v>37029.5</v>
      </c>
      <c r="K444" s="7">
        <f t="shared" si="283"/>
        <v>15576.6</v>
      </c>
      <c r="L444" s="7">
        <f t="shared" si="283"/>
        <v>13600</v>
      </c>
      <c r="M444" s="7">
        <f t="shared" si="248"/>
        <v>87.310452858775349</v>
      </c>
    </row>
    <row r="445" spans="1:13" ht="47.25" x14ac:dyDescent="0.25">
      <c r="A445" s="31" t="s">
        <v>323</v>
      </c>
      <c r="B445" s="42" t="s">
        <v>315</v>
      </c>
      <c r="C445" s="42" t="s">
        <v>169</v>
      </c>
      <c r="D445" s="42" t="s">
        <v>462</v>
      </c>
      <c r="E445" s="42" t="s">
        <v>324</v>
      </c>
      <c r="F445" s="7">
        <f>F446</f>
        <v>15578.400000000001</v>
      </c>
      <c r="G445" s="7">
        <f t="shared" ref="G445:L445" si="284">G446</f>
        <v>16300.2</v>
      </c>
      <c r="H445" s="7">
        <f t="shared" si="284"/>
        <v>35498.199999999997</v>
      </c>
      <c r="I445" s="7">
        <f t="shared" si="284"/>
        <v>36442.5</v>
      </c>
      <c r="J445" s="7">
        <f t="shared" si="284"/>
        <v>37029.5</v>
      </c>
      <c r="K445" s="7">
        <f t="shared" si="284"/>
        <v>15576.6</v>
      </c>
      <c r="L445" s="7">
        <f t="shared" si="284"/>
        <v>13600</v>
      </c>
      <c r="M445" s="7">
        <f t="shared" si="248"/>
        <v>87.310452858775349</v>
      </c>
    </row>
    <row r="446" spans="1:13" ht="15.75" x14ac:dyDescent="0.25">
      <c r="A446" s="31" t="s">
        <v>325</v>
      </c>
      <c r="B446" s="42" t="s">
        <v>315</v>
      </c>
      <c r="C446" s="42" t="s">
        <v>169</v>
      </c>
      <c r="D446" s="42" t="s">
        <v>462</v>
      </c>
      <c r="E446" s="42" t="s">
        <v>326</v>
      </c>
      <c r="F446" s="63">
        <f>'Прил.№4 ведомств.'!G602</f>
        <v>15578.400000000001</v>
      </c>
      <c r="G446" s="63">
        <f>'Прил.№4 ведомств.'!I602</f>
        <v>16300.2</v>
      </c>
      <c r="H446" s="63">
        <f>'Прил.№4 ведомств.'!J602</f>
        <v>35498.199999999997</v>
      </c>
      <c r="I446" s="63">
        <f>'Прил.№4 ведомств.'!K602</f>
        <v>36442.5</v>
      </c>
      <c r="J446" s="63">
        <f>'Прил.№4 ведомств.'!L602</f>
        <v>37029.5</v>
      </c>
      <c r="K446" s="63">
        <f>'Прил.№4 ведомств.'!M602</f>
        <v>15576.6</v>
      </c>
      <c r="L446" s="63">
        <f>'Прил.№4 ведомств.'!N602</f>
        <v>13600</v>
      </c>
      <c r="M446" s="7">
        <f t="shared" si="248"/>
        <v>87.310452858775349</v>
      </c>
    </row>
    <row r="447" spans="1:13" ht="31.5" x14ac:dyDescent="0.25">
      <c r="A447" s="31" t="s">
        <v>463</v>
      </c>
      <c r="B447" s="42" t="s">
        <v>315</v>
      </c>
      <c r="C447" s="42" t="s">
        <v>169</v>
      </c>
      <c r="D447" s="42" t="s">
        <v>464</v>
      </c>
      <c r="E447" s="42"/>
      <c r="F447" s="7">
        <f t="shared" ref="F447:J447" si="285">F448+F451+F454+F460+F457+F463+F466</f>
        <v>7875</v>
      </c>
      <c r="G447" s="7">
        <f t="shared" si="285"/>
        <v>7875</v>
      </c>
      <c r="H447" s="7">
        <f t="shared" si="285"/>
        <v>25698.3</v>
      </c>
      <c r="I447" s="7">
        <f t="shared" si="285"/>
        <v>20018.3</v>
      </c>
      <c r="J447" s="7">
        <f t="shared" si="285"/>
        <v>13968.3</v>
      </c>
      <c r="K447" s="7">
        <f>K448+K451+K454+K460+K457+K463+K466+K469</f>
        <v>10289.9</v>
      </c>
      <c r="L447" s="7">
        <f t="shared" ref="L447" si="286">L448+L451+L454+L460+L457+L463+L466+L469</f>
        <v>6775</v>
      </c>
      <c r="M447" s="7">
        <f t="shared" si="248"/>
        <v>65.841261819842757</v>
      </c>
    </row>
    <row r="448" spans="1:13" ht="47.25" hidden="1" customHeight="1" x14ac:dyDescent="0.25">
      <c r="A448" s="31" t="s">
        <v>657</v>
      </c>
      <c r="B448" s="42" t="s">
        <v>315</v>
      </c>
      <c r="C448" s="42" t="s">
        <v>169</v>
      </c>
      <c r="D448" s="42" t="s">
        <v>658</v>
      </c>
      <c r="E448" s="42"/>
      <c r="F448" s="7">
        <f>F449</f>
        <v>0</v>
      </c>
      <c r="G448" s="7">
        <f t="shared" ref="G448:L449" si="287">G449</f>
        <v>0</v>
      </c>
      <c r="H448" s="7">
        <f t="shared" si="287"/>
        <v>0</v>
      </c>
      <c r="I448" s="7">
        <f t="shared" si="287"/>
        <v>0</v>
      </c>
      <c r="J448" s="7">
        <f t="shared" si="287"/>
        <v>0</v>
      </c>
      <c r="K448" s="7">
        <f t="shared" si="287"/>
        <v>0</v>
      </c>
      <c r="L448" s="7">
        <f t="shared" si="287"/>
        <v>0</v>
      </c>
      <c r="M448" s="7" t="e">
        <f t="shared" si="248"/>
        <v>#DIV/0!</v>
      </c>
    </row>
    <row r="449" spans="1:13" ht="47.25" hidden="1" customHeight="1" x14ac:dyDescent="0.25">
      <c r="A449" s="31" t="s">
        <v>323</v>
      </c>
      <c r="B449" s="42" t="s">
        <v>315</v>
      </c>
      <c r="C449" s="42" t="s">
        <v>169</v>
      </c>
      <c r="D449" s="42" t="s">
        <v>658</v>
      </c>
      <c r="E449" s="42" t="s">
        <v>324</v>
      </c>
      <c r="F449" s="7">
        <f>F450</f>
        <v>0</v>
      </c>
      <c r="G449" s="7">
        <f t="shared" si="287"/>
        <v>0</v>
      </c>
      <c r="H449" s="7">
        <f t="shared" si="287"/>
        <v>0</v>
      </c>
      <c r="I449" s="7">
        <f t="shared" si="287"/>
        <v>0</v>
      </c>
      <c r="J449" s="7">
        <f t="shared" si="287"/>
        <v>0</v>
      </c>
      <c r="K449" s="7">
        <f t="shared" si="287"/>
        <v>0</v>
      </c>
      <c r="L449" s="7">
        <f t="shared" si="287"/>
        <v>0</v>
      </c>
      <c r="M449" s="7" t="e">
        <f t="shared" si="248"/>
        <v>#DIV/0!</v>
      </c>
    </row>
    <row r="450" spans="1:13" ht="15.75" hidden="1" customHeight="1" x14ac:dyDescent="0.25">
      <c r="A450" s="31" t="s">
        <v>325</v>
      </c>
      <c r="B450" s="42" t="s">
        <v>315</v>
      </c>
      <c r="C450" s="42" t="s">
        <v>169</v>
      </c>
      <c r="D450" s="42" t="s">
        <v>658</v>
      </c>
      <c r="E450" s="42" t="s">
        <v>326</v>
      </c>
      <c r="F450" s="7"/>
      <c r="G450" s="7"/>
      <c r="H450" s="7"/>
      <c r="I450" s="7"/>
      <c r="J450" s="7"/>
      <c r="K450" s="7"/>
      <c r="L450" s="7"/>
      <c r="M450" s="7" t="e">
        <f t="shared" si="248"/>
        <v>#DIV/0!</v>
      </c>
    </row>
    <row r="451" spans="1:13" ht="31.5" customHeight="1" x14ac:dyDescent="0.25">
      <c r="A451" s="31" t="s">
        <v>329</v>
      </c>
      <c r="B451" s="42" t="s">
        <v>315</v>
      </c>
      <c r="C451" s="42" t="s">
        <v>169</v>
      </c>
      <c r="D451" s="42" t="s">
        <v>465</v>
      </c>
      <c r="E451" s="42"/>
      <c r="F451" s="7">
        <f>F452</f>
        <v>0</v>
      </c>
      <c r="G451" s="7">
        <f t="shared" ref="G451:L452" si="288">G452</f>
        <v>0</v>
      </c>
      <c r="H451" s="7">
        <f t="shared" si="288"/>
        <v>15330</v>
      </c>
      <c r="I451" s="7">
        <f t="shared" si="288"/>
        <v>10100</v>
      </c>
      <c r="J451" s="7">
        <f t="shared" si="288"/>
        <v>3600</v>
      </c>
      <c r="K451" s="7">
        <f t="shared" si="288"/>
        <v>200</v>
      </c>
      <c r="L451" s="7">
        <f t="shared" si="288"/>
        <v>0</v>
      </c>
      <c r="M451" s="7">
        <f t="shared" si="248"/>
        <v>0</v>
      </c>
    </row>
    <row r="452" spans="1:13" ht="47.25" customHeight="1" x14ac:dyDescent="0.25">
      <c r="A452" s="31" t="s">
        <v>323</v>
      </c>
      <c r="B452" s="42" t="s">
        <v>315</v>
      </c>
      <c r="C452" s="42" t="s">
        <v>169</v>
      </c>
      <c r="D452" s="42" t="s">
        <v>465</v>
      </c>
      <c r="E452" s="42" t="s">
        <v>324</v>
      </c>
      <c r="F452" s="7">
        <f>F453</f>
        <v>0</v>
      </c>
      <c r="G452" s="7">
        <f t="shared" si="288"/>
        <v>0</v>
      </c>
      <c r="H452" s="7">
        <f t="shared" si="288"/>
        <v>15330</v>
      </c>
      <c r="I452" s="7">
        <f t="shared" si="288"/>
        <v>10100</v>
      </c>
      <c r="J452" s="7">
        <f t="shared" si="288"/>
        <v>3600</v>
      </c>
      <c r="K452" s="7">
        <f t="shared" si="288"/>
        <v>200</v>
      </c>
      <c r="L452" s="7">
        <f t="shared" si="288"/>
        <v>0</v>
      </c>
      <c r="M452" s="7">
        <f t="shared" si="248"/>
        <v>0</v>
      </c>
    </row>
    <row r="453" spans="1:13" ht="15.75" customHeight="1" x14ac:dyDescent="0.25">
      <c r="A453" s="31" t="s">
        <v>325</v>
      </c>
      <c r="B453" s="42" t="s">
        <v>315</v>
      </c>
      <c r="C453" s="42" t="s">
        <v>169</v>
      </c>
      <c r="D453" s="42" t="s">
        <v>465</v>
      </c>
      <c r="E453" s="42" t="s">
        <v>326</v>
      </c>
      <c r="F453" s="7">
        <f>'Прил.№4 ведомств.'!G606</f>
        <v>0</v>
      </c>
      <c r="G453" s="7">
        <f>'Прил.№4 ведомств.'!I606</f>
        <v>0</v>
      </c>
      <c r="H453" s="7">
        <f>'Прил.№4 ведомств.'!J606</f>
        <v>15330</v>
      </c>
      <c r="I453" s="7">
        <f>'Прил.№4 ведомств.'!K606</f>
        <v>10100</v>
      </c>
      <c r="J453" s="7">
        <f>'Прил.№4 ведомств.'!L606</f>
        <v>3600</v>
      </c>
      <c r="K453" s="7">
        <f>'Прил.№4 ведомств.'!M606</f>
        <v>200</v>
      </c>
      <c r="L453" s="7">
        <f>'Прил.№4 ведомств.'!N606</f>
        <v>0</v>
      </c>
      <c r="M453" s="7">
        <f t="shared" si="248"/>
        <v>0</v>
      </c>
    </row>
    <row r="454" spans="1:13" ht="31.5" hidden="1" x14ac:dyDescent="0.25">
      <c r="A454" s="31" t="s">
        <v>331</v>
      </c>
      <c r="B454" s="42" t="s">
        <v>315</v>
      </c>
      <c r="C454" s="42" t="s">
        <v>169</v>
      </c>
      <c r="D454" s="42" t="s">
        <v>466</v>
      </c>
      <c r="E454" s="42"/>
      <c r="F454" s="7">
        <f>F455</f>
        <v>1145</v>
      </c>
      <c r="G454" s="7">
        <f t="shared" ref="G454:L455" si="289">G455</f>
        <v>1145</v>
      </c>
      <c r="H454" s="7">
        <f t="shared" si="289"/>
        <v>0</v>
      </c>
      <c r="I454" s="7">
        <f t="shared" si="289"/>
        <v>0</v>
      </c>
      <c r="J454" s="7">
        <f t="shared" si="289"/>
        <v>0</v>
      </c>
      <c r="K454" s="7">
        <f t="shared" si="289"/>
        <v>0</v>
      </c>
      <c r="L454" s="7">
        <f t="shared" si="289"/>
        <v>0</v>
      </c>
      <c r="M454" s="7" t="e">
        <f t="shared" si="248"/>
        <v>#DIV/0!</v>
      </c>
    </row>
    <row r="455" spans="1:13" ht="47.25" hidden="1" x14ac:dyDescent="0.25">
      <c r="A455" s="31" t="s">
        <v>323</v>
      </c>
      <c r="B455" s="42" t="s">
        <v>315</v>
      </c>
      <c r="C455" s="42" t="s">
        <v>169</v>
      </c>
      <c r="D455" s="42" t="s">
        <v>466</v>
      </c>
      <c r="E455" s="42" t="s">
        <v>324</v>
      </c>
      <c r="F455" s="7">
        <f>F456</f>
        <v>1145</v>
      </c>
      <c r="G455" s="7">
        <f t="shared" si="289"/>
        <v>1145</v>
      </c>
      <c r="H455" s="7">
        <f t="shared" si="289"/>
        <v>0</v>
      </c>
      <c r="I455" s="7">
        <f t="shared" si="289"/>
        <v>0</v>
      </c>
      <c r="J455" s="7">
        <f t="shared" si="289"/>
        <v>0</v>
      </c>
      <c r="K455" s="7">
        <f t="shared" si="289"/>
        <v>0</v>
      </c>
      <c r="L455" s="7">
        <f t="shared" si="289"/>
        <v>0</v>
      </c>
      <c r="M455" s="7" t="e">
        <f t="shared" si="248"/>
        <v>#DIV/0!</v>
      </c>
    </row>
    <row r="456" spans="1:13" ht="15.75" hidden="1" x14ac:dyDescent="0.25">
      <c r="A456" s="31" t="s">
        <v>325</v>
      </c>
      <c r="B456" s="42" t="s">
        <v>315</v>
      </c>
      <c r="C456" s="42" t="s">
        <v>169</v>
      </c>
      <c r="D456" s="42" t="s">
        <v>466</v>
      </c>
      <c r="E456" s="42" t="s">
        <v>326</v>
      </c>
      <c r="F456" s="7">
        <f>'Прил.№4 ведомств.'!G609</f>
        <v>1145</v>
      </c>
      <c r="G456" s="7">
        <f>'Прил.№4 ведомств.'!I609</f>
        <v>1145</v>
      </c>
      <c r="H456" s="7">
        <f>'Прил.№4 ведомств.'!J609</f>
        <v>0</v>
      </c>
      <c r="I456" s="7">
        <f>'Прил.№4 ведомств.'!K609</f>
        <v>0</v>
      </c>
      <c r="J456" s="7">
        <f>'Прил.№4 ведомств.'!L609</f>
        <v>0</v>
      </c>
      <c r="K456" s="7">
        <f>'Прил.№4 ведомств.'!M609</f>
        <v>0</v>
      </c>
      <c r="L456" s="7">
        <f>'Прил.№4 ведомств.'!N609</f>
        <v>0</v>
      </c>
      <c r="M456" s="7" t="e">
        <f t="shared" si="248"/>
        <v>#DIV/0!</v>
      </c>
    </row>
    <row r="457" spans="1:13" ht="47.25" x14ac:dyDescent="0.25">
      <c r="A457" s="31" t="s">
        <v>467</v>
      </c>
      <c r="B457" s="42" t="s">
        <v>315</v>
      </c>
      <c r="C457" s="42" t="s">
        <v>169</v>
      </c>
      <c r="D457" s="42" t="s">
        <v>468</v>
      </c>
      <c r="E457" s="42"/>
      <c r="F457" s="7">
        <f>F458</f>
        <v>6730</v>
      </c>
      <c r="G457" s="7">
        <f t="shared" ref="G457:L458" si="290">G458</f>
        <v>6730</v>
      </c>
      <c r="H457" s="7">
        <f t="shared" si="290"/>
        <v>5168.8</v>
      </c>
      <c r="I457" s="7">
        <f t="shared" si="290"/>
        <v>5168.8</v>
      </c>
      <c r="J457" s="7">
        <f t="shared" si="290"/>
        <v>5168.8</v>
      </c>
      <c r="K457" s="7">
        <f t="shared" si="290"/>
        <v>5168.8</v>
      </c>
      <c r="L457" s="7">
        <f t="shared" si="290"/>
        <v>2850</v>
      </c>
      <c r="M457" s="7">
        <f t="shared" si="248"/>
        <v>55.138523448382607</v>
      </c>
    </row>
    <row r="458" spans="1:13" ht="47.25" x14ac:dyDescent="0.25">
      <c r="A458" s="31" t="s">
        <v>323</v>
      </c>
      <c r="B458" s="42" t="s">
        <v>315</v>
      </c>
      <c r="C458" s="42" t="s">
        <v>169</v>
      </c>
      <c r="D458" s="42" t="s">
        <v>468</v>
      </c>
      <c r="E458" s="42" t="s">
        <v>324</v>
      </c>
      <c r="F458" s="7">
        <f>F459</f>
        <v>6730</v>
      </c>
      <c r="G458" s="7">
        <f t="shared" si="290"/>
        <v>6730</v>
      </c>
      <c r="H458" s="7">
        <f t="shared" si="290"/>
        <v>5168.8</v>
      </c>
      <c r="I458" s="7">
        <f t="shared" si="290"/>
        <v>5168.8</v>
      </c>
      <c r="J458" s="7">
        <f t="shared" si="290"/>
        <v>5168.8</v>
      </c>
      <c r="K458" s="7">
        <f t="shared" si="290"/>
        <v>5168.8</v>
      </c>
      <c r="L458" s="7">
        <f t="shared" si="290"/>
        <v>2850</v>
      </c>
      <c r="M458" s="7">
        <f t="shared" si="248"/>
        <v>55.138523448382607</v>
      </c>
    </row>
    <row r="459" spans="1:13" ht="15.75" x14ac:dyDescent="0.25">
      <c r="A459" s="31" t="s">
        <v>325</v>
      </c>
      <c r="B459" s="42" t="s">
        <v>315</v>
      </c>
      <c r="C459" s="42" t="s">
        <v>169</v>
      </c>
      <c r="D459" s="42" t="s">
        <v>468</v>
      </c>
      <c r="E459" s="42" t="s">
        <v>326</v>
      </c>
      <c r="F459" s="7">
        <f>'Прил.№4 ведомств.'!G612</f>
        <v>6730</v>
      </c>
      <c r="G459" s="7">
        <f>'Прил.№4 ведомств.'!I612</f>
        <v>6730</v>
      </c>
      <c r="H459" s="7">
        <f>'Прил.№4 ведомств.'!J612</f>
        <v>5168.8</v>
      </c>
      <c r="I459" s="7">
        <f>'Прил.№4 ведомств.'!K612</f>
        <v>5168.8</v>
      </c>
      <c r="J459" s="7">
        <f>'Прил.№4 ведомств.'!L612</f>
        <v>5168.8</v>
      </c>
      <c r="K459" s="7">
        <f>'Прил.№4 ведомств.'!M612</f>
        <v>5168.8</v>
      </c>
      <c r="L459" s="7">
        <f>'Прил.№4 ведомств.'!N612</f>
        <v>2850</v>
      </c>
      <c r="M459" s="7">
        <f t="shared" si="248"/>
        <v>55.138523448382607</v>
      </c>
    </row>
    <row r="460" spans="1:13" ht="31.5" customHeight="1" x14ac:dyDescent="0.25">
      <c r="A460" s="31" t="s">
        <v>335</v>
      </c>
      <c r="B460" s="42" t="s">
        <v>315</v>
      </c>
      <c r="C460" s="42" t="s">
        <v>169</v>
      </c>
      <c r="D460" s="42" t="s">
        <v>469</v>
      </c>
      <c r="E460" s="42"/>
      <c r="F460" s="7">
        <f>F461</f>
        <v>0</v>
      </c>
      <c r="G460" s="7">
        <f t="shared" ref="G460:L461" si="291">G461</f>
        <v>0</v>
      </c>
      <c r="H460" s="7">
        <f t="shared" si="291"/>
        <v>500</v>
      </c>
      <c r="I460" s="7">
        <f t="shared" si="291"/>
        <v>50</v>
      </c>
      <c r="J460" s="7">
        <f t="shared" si="291"/>
        <v>500</v>
      </c>
      <c r="K460" s="7">
        <f t="shared" si="291"/>
        <v>97.2</v>
      </c>
      <c r="L460" s="7">
        <f t="shared" si="291"/>
        <v>0</v>
      </c>
      <c r="M460" s="7">
        <f t="shared" si="248"/>
        <v>0</v>
      </c>
    </row>
    <row r="461" spans="1:13" ht="47.25" customHeight="1" x14ac:dyDescent="0.25">
      <c r="A461" s="31" t="s">
        <v>323</v>
      </c>
      <c r="B461" s="42" t="s">
        <v>315</v>
      </c>
      <c r="C461" s="42" t="s">
        <v>169</v>
      </c>
      <c r="D461" s="42" t="s">
        <v>469</v>
      </c>
      <c r="E461" s="42" t="s">
        <v>324</v>
      </c>
      <c r="F461" s="7">
        <f>F462</f>
        <v>0</v>
      </c>
      <c r="G461" s="7">
        <f t="shared" si="291"/>
        <v>0</v>
      </c>
      <c r="H461" s="7">
        <f t="shared" si="291"/>
        <v>500</v>
      </c>
      <c r="I461" s="7">
        <f t="shared" si="291"/>
        <v>50</v>
      </c>
      <c r="J461" s="7">
        <f t="shared" si="291"/>
        <v>500</v>
      </c>
      <c r="K461" s="7">
        <f t="shared" si="291"/>
        <v>97.2</v>
      </c>
      <c r="L461" s="7">
        <f t="shared" si="291"/>
        <v>0</v>
      </c>
      <c r="M461" s="7">
        <f t="shared" ref="M461:M524" si="292">L461/K461*100</f>
        <v>0</v>
      </c>
    </row>
    <row r="462" spans="1:13" ht="15.75" customHeight="1" x14ac:dyDescent="0.25">
      <c r="A462" s="31" t="s">
        <v>325</v>
      </c>
      <c r="B462" s="42" t="s">
        <v>315</v>
      </c>
      <c r="C462" s="42" t="s">
        <v>169</v>
      </c>
      <c r="D462" s="42" t="s">
        <v>469</v>
      </c>
      <c r="E462" s="42" t="s">
        <v>326</v>
      </c>
      <c r="F462" s="7">
        <f>'Прил.№4 ведомств.'!G615</f>
        <v>0</v>
      </c>
      <c r="G462" s="7">
        <f>'Прил.№4 ведомств.'!I615</f>
        <v>0</v>
      </c>
      <c r="H462" s="7">
        <f>'Прил.№4 ведомств.'!J615</f>
        <v>500</v>
      </c>
      <c r="I462" s="7">
        <f>'Прил.№4 ведомств.'!K615</f>
        <v>50</v>
      </c>
      <c r="J462" s="7">
        <f>'Прил.№4 ведомств.'!L615</f>
        <v>500</v>
      </c>
      <c r="K462" s="7">
        <f>'Прил.№4 ведомств.'!M615</f>
        <v>97.2</v>
      </c>
      <c r="L462" s="7">
        <f>'Прил.№4 ведомств.'!N615</f>
        <v>0</v>
      </c>
      <c r="M462" s="7">
        <f t="shared" si="292"/>
        <v>0</v>
      </c>
    </row>
    <row r="463" spans="1:13" ht="42" customHeight="1" x14ac:dyDescent="0.25">
      <c r="A463" s="70" t="s">
        <v>861</v>
      </c>
      <c r="B463" s="21" t="s">
        <v>315</v>
      </c>
      <c r="C463" s="21" t="s">
        <v>169</v>
      </c>
      <c r="D463" s="21" t="s">
        <v>864</v>
      </c>
      <c r="E463" s="21"/>
      <c r="F463" s="7">
        <f>F464</f>
        <v>0</v>
      </c>
      <c r="G463" s="7">
        <f t="shared" ref="G463:L464" si="293">G464</f>
        <v>0</v>
      </c>
      <c r="H463" s="7">
        <f t="shared" si="293"/>
        <v>3468.9</v>
      </c>
      <c r="I463" s="7">
        <f t="shared" si="293"/>
        <v>3468.9</v>
      </c>
      <c r="J463" s="7">
        <f t="shared" si="293"/>
        <v>3468.9</v>
      </c>
      <c r="K463" s="7">
        <f t="shared" si="293"/>
        <v>3468.9</v>
      </c>
      <c r="L463" s="7">
        <f t="shared" si="293"/>
        <v>3120</v>
      </c>
      <c r="M463" s="7">
        <f t="shared" si="292"/>
        <v>89.942056559716335</v>
      </c>
    </row>
    <row r="464" spans="1:13" ht="46.5" customHeight="1" x14ac:dyDescent="0.25">
      <c r="A464" s="31" t="s">
        <v>323</v>
      </c>
      <c r="B464" s="21" t="s">
        <v>315</v>
      </c>
      <c r="C464" s="21" t="s">
        <v>169</v>
      </c>
      <c r="D464" s="21" t="s">
        <v>864</v>
      </c>
      <c r="E464" s="21" t="s">
        <v>324</v>
      </c>
      <c r="F464" s="7">
        <f>F465</f>
        <v>0</v>
      </c>
      <c r="G464" s="7">
        <f t="shared" si="293"/>
        <v>0</v>
      </c>
      <c r="H464" s="7">
        <f t="shared" si="293"/>
        <v>3468.9</v>
      </c>
      <c r="I464" s="7">
        <f t="shared" si="293"/>
        <v>3468.9</v>
      </c>
      <c r="J464" s="7">
        <f t="shared" si="293"/>
        <v>3468.9</v>
      </c>
      <c r="K464" s="7">
        <f t="shared" si="293"/>
        <v>3468.9</v>
      </c>
      <c r="L464" s="7">
        <f t="shared" si="293"/>
        <v>3120</v>
      </c>
      <c r="M464" s="7">
        <f t="shared" si="292"/>
        <v>89.942056559716335</v>
      </c>
    </row>
    <row r="465" spans="1:13" ht="15.75" customHeight="1" x14ac:dyDescent="0.25">
      <c r="A465" s="262" t="s">
        <v>325</v>
      </c>
      <c r="B465" s="21" t="s">
        <v>315</v>
      </c>
      <c r="C465" s="21" t="s">
        <v>169</v>
      </c>
      <c r="D465" s="21" t="s">
        <v>864</v>
      </c>
      <c r="E465" s="21" t="s">
        <v>326</v>
      </c>
      <c r="F465" s="7">
        <f>'Прил.№4 ведомств.'!G618</f>
        <v>0</v>
      </c>
      <c r="G465" s="7">
        <f>'Прил.№4 ведомств.'!I618</f>
        <v>0</v>
      </c>
      <c r="H465" s="7">
        <f>'Прил.№4 ведомств.'!J618</f>
        <v>3468.9</v>
      </c>
      <c r="I465" s="7">
        <f>'Прил.№4 ведомств.'!K618</f>
        <v>3468.9</v>
      </c>
      <c r="J465" s="7">
        <f>'Прил.№4 ведомств.'!L618</f>
        <v>3468.9</v>
      </c>
      <c r="K465" s="7">
        <f>'Прил.№4 ведомств.'!M618</f>
        <v>3468.9</v>
      </c>
      <c r="L465" s="7">
        <f>'Прил.№4 ведомств.'!N618</f>
        <v>3120</v>
      </c>
      <c r="M465" s="7">
        <f t="shared" si="292"/>
        <v>89.942056559716335</v>
      </c>
    </row>
    <row r="466" spans="1:13" ht="48.75" customHeight="1" x14ac:dyDescent="0.25">
      <c r="A466" s="70" t="s">
        <v>870</v>
      </c>
      <c r="B466" s="21" t="s">
        <v>315</v>
      </c>
      <c r="C466" s="21" t="s">
        <v>169</v>
      </c>
      <c r="D466" s="21" t="s">
        <v>865</v>
      </c>
      <c r="E466" s="21"/>
      <c r="F466" s="7">
        <f>F467</f>
        <v>0</v>
      </c>
      <c r="G466" s="7">
        <f t="shared" ref="G466:L467" si="294">G467</f>
        <v>0</v>
      </c>
      <c r="H466" s="7">
        <f t="shared" si="294"/>
        <v>1230.5999999999999</v>
      </c>
      <c r="I466" s="7">
        <f t="shared" si="294"/>
        <v>1230.5999999999999</v>
      </c>
      <c r="J466" s="7">
        <f t="shared" si="294"/>
        <v>1230.5999999999999</v>
      </c>
      <c r="K466" s="7">
        <f t="shared" si="294"/>
        <v>1230.5999999999999</v>
      </c>
      <c r="L466" s="7">
        <f t="shared" si="294"/>
        <v>805</v>
      </c>
      <c r="M466" s="7">
        <f t="shared" si="292"/>
        <v>65.41524459613197</v>
      </c>
    </row>
    <row r="467" spans="1:13" ht="49.5" customHeight="1" x14ac:dyDescent="0.25">
      <c r="A467" s="31" t="s">
        <v>323</v>
      </c>
      <c r="B467" s="21" t="s">
        <v>315</v>
      </c>
      <c r="C467" s="21" t="s">
        <v>169</v>
      </c>
      <c r="D467" s="21" t="s">
        <v>865</v>
      </c>
      <c r="E467" s="21" t="s">
        <v>324</v>
      </c>
      <c r="F467" s="7">
        <f>F468</f>
        <v>0</v>
      </c>
      <c r="G467" s="7">
        <f t="shared" si="294"/>
        <v>0</v>
      </c>
      <c r="H467" s="7">
        <f t="shared" si="294"/>
        <v>1230.5999999999999</v>
      </c>
      <c r="I467" s="7">
        <f t="shared" si="294"/>
        <v>1230.5999999999999</v>
      </c>
      <c r="J467" s="7">
        <f t="shared" si="294"/>
        <v>1230.5999999999999</v>
      </c>
      <c r="K467" s="7">
        <f t="shared" si="294"/>
        <v>1230.5999999999999</v>
      </c>
      <c r="L467" s="7">
        <f t="shared" si="294"/>
        <v>805</v>
      </c>
      <c r="M467" s="7">
        <f t="shared" si="292"/>
        <v>65.41524459613197</v>
      </c>
    </row>
    <row r="468" spans="1:13" ht="15.75" customHeight="1" x14ac:dyDescent="0.25">
      <c r="A468" s="262" t="s">
        <v>325</v>
      </c>
      <c r="B468" s="21" t="s">
        <v>315</v>
      </c>
      <c r="C468" s="21" t="s">
        <v>169</v>
      </c>
      <c r="D468" s="21" t="s">
        <v>865</v>
      </c>
      <c r="E468" s="21" t="s">
        <v>326</v>
      </c>
      <c r="F468" s="7">
        <f>'Прил.№4 ведомств.'!G621</f>
        <v>0</v>
      </c>
      <c r="G468" s="7">
        <f>'Прил.№4 ведомств.'!I621</f>
        <v>0</v>
      </c>
      <c r="H468" s="7">
        <f>'Прил.№4 ведомств.'!J621</f>
        <v>1230.5999999999999</v>
      </c>
      <c r="I468" s="7">
        <f>'Прил.№4 ведомств.'!K621</f>
        <v>1230.5999999999999</v>
      </c>
      <c r="J468" s="7">
        <f>'Прил.№4 ведомств.'!L621</f>
        <v>1230.5999999999999</v>
      </c>
      <c r="K468" s="7">
        <f>'Прил.№4 ведомств.'!M621</f>
        <v>1230.5999999999999</v>
      </c>
      <c r="L468" s="7">
        <f>'Прил.№4 ведомств.'!N621</f>
        <v>805</v>
      </c>
      <c r="M468" s="7">
        <f t="shared" si="292"/>
        <v>65.41524459613197</v>
      </c>
    </row>
    <row r="469" spans="1:13" ht="141.75" x14ac:dyDescent="0.25">
      <c r="A469" s="26" t="s">
        <v>475</v>
      </c>
      <c r="B469" s="42" t="s">
        <v>315</v>
      </c>
      <c r="C469" s="42" t="s">
        <v>169</v>
      </c>
      <c r="D469" s="21" t="s">
        <v>1022</v>
      </c>
      <c r="E469" s="21"/>
      <c r="F469" s="7"/>
      <c r="G469" s="7"/>
      <c r="H469" s="7"/>
      <c r="I469" s="7"/>
      <c r="J469" s="7"/>
      <c r="K469" s="7">
        <f>K470</f>
        <v>124.4</v>
      </c>
      <c r="L469" s="7">
        <f t="shared" ref="L469:L470" si="295">L470</f>
        <v>0</v>
      </c>
      <c r="M469" s="7">
        <f t="shared" si="292"/>
        <v>0</v>
      </c>
    </row>
    <row r="470" spans="1:13" ht="47.25" x14ac:dyDescent="0.25">
      <c r="A470" s="31" t="s">
        <v>323</v>
      </c>
      <c r="B470" s="42" t="s">
        <v>315</v>
      </c>
      <c r="C470" s="42" t="s">
        <v>169</v>
      </c>
      <c r="D470" s="21" t="s">
        <v>1022</v>
      </c>
      <c r="E470" s="21" t="s">
        <v>324</v>
      </c>
      <c r="F470" s="7"/>
      <c r="G470" s="7"/>
      <c r="H470" s="7"/>
      <c r="I470" s="7"/>
      <c r="J470" s="7"/>
      <c r="K470" s="7">
        <f>K471</f>
        <v>124.4</v>
      </c>
      <c r="L470" s="7">
        <f t="shared" si="295"/>
        <v>0</v>
      </c>
      <c r="M470" s="7">
        <f t="shared" si="292"/>
        <v>0</v>
      </c>
    </row>
    <row r="471" spans="1:13" ht="15.75" x14ac:dyDescent="0.25">
      <c r="A471" s="262" t="s">
        <v>325</v>
      </c>
      <c r="B471" s="42" t="s">
        <v>315</v>
      </c>
      <c r="C471" s="42" t="s">
        <v>169</v>
      </c>
      <c r="D471" s="21" t="s">
        <v>1022</v>
      </c>
      <c r="E471" s="21" t="s">
        <v>326</v>
      </c>
      <c r="F471" s="7"/>
      <c r="G471" s="7"/>
      <c r="H471" s="7"/>
      <c r="I471" s="7"/>
      <c r="J471" s="7"/>
      <c r="K471" s="7">
        <f>'Прил.№4 ведомств.'!M624</f>
        <v>124.4</v>
      </c>
      <c r="L471" s="7">
        <f>'Прил.№4 ведомств.'!N624</f>
        <v>0</v>
      </c>
      <c r="M471" s="7">
        <f t="shared" si="292"/>
        <v>0</v>
      </c>
    </row>
    <row r="472" spans="1:13" ht="15.75" x14ac:dyDescent="0.25">
      <c r="A472" s="31" t="s">
        <v>172</v>
      </c>
      <c r="B472" s="42" t="s">
        <v>315</v>
      </c>
      <c r="C472" s="42" t="s">
        <v>169</v>
      </c>
      <c r="D472" s="42" t="s">
        <v>173</v>
      </c>
      <c r="E472" s="42"/>
      <c r="F472" s="7">
        <f>F473</f>
        <v>61206</v>
      </c>
      <c r="G472" s="7">
        <f t="shared" ref="G472:L472" si="296">G473</f>
        <v>61206</v>
      </c>
      <c r="H472" s="7">
        <f t="shared" si="296"/>
        <v>61206</v>
      </c>
      <c r="I472" s="7">
        <f t="shared" si="296"/>
        <v>61206</v>
      </c>
      <c r="J472" s="7">
        <f t="shared" si="296"/>
        <v>61206</v>
      </c>
      <c r="K472" s="7">
        <f t="shared" si="296"/>
        <v>69322.7</v>
      </c>
      <c r="L472" s="7">
        <f t="shared" si="296"/>
        <v>55080.200000000004</v>
      </c>
      <c r="M472" s="7">
        <f t="shared" si="292"/>
        <v>79.454781767011397</v>
      </c>
    </row>
    <row r="473" spans="1:13" ht="31.5" x14ac:dyDescent="0.25">
      <c r="A473" s="31" t="s">
        <v>236</v>
      </c>
      <c r="B473" s="42" t="s">
        <v>315</v>
      </c>
      <c r="C473" s="42" t="s">
        <v>169</v>
      </c>
      <c r="D473" s="42" t="s">
        <v>237</v>
      </c>
      <c r="E473" s="42"/>
      <c r="F473" s="7">
        <f>F477+F480+F483+F486+F489</f>
        <v>61206</v>
      </c>
      <c r="G473" s="7">
        <f t="shared" ref="G473:J473" si="297">G477+G480+G483+G486+G489</f>
        <v>61206</v>
      </c>
      <c r="H473" s="7">
        <f t="shared" si="297"/>
        <v>61206</v>
      </c>
      <c r="I473" s="7">
        <f t="shared" si="297"/>
        <v>61206</v>
      </c>
      <c r="J473" s="7">
        <f t="shared" si="297"/>
        <v>61206</v>
      </c>
      <c r="K473" s="7">
        <f>K477+K480+K483+K486+K489+K474</f>
        <v>69322.7</v>
      </c>
      <c r="L473" s="7">
        <f t="shared" ref="L473" si="298">L477+L480+L483+L486+L489+L474</f>
        <v>55080.200000000004</v>
      </c>
      <c r="M473" s="7">
        <f t="shared" si="292"/>
        <v>79.454781767011397</v>
      </c>
    </row>
    <row r="474" spans="1:13" ht="141.75" x14ac:dyDescent="0.25">
      <c r="A474" s="26" t="s">
        <v>475</v>
      </c>
      <c r="B474" s="42" t="s">
        <v>315</v>
      </c>
      <c r="C474" s="42" t="s">
        <v>169</v>
      </c>
      <c r="D474" s="42" t="s">
        <v>1007</v>
      </c>
      <c r="E474" s="42"/>
      <c r="F474" s="7"/>
      <c r="G474" s="7"/>
      <c r="H474" s="7"/>
      <c r="I474" s="7"/>
      <c r="J474" s="7"/>
      <c r="K474" s="7">
        <f>K475</f>
        <v>124.4</v>
      </c>
      <c r="L474" s="7">
        <f t="shared" ref="L474:L475" si="299">L475</f>
        <v>0</v>
      </c>
      <c r="M474" s="7">
        <f t="shared" si="292"/>
        <v>0</v>
      </c>
    </row>
    <row r="475" spans="1:13" ht="47.25" x14ac:dyDescent="0.25">
      <c r="A475" s="26" t="s">
        <v>323</v>
      </c>
      <c r="B475" s="42" t="s">
        <v>315</v>
      </c>
      <c r="C475" s="42" t="s">
        <v>169</v>
      </c>
      <c r="D475" s="42" t="s">
        <v>1007</v>
      </c>
      <c r="E475" s="42" t="s">
        <v>324</v>
      </c>
      <c r="F475" s="7"/>
      <c r="G475" s="7"/>
      <c r="H475" s="7"/>
      <c r="I475" s="7"/>
      <c r="J475" s="7"/>
      <c r="K475" s="7">
        <f>K476</f>
        <v>124.4</v>
      </c>
      <c r="L475" s="7">
        <f t="shared" si="299"/>
        <v>0</v>
      </c>
      <c r="M475" s="7">
        <f t="shared" si="292"/>
        <v>0</v>
      </c>
    </row>
    <row r="476" spans="1:13" ht="15.75" x14ac:dyDescent="0.25">
      <c r="A476" s="26" t="s">
        <v>325</v>
      </c>
      <c r="B476" s="42" t="s">
        <v>315</v>
      </c>
      <c r="C476" s="42" t="s">
        <v>169</v>
      </c>
      <c r="D476" s="42" t="s">
        <v>1007</v>
      </c>
      <c r="E476" s="42" t="s">
        <v>326</v>
      </c>
      <c r="F476" s="7"/>
      <c r="G476" s="7"/>
      <c r="H476" s="7"/>
      <c r="I476" s="7"/>
      <c r="J476" s="7"/>
      <c r="K476" s="7">
        <f>'Прил.№4 ведомств.'!M629</f>
        <v>124.4</v>
      </c>
      <c r="L476" s="7">
        <f>'Прил.№4 ведомств.'!N629</f>
        <v>0</v>
      </c>
      <c r="M476" s="7">
        <f t="shared" si="292"/>
        <v>0</v>
      </c>
    </row>
    <row r="477" spans="1:13" ht="63" x14ac:dyDescent="0.25">
      <c r="A477" s="47" t="s">
        <v>340</v>
      </c>
      <c r="B477" s="42" t="s">
        <v>315</v>
      </c>
      <c r="C477" s="42" t="s">
        <v>169</v>
      </c>
      <c r="D477" s="42" t="s">
        <v>341</v>
      </c>
      <c r="E477" s="42"/>
      <c r="F477" s="7">
        <f>F478</f>
        <v>310.2</v>
      </c>
      <c r="G477" s="7">
        <f t="shared" ref="G477:L478" si="300">G478</f>
        <v>310.2</v>
      </c>
      <c r="H477" s="7">
        <f t="shared" si="300"/>
        <v>310.2</v>
      </c>
      <c r="I477" s="7">
        <f t="shared" si="300"/>
        <v>310.2</v>
      </c>
      <c r="J477" s="7">
        <f t="shared" si="300"/>
        <v>310.2</v>
      </c>
      <c r="K477" s="7">
        <f t="shared" si="300"/>
        <v>310.2</v>
      </c>
      <c r="L477" s="7">
        <f t="shared" si="300"/>
        <v>276.5</v>
      </c>
      <c r="M477" s="7">
        <f t="shared" si="292"/>
        <v>89.136041263700832</v>
      </c>
    </row>
    <row r="478" spans="1:13" ht="47.25" x14ac:dyDescent="0.25">
      <c r="A478" s="31" t="s">
        <v>323</v>
      </c>
      <c r="B478" s="42" t="s">
        <v>315</v>
      </c>
      <c r="C478" s="42" t="s">
        <v>169</v>
      </c>
      <c r="D478" s="42" t="s">
        <v>341</v>
      </c>
      <c r="E478" s="42" t="s">
        <v>324</v>
      </c>
      <c r="F478" s="7">
        <f>F479</f>
        <v>310.2</v>
      </c>
      <c r="G478" s="7">
        <f t="shared" si="300"/>
        <v>310.2</v>
      </c>
      <c r="H478" s="7">
        <f t="shared" si="300"/>
        <v>310.2</v>
      </c>
      <c r="I478" s="7">
        <f t="shared" si="300"/>
        <v>310.2</v>
      </c>
      <c r="J478" s="7">
        <f t="shared" si="300"/>
        <v>310.2</v>
      </c>
      <c r="K478" s="7">
        <f t="shared" si="300"/>
        <v>310.2</v>
      </c>
      <c r="L478" s="7">
        <f t="shared" si="300"/>
        <v>276.5</v>
      </c>
      <c r="M478" s="7">
        <f t="shared" si="292"/>
        <v>89.136041263700832</v>
      </c>
    </row>
    <row r="479" spans="1:13" ht="15.75" x14ac:dyDescent="0.25">
      <c r="A479" s="31" t="s">
        <v>325</v>
      </c>
      <c r="B479" s="42" t="s">
        <v>315</v>
      </c>
      <c r="C479" s="42" t="s">
        <v>169</v>
      </c>
      <c r="D479" s="42" t="s">
        <v>341</v>
      </c>
      <c r="E479" s="42" t="s">
        <v>326</v>
      </c>
      <c r="F479" s="7">
        <f>'Прил.№4 ведомств.'!G635</f>
        <v>310.2</v>
      </c>
      <c r="G479" s="7">
        <f>'Прил.№4 ведомств.'!I635</f>
        <v>310.2</v>
      </c>
      <c r="H479" s="7">
        <f>'Прил.№4 ведомств.'!J635</f>
        <v>310.2</v>
      </c>
      <c r="I479" s="7">
        <f>'Прил.№4 ведомств.'!K635</f>
        <v>310.2</v>
      </c>
      <c r="J479" s="7">
        <f>'Прил.№4 ведомств.'!L635</f>
        <v>310.2</v>
      </c>
      <c r="K479" s="7">
        <f>'Прил.№4 ведомств.'!M635</f>
        <v>310.2</v>
      </c>
      <c r="L479" s="7">
        <f>'Прил.№4 ведомств.'!N635</f>
        <v>276.5</v>
      </c>
      <c r="M479" s="7">
        <f t="shared" si="292"/>
        <v>89.136041263700832</v>
      </c>
    </row>
    <row r="480" spans="1:13" ht="63" x14ac:dyDescent="0.25">
      <c r="A480" s="47" t="s">
        <v>472</v>
      </c>
      <c r="B480" s="42" t="s">
        <v>315</v>
      </c>
      <c r="C480" s="42" t="s">
        <v>169</v>
      </c>
      <c r="D480" s="42" t="s">
        <v>343</v>
      </c>
      <c r="E480" s="42"/>
      <c r="F480" s="7">
        <f>F481</f>
        <v>1696.8</v>
      </c>
      <c r="G480" s="7">
        <f t="shared" ref="G480:L481" si="301">G481</f>
        <v>1696.8</v>
      </c>
      <c r="H480" s="7">
        <f t="shared" si="301"/>
        <v>1696.8</v>
      </c>
      <c r="I480" s="7">
        <f t="shared" si="301"/>
        <v>1696.8</v>
      </c>
      <c r="J480" s="7">
        <f t="shared" si="301"/>
        <v>1696.8</v>
      </c>
      <c r="K480" s="7">
        <f t="shared" si="301"/>
        <v>1755.8</v>
      </c>
      <c r="L480" s="7">
        <f t="shared" si="301"/>
        <v>1141.3</v>
      </c>
      <c r="M480" s="7">
        <f t="shared" si="292"/>
        <v>65.001708622849989</v>
      </c>
    </row>
    <row r="481" spans="1:13" ht="47.25" x14ac:dyDescent="0.25">
      <c r="A481" s="31" t="s">
        <v>323</v>
      </c>
      <c r="B481" s="42" t="s">
        <v>315</v>
      </c>
      <c r="C481" s="42" t="s">
        <v>169</v>
      </c>
      <c r="D481" s="42" t="s">
        <v>343</v>
      </c>
      <c r="E481" s="42" t="s">
        <v>324</v>
      </c>
      <c r="F481" s="7">
        <f>F482</f>
        <v>1696.8</v>
      </c>
      <c r="G481" s="7">
        <f t="shared" si="301"/>
        <v>1696.8</v>
      </c>
      <c r="H481" s="7">
        <f t="shared" si="301"/>
        <v>1696.8</v>
      </c>
      <c r="I481" s="7">
        <f t="shared" si="301"/>
        <v>1696.8</v>
      </c>
      <c r="J481" s="7">
        <f t="shared" si="301"/>
        <v>1696.8</v>
      </c>
      <c r="K481" s="7">
        <f t="shared" si="301"/>
        <v>1755.8</v>
      </c>
      <c r="L481" s="7">
        <f t="shared" si="301"/>
        <v>1141.3</v>
      </c>
      <c r="M481" s="7">
        <f t="shared" si="292"/>
        <v>65.001708622849989</v>
      </c>
    </row>
    <row r="482" spans="1:13" ht="15.75" x14ac:dyDescent="0.25">
      <c r="A482" s="31" t="s">
        <v>325</v>
      </c>
      <c r="B482" s="42" t="s">
        <v>315</v>
      </c>
      <c r="C482" s="42" t="s">
        <v>169</v>
      </c>
      <c r="D482" s="42" t="s">
        <v>343</v>
      </c>
      <c r="E482" s="42" t="s">
        <v>326</v>
      </c>
      <c r="F482" s="7">
        <f>'Прил.№4 ведомств.'!G638</f>
        <v>1696.8</v>
      </c>
      <c r="G482" s="7">
        <f>'Прил.№4 ведомств.'!I638</f>
        <v>1696.8</v>
      </c>
      <c r="H482" s="7">
        <f>'Прил.№4 ведомств.'!J638</f>
        <v>1696.8</v>
      </c>
      <c r="I482" s="7">
        <f>'Прил.№4 ведомств.'!K638</f>
        <v>1696.8</v>
      </c>
      <c r="J482" s="7">
        <f>'Прил.№4 ведомств.'!L638</f>
        <v>1696.8</v>
      </c>
      <c r="K482" s="7">
        <f>'Прил.№4 ведомств.'!M638</f>
        <v>1755.8</v>
      </c>
      <c r="L482" s="7">
        <f>'Прил.№4 ведомств.'!N638</f>
        <v>1141.3</v>
      </c>
      <c r="M482" s="7">
        <f t="shared" si="292"/>
        <v>65.001708622849989</v>
      </c>
    </row>
    <row r="483" spans="1:13" ht="94.5" x14ac:dyDescent="0.25">
      <c r="A483" s="33" t="s">
        <v>473</v>
      </c>
      <c r="B483" s="42" t="s">
        <v>315</v>
      </c>
      <c r="C483" s="42" t="s">
        <v>169</v>
      </c>
      <c r="D483" s="42" t="s">
        <v>474</v>
      </c>
      <c r="E483" s="42"/>
      <c r="F483" s="7">
        <f>F484</f>
        <v>56320</v>
      </c>
      <c r="G483" s="7">
        <f t="shared" ref="G483:L484" si="302">G484</f>
        <v>56320</v>
      </c>
      <c r="H483" s="7">
        <f t="shared" si="302"/>
        <v>56320</v>
      </c>
      <c r="I483" s="7">
        <f t="shared" si="302"/>
        <v>56320</v>
      </c>
      <c r="J483" s="7">
        <f t="shared" si="302"/>
        <v>56320</v>
      </c>
      <c r="K483" s="7">
        <f t="shared" si="302"/>
        <v>64302.3</v>
      </c>
      <c r="L483" s="7">
        <f t="shared" si="302"/>
        <v>51271</v>
      </c>
      <c r="M483" s="7">
        <f t="shared" si="292"/>
        <v>79.734317434990658</v>
      </c>
    </row>
    <row r="484" spans="1:13" ht="47.25" x14ac:dyDescent="0.25">
      <c r="A484" s="31" t="s">
        <v>323</v>
      </c>
      <c r="B484" s="42" t="s">
        <v>315</v>
      </c>
      <c r="C484" s="42" t="s">
        <v>169</v>
      </c>
      <c r="D484" s="42" t="s">
        <v>474</v>
      </c>
      <c r="E484" s="42" t="s">
        <v>324</v>
      </c>
      <c r="F484" s="7">
        <f>F485</f>
        <v>56320</v>
      </c>
      <c r="G484" s="7">
        <f t="shared" si="302"/>
        <v>56320</v>
      </c>
      <c r="H484" s="7">
        <f t="shared" si="302"/>
        <v>56320</v>
      </c>
      <c r="I484" s="7">
        <f t="shared" si="302"/>
        <v>56320</v>
      </c>
      <c r="J484" s="7">
        <f t="shared" si="302"/>
        <v>56320</v>
      </c>
      <c r="K484" s="7">
        <f t="shared" si="302"/>
        <v>64302.3</v>
      </c>
      <c r="L484" s="7">
        <f t="shared" si="302"/>
        <v>51271</v>
      </c>
      <c r="M484" s="7">
        <f t="shared" si="292"/>
        <v>79.734317434990658</v>
      </c>
    </row>
    <row r="485" spans="1:13" ht="15.75" x14ac:dyDescent="0.25">
      <c r="A485" s="31" t="s">
        <v>325</v>
      </c>
      <c r="B485" s="42" t="s">
        <v>315</v>
      </c>
      <c r="C485" s="42" t="s">
        <v>169</v>
      </c>
      <c r="D485" s="42" t="s">
        <v>474</v>
      </c>
      <c r="E485" s="42" t="s">
        <v>326</v>
      </c>
      <c r="F485" s="7">
        <f>'Прил.№4 ведомств.'!G641</f>
        <v>56320</v>
      </c>
      <c r="G485" s="7">
        <f>'Прил.№4 ведомств.'!I641</f>
        <v>56320</v>
      </c>
      <c r="H485" s="7">
        <f>'Прил.№4 ведомств.'!J641</f>
        <v>56320</v>
      </c>
      <c r="I485" s="7">
        <f>'Прил.№4 ведомств.'!K641</f>
        <v>56320</v>
      </c>
      <c r="J485" s="7">
        <f>'Прил.№4 ведомств.'!L641</f>
        <v>56320</v>
      </c>
      <c r="K485" s="7">
        <f>'Прил.№4 ведомств.'!M641</f>
        <v>64302.3</v>
      </c>
      <c r="L485" s="7">
        <f>'Прил.№4 ведомств.'!N641</f>
        <v>51271</v>
      </c>
      <c r="M485" s="7">
        <f t="shared" si="292"/>
        <v>79.734317434990658</v>
      </c>
    </row>
    <row r="486" spans="1:13" ht="94.5" x14ac:dyDescent="0.25">
      <c r="A486" s="47" t="s">
        <v>344</v>
      </c>
      <c r="B486" s="42" t="s">
        <v>315</v>
      </c>
      <c r="C486" s="42" t="s">
        <v>169</v>
      </c>
      <c r="D486" s="21" t="s">
        <v>345</v>
      </c>
      <c r="E486" s="42"/>
      <c r="F486" s="7">
        <f>F487</f>
        <v>2879</v>
      </c>
      <c r="G486" s="7">
        <f t="shared" ref="G486:L487" si="303">G487</f>
        <v>2879</v>
      </c>
      <c r="H486" s="7">
        <f t="shared" si="303"/>
        <v>2879</v>
      </c>
      <c r="I486" s="7">
        <f t="shared" si="303"/>
        <v>2879</v>
      </c>
      <c r="J486" s="7">
        <f t="shared" si="303"/>
        <v>2879</v>
      </c>
      <c r="K486" s="7">
        <f t="shared" si="303"/>
        <v>2830</v>
      </c>
      <c r="L486" s="7">
        <f t="shared" si="303"/>
        <v>2391.4</v>
      </c>
      <c r="M486" s="7">
        <f t="shared" si="292"/>
        <v>84.5017667844523</v>
      </c>
    </row>
    <row r="487" spans="1:13" ht="47.25" x14ac:dyDescent="0.25">
      <c r="A487" s="31" t="s">
        <v>323</v>
      </c>
      <c r="B487" s="42" t="s">
        <v>315</v>
      </c>
      <c r="C487" s="42" t="s">
        <v>169</v>
      </c>
      <c r="D487" s="21" t="s">
        <v>345</v>
      </c>
      <c r="E487" s="42" t="s">
        <v>324</v>
      </c>
      <c r="F487" s="7">
        <f>F488</f>
        <v>2879</v>
      </c>
      <c r="G487" s="7">
        <f t="shared" si="303"/>
        <v>2879</v>
      </c>
      <c r="H487" s="7">
        <f t="shared" si="303"/>
        <v>2879</v>
      </c>
      <c r="I487" s="7">
        <f t="shared" si="303"/>
        <v>2879</v>
      </c>
      <c r="J487" s="7">
        <f t="shared" si="303"/>
        <v>2879</v>
      </c>
      <c r="K487" s="7">
        <f t="shared" si="303"/>
        <v>2830</v>
      </c>
      <c r="L487" s="7">
        <f t="shared" si="303"/>
        <v>2391.4</v>
      </c>
      <c r="M487" s="7">
        <f t="shared" si="292"/>
        <v>84.5017667844523</v>
      </c>
    </row>
    <row r="488" spans="1:13" ht="15.75" x14ac:dyDescent="0.25">
      <c r="A488" s="31" t="s">
        <v>325</v>
      </c>
      <c r="B488" s="42" t="s">
        <v>315</v>
      </c>
      <c r="C488" s="42" t="s">
        <v>169</v>
      </c>
      <c r="D488" s="21" t="s">
        <v>345</v>
      </c>
      <c r="E488" s="42" t="s">
        <v>326</v>
      </c>
      <c r="F488" s="7">
        <f>'Прил.№4 ведомств.'!G644</f>
        <v>2879</v>
      </c>
      <c r="G488" s="7">
        <f>'Прил.№4 ведомств.'!I644</f>
        <v>2879</v>
      </c>
      <c r="H488" s="7">
        <f>'Прил.№4 ведомств.'!J644</f>
        <v>2879</v>
      </c>
      <c r="I488" s="7">
        <f>'Прил.№4 ведомств.'!K644</f>
        <v>2879</v>
      </c>
      <c r="J488" s="7">
        <f>'Прил.№4 ведомств.'!L644</f>
        <v>2879</v>
      </c>
      <c r="K488" s="7">
        <f>'Прил.№4 ведомств.'!M644</f>
        <v>2830</v>
      </c>
      <c r="L488" s="7">
        <f>'Прил.№4 ведомств.'!N644</f>
        <v>2391.4</v>
      </c>
      <c r="M488" s="7">
        <f t="shared" si="292"/>
        <v>84.5017667844523</v>
      </c>
    </row>
    <row r="489" spans="1:13" ht="141.75" hidden="1" customHeight="1" x14ac:dyDescent="0.25">
      <c r="A489" s="26" t="s">
        <v>475</v>
      </c>
      <c r="B489" s="42" t="s">
        <v>315</v>
      </c>
      <c r="C489" s="42" t="s">
        <v>169</v>
      </c>
      <c r="D489" s="21" t="s">
        <v>476</v>
      </c>
      <c r="E489" s="42"/>
      <c r="F489" s="7">
        <f>F490</f>
        <v>0</v>
      </c>
      <c r="G489" s="7">
        <f t="shared" ref="G489:L490" si="304">G490</f>
        <v>0</v>
      </c>
      <c r="H489" s="7">
        <f t="shared" si="304"/>
        <v>0</v>
      </c>
      <c r="I489" s="7">
        <f t="shared" si="304"/>
        <v>0</v>
      </c>
      <c r="J489" s="7">
        <f t="shared" si="304"/>
        <v>0</v>
      </c>
      <c r="K489" s="7">
        <f t="shared" si="304"/>
        <v>0</v>
      </c>
      <c r="L489" s="7">
        <f t="shared" si="304"/>
        <v>0</v>
      </c>
      <c r="M489" s="4" t="e">
        <f t="shared" si="292"/>
        <v>#DIV/0!</v>
      </c>
    </row>
    <row r="490" spans="1:13" ht="47.25" hidden="1" customHeight="1" x14ac:dyDescent="0.25">
      <c r="A490" s="26" t="s">
        <v>323</v>
      </c>
      <c r="B490" s="42" t="s">
        <v>315</v>
      </c>
      <c r="C490" s="42" t="s">
        <v>169</v>
      </c>
      <c r="D490" s="21" t="s">
        <v>476</v>
      </c>
      <c r="E490" s="42" t="s">
        <v>324</v>
      </c>
      <c r="F490" s="7">
        <f>F491</f>
        <v>0</v>
      </c>
      <c r="G490" s="7">
        <f t="shared" si="304"/>
        <v>0</v>
      </c>
      <c r="H490" s="7">
        <f t="shared" si="304"/>
        <v>0</v>
      </c>
      <c r="I490" s="7">
        <f t="shared" si="304"/>
        <v>0</v>
      </c>
      <c r="J490" s="7">
        <f t="shared" si="304"/>
        <v>0</v>
      </c>
      <c r="K490" s="7">
        <f t="shared" si="304"/>
        <v>0</v>
      </c>
      <c r="L490" s="7">
        <f t="shared" si="304"/>
        <v>0</v>
      </c>
      <c r="M490" s="4" t="e">
        <f t="shared" si="292"/>
        <v>#DIV/0!</v>
      </c>
    </row>
    <row r="491" spans="1:13" ht="15.75" hidden="1" customHeight="1" x14ac:dyDescent="0.25">
      <c r="A491" s="26" t="s">
        <v>325</v>
      </c>
      <c r="B491" s="42" t="s">
        <v>315</v>
      </c>
      <c r="C491" s="42" t="s">
        <v>169</v>
      </c>
      <c r="D491" s="21" t="s">
        <v>476</v>
      </c>
      <c r="E491" s="42" t="s">
        <v>326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4" t="e">
        <f t="shared" si="292"/>
        <v>#DIV/0!</v>
      </c>
    </row>
    <row r="492" spans="1:13" ht="15.75" x14ac:dyDescent="0.25">
      <c r="A492" s="43" t="s">
        <v>477</v>
      </c>
      <c r="B492" s="8" t="s">
        <v>315</v>
      </c>
      <c r="C492" s="8" t="s">
        <v>264</v>
      </c>
      <c r="D492" s="8"/>
      <c r="E492" s="8"/>
      <c r="F492" s="4">
        <f t="shared" ref="F492:K492" si="305">F493+F537</f>
        <v>130684.4</v>
      </c>
      <c r="G492" s="4">
        <f t="shared" si="305"/>
        <v>129899.26666666666</v>
      </c>
      <c r="H492" s="4">
        <f t="shared" si="305"/>
        <v>135586.40000000002</v>
      </c>
      <c r="I492" s="4">
        <f t="shared" si="305"/>
        <v>132510.29999999999</v>
      </c>
      <c r="J492" s="4">
        <f t="shared" si="305"/>
        <v>131125.70000000001</v>
      </c>
      <c r="K492" s="4">
        <f t="shared" si="305"/>
        <v>136721.09999999998</v>
      </c>
      <c r="L492" s="4">
        <f t="shared" ref="L492" si="306">L493+L537</f>
        <v>108214.00000000003</v>
      </c>
      <c r="M492" s="4">
        <f t="shared" si="292"/>
        <v>79.149450962580062</v>
      </c>
    </row>
    <row r="493" spans="1:13" ht="47.25" x14ac:dyDescent="0.25">
      <c r="A493" s="31" t="s">
        <v>478</v>
      </c>
      <c r="B493" s="42" t="s">
        <v>315</v>
      </c>
      <c r="C493" s="42" t="s">
        <v>264</v>
      </c>
      <c r="D493" s="42" t="s">
        <v>458</v>
      </c>
      <c r="E493" s="42"/>
      <c r="F493" s="7">
        <f>F494+F498</f>
        <v>40826.6</v>
      </c>
      <c r="G493" s="7">
        <f t="shared" ref="G493:K493" si="307">G494+G498</f>
        <v>40041.466666666667</v>
      </c>
      <c r="H493" s="7">
        <f t="shared" si="307"/>
        <v>45728.600000000006</v>
      </c>
      <c r="I493" s="7">
        <f t="shared" si="307"/>
        <v>42652.5</v>
      </c>
      <c r="J493" s="7">
        <f t="shared" si="307"/>
        <v>41267.9</v>
      </c>
      <c r="K493" s="7">
        <f t="shared" si="307"/>
        <v>37506.199999999997</v>
      </c>
      <c r="L493" s="7">
        <f t="shared" ref="L493" si="308">L494+L498</f>
        <v>28536.6</v>
      </c>
      <c r="M493" s="7">
        <f t="shared" si="292"/>
        <v>76.08502060992582</v>
      </c>
    </row>
    <row r="494" spans="1:13" ht="31.5" x14ac:dyDescent="0.25">
      <c r="A494" s="31" t="s">
        <v>459</v>
      </c>
      <c r="B494" s="42" t="s">
        <v>315</v>
      </c>
      <c r="C494" s="42" t="s">
        <v>264</v>
      </c>
      <c r="D494" s="42" t="s">
        <v>460</v>
      </c>
      <c r="E494" s="42"/>
      <c r="F494" s="7">
        <f>F495</f>
        <v>34151.199999999997</v>
      </c>
      <c r="G494" s="7">
        <f t="shared" ref="G494:L496" si="309">G495</f>
        <v>33366.1</v>
      </c>
      <c r="H494" s="7">
        <f t="shared" si="309"/>
        <v>29080.799999999999</v>
      </c>
      <c r="I494" s="7">
        <f t="shared" si="309"/>
        <v>30905.8</v>
      </c>
      <c r="J494" s="7">
        <f t="shared" si="309"/>
        <v>32021.200000000001</v>
      </c>
      <c r="K494" s="7">
        <f t="shared" si="309"/>
        <v>30890.3</v>
      </c>
      <c r="L494" s="7">
        <f t="shared" si="309"/>
        <v>23114</v>
      </c>
      <c r="M494" s="7">
        <f t="shared" si="292"/>
        <v>74.826078089238365</v>
      </c>
    </row>
    <row r="495" spans="1:13" ht="47.25" x14ac:dyDescent="0.25">
      <c r="A495" s="31" t="s">
        <v>479</v>
      </c>
      <c r="B495" s="42" t="s">
        <v>315</v>
      </c>
      <c r="C495" s="42" t="s">
        <v>264</v>
      </c>
      <c r="D495" s="42" t="s">
        <v>480</v>
      </c>
      <c r="E495" s="42"/>
      <c r="F495" s="7">
        <f>F496</f>
        <v>34151.199999999997</v>
      </c>
      <c r="G495" s="7">
        <f t="shared" si="309"/>
        <v>33366.1</v>
      </c>
      <c r="H495" s="7">
        <f t="shared" si="309"/>
        <v>29080.799999999999</v>
      </c>
      <c r="I495" s="7">
        <f t="shared" si="309"/>
        <v>30905.8</v>
      </c>
      <c r="J495" s="7">
        <f t="shared" si="309"/>
        <v>32021.200000000001</v>
      </c>
      <c r="K495" s="7">
        <f t="shared" si="309"/>
        <v>30890.3</v>
      </c>
      <c r="L495" s="7">
        <f t="shared" si="309"/>
        <v>23114</v>
      </c>
      <c r="M495" s="7">
        <f t="shared" si="292"/>
        <v>74.826078089238365</v>
      </c>
    </row>
    <row r="496" spans="1:13" ht="47.25" x14ac:dyDescent="0.25">
      <c r="A496" s="31" t="s">
        <v>323</v>
      </c>
      <c r="B496" s="42" t="s">
        <v>315</v>
      </c>
      <c r="C496" s="42" t="s">
        <v>264</v>
      </c>
      <c r="D496" s="42" t="s">
        <v>480</v>
      </c>
      <c r="E496" s="42" t="s">
        <v>324</v>
      </c>
      <c r="F496" s="63">
        <f>F497</f>
        <v>34151.199999999997</v>
      </c>
      <c r="G496" s="63">
        <f t="shared" si="309"/>
        <v>33366.1</v>
      </c>
      <c r="H496" s="63">
        <f t="shared" si="309"/>
        <v>29080.799999999999</v>
      </c>
      <c r="I496" s="63">
        <f t="shared" si="309"/>
        <v>30905.8</v>
      </c>
      <c r="J496" s="63">
        <f t="shared" si="309"/>
        <v>32021.200000000001</v>
      </c>
      <c r="K496" s="63">
        <f t="shared" si="309"/>
        <v>30890.3</v>
      </c>
      <c r="L496" s="63">
        <f t="shared" si="309"/>
        <v>23114</v>
      </c>
      <c r="M496" s="7">
        <f t="shared" si="292"/>
        <v>74.826078089238365</v>
      </c>
    </row>
    <row r="497" spans="1:13" ht="15.75" x14ac:dyDescent="0.25">
      <c r="A497" s="31" t="s">
        <v>325</v>
      </c>
      <c r="B497" s="42" t="s">
        <v>315</v>
      </c>
      <c r="C497" s="42" t="s">
        <v>264</v>
      </c>
      <c r="D497" s="42" t="s">
        <v>480</v>
      </c>
      <c r="E497" s="42" t="s">
        <v>326</v>
      </c>
      <c r="F497" s="63">
        <f>'Прил.№4 ведомств.'!G653</f>
        <v>34151.199999999997</v>
      </c>
      <c r="G497" s="63">
        <f>'Прил.№4 ведомств.'!I653</f>
        <v>33366.1</v>
      </c>
      <c r="H497" s="63">
        <f>'Прил.№4 ведомств.'!J653</f>
        <v>29080.799999999999</v>
      </c>
      <c r="I497" s="63">
        <f>'Прил.№4 ведомств.'!K653</f>
        <v>30905.8</v>
      </c>
      <c r="J497" s="63">
        <f>'Прил.№4 ведомств.'!L653</f>
        <v>32021.200000000001</v>
      </c>
      <c r="K497" s="63">
        <f>'Прил.№4 ведомств.'!M653</f>
        <v>30890.3</v>
      </c>
      <c r="L497" s="63">
        <f>'Прил.№4 ведомств.'!N653</f>
        <v>23114</v>
      </c>
      <c r="M497" s="7">
        <f t="shared" si="292"/>
        <v>74.826078089238365</v>
      </c>
    </row>
    <row r="498" spans="1:13" ht="31.5" x14ac:dyDescent="0.25">
      <c r="A498" s="31" t="s">
        <v>482</v>
      </c>
      <c r="B498" s="42" t="s">
        <v>315</v>
      </c>
      <c r="C498" s="42" t="s">
        <v>264</v>
      </c>
      <c r="D498" s="42" t="s">
        <v>483</v>
      </c>
      <c r="E498" s="42"/>
      <c r="F498" s="7">
        <f>F499+F513+F528+F534+F503+F506+F531+F516+F510+F522+F525</f>
        <v>6675.4</v>
      </c>
      <c r="G498" s="7">
        <f>G499+G513+G528+G534+G503+G506+G531+G516+G510+G522+G525</f>
        <v>6675.3666666666668</v>
      </c>
      <c r="H498" s="7">
        <f>H499+H513+H528+H534+H503+H506+H531+H516+H510+H522+H525</f>
        <v>16647.800000000003</v>
      </c>
      <c r="I498" s="7">
        <f>I499+I513+I528+I534+I503+I506+I531+I516+I510+I522+I525</f>
        <v>11746.7</v>
      </c>
      <c r="J498" s="7">
        <f>J499+J513+J528+J534+J503+J506+J531+J516+J510+J522+J525</f>
        <v>9246.7000000000007</v>
      </c>
      <c r="K498" s="7">
        <f>K499+K513+K528+K534+K503+K506+K531+K516+K510+K522+K525+K519</f>
        <v>6615.9</v>
      </c>
      <c r="L498" s="7">
        <f t="shared" ref="L498" si="310">L499+L513+L528+L534+L503+L506+L531+L516+L510+L522+L525+L519</f>
        <v>5422.6</v>
      </c>
      <c r="M498" s="7">
        <f t="shared" si="292"/>
        <v>81.963149382548124</v>
      </c>
    </row>
    <row r="499" spans="1:13" ht="47.25" hidden="1" customHeight="1" x14ac:dyDescent="0.25">
      <c r="A499" s="31" t="s">
        <v>657</v>
      </c>
      <c r="B499" s="42" t="s">
        <v>315</v>
      </c>
      <c r="C499" s="42" t="s">
        <v>264</v>
      </c>
      <c r="D499" s="42" t="s">
        <v>663</v>
      </c>
      <c r="E499" s="42"/>
      <c r="F499" s="7">
        <f>F500</f>
        <v>0</v>
      </c>
      <c r="G499" s="7">
        <f t="shared" ref="G499:L501" si="311">G500</f>
        <v>0</v>
      </c>
      <c r="H499" s="7">
        <f t="shared" si="311"/>
        <v>0</v>
      </c>
      <c r="I499" s="7">
        <f t="shared" si="311"/>
        <v>0</v>
      </c>
      <c r="J499" s="7">
        <f t="shared" si="311"/>
        <v>0</v>
      </c>
      <c r="K499" s="7">
        <f t="shared" si="311"/>
        <v>0</v>
      </c>
      <c r="L499" s="7">
        <f t="shared" si="311"/>
        <v>0</v>
      </c>
      <c r="M499" s="7" t="e">
        <f t="shared" si="292"/>
        <v>#DIV/0!</v>
      </c>
    </row>
    <row r="500" spans="1:13" ht="47.25" hidden="1" customHeight="1" x14ac:dyDescent="0.25">
      <c r="A500" s="31" t="s">
        <v>323</v>
      </c>
      <c r="B500" s="42" t="s">
        <v>315</v>
      </c>
      <c r="C500" s="42" t="s">
        <v>264</v>
      </c>
      <c r="D500" s="42" t="s">
        <v>663</v>
      </c>
      <c r="E500" s="42" t="s">
        <v>324</v>
      </c>
      <c r="F500" s="7">
        <f>F501</f>
        <v>0</v>
      </c>
      <c r="G500" s="7">
        <f t="shared" si="311"/>
        <v>0</v>
      </c>
      <c r="H500" s="7">
        <f t="shared" si="311"/>
        <v>0</v>
      </c>
      <c r="I500" s="7">
        <f t="shared" si="311"/>
        <v>0</v>
      </c>
      <c r="J500" s="7">
        <f t="shared" si="311"/>
        <v>0</v>
      </c>
      <c r="K500" s="7">
        <f t="shared" si="311"/>
        <v>0</v>
      </c>
      <c r="L500" s="7">
        <f t="shared" si="311"/>
        <v>0</v>
      </c>
      <c r="M500" s="7" t="e">
        <f t="shared" si="292"/>
        <v>#DIV/0!</v>
      </c>
    </row>
    <row r="501" spans="1:13" ht="15.75" hidden="1" customHeight="1" x14ac:dyDescent="0.25">
      <c r="A501" s="31" t="s">
        <v>325</v>
      </c>
      <c r="B501" s="42" t="s">
        <v>315</v>
      </c>
      <c r="C501" s="42" t="s">
        <v>264</v>
      </c>
      <c r="D501" s="42" t="s">
        <v>663</v>
      </c>
      <c r="E501" s="42" t="s">
        <v>326</v>
      </c>
      <c r="F501" s="7">
        <f>F502</f>
        <v>0</v>
      </c>
      <c r="G501" s="7">
        <f t="shared" si="311"/>
        <v>0</v>
      </c>
      <c r="H501" s="7">
        <f t="shared" si="311"/>
        <v>0</v>
      </c>
      <c r="I501" s="7">
        <f t="shared" si="311"/>
        <v>0</v>
      </c>
      <c r="J501" s="7">
        <f t="shared" si="311"/>
        <v>0</v>
      </c>
      <c r="K501" s="7">
        <f t="shared" si="311"/>
        <v>0</v>
      </c>
      <c r="L501" s="7">
        <f t="shared" si="311"/>
        <v>0</v>
      </c>
      <c r="M501" s="7" t="e">
        <f t="shared" si="292"/>
        <v>#DIV/0!</v>
      </c>
    </row>
    <row r="502" spans="1:13" ht="15.75" hidden="1" customHeight="1" x14ac:dyDescent="0.25">
      <c r="A502" s="31" t="s">
        <v>660</v>
      </c>
      <c r="B502" s="42" t="s">
        <v>315</v>
      </c>
      <c r="C502" s="42" t="s">
        <v>264</v>
      </c>
      <c r="D502" s="42" t="s">
        <v>663</v>
      </c>
      <c r="E502" s="42" t="s">
        <v>661</v>
      </c>
      <c r="F502" s="7"/>
      <c r="G502" s="7"/>
      <c r="H502" s="7"/>
      <c r="I502" s="7"/>
      <c r="J502" s="7"/>
      <c r="K502" s="7"/>
      <c r="L502" s="7"/>
      <c r="M502" s="7" t="e">
        <f t="shared" si="292"/>
        <v>#DIV/0!</v>
      </c>
    </row>
    <row r="503" spans="1:13" ht="47.25" hidden="1" customHeight="1" x14ac:dyDescent="0.25">
      <c r="A503" s="31" t="s">
        <v>484</v>
      </c>
      <c r="B503" s="42" t="s">
        <v>315</v>
      </c>
      <c r="C503" s="42" t="s">
        <v>264</v>
      </c>
      <c r="D503" s="42" t="s">
        <v>485</v>
      </c>
      <c r="E503" s="42"/>
      <c r="F503" s="7">
        <f>F504</f>
        <v>0</v>
      </c>
      <c r="G503" s="7">
        <f t="shared" ref="G503:L504" si="312">G504</f>
        <v>0</v>
      </c>
      <c r="H503" s="7">
        <f t="shared" si="312"/>
        <v>0</v>
      </c>
      <c r="I503" s="7">
        <f t="shared" si="312"/>
        <v>0</v>
      </c>
      <c r="J503" s="7">
        <f t="shared" si="312"/>
        <v>0</v>
      </c>
      <c r="K503" s="7">
        <f t="shared" si="312"/>
        <v>0</v>
      </c>
      <c r="L503" s="7">
        <f t="shared" si="312"/>
        <v>0</v>
      </c>
      <c r="M503" s="7" t="e">
        <f t="shared" si="292"/>
        <v>#DIV/0!</v>
      </c>
    </row>
    <row r="504" spans="1:13" ht="47.25" hidden="1" customHeight="1" x14ac:dyDescent="0.25">
      <c r="A504" s="31" t="s">
        <v>323</v>
      </c>
      <c r="B504" s="42" t="s">
        <v>315</v>
      </c>
      <c r="C504" s="42" t="s">
        <v>264</v>
      </c>
      <c r="D504" s="42" t="s">
        <v>485</v>
      </c>
      <c r="E504" s="42" t="s">
        <v>324</v>
      </c>
      <c r="F504" s="7">
        <f>F505</f>
        <v>0</v>
      </c>
      <c r="G504" s="7">
        <f t="shared" si="312"/>
        <v>0</v>
      </c>
      <c r="H504" s="7">
        <f t="shared" si="312"/>
        <v>0</v>
      </c>
      <c r="I504" s="7">
        <f t="shared" si="312"/>
        <v>0</v>
      </c>
      <c r="J504" s="7">
        <f t="shared" si="312"/>
        <v>0</v>
      </c>
      <c r="K504" s="7">
        <f t="shared" si="312"/>
        <v>0</v>
      </c>
      <c r="L504" s="7">
        <f t="shared" si="312"/>
        <v>0</v>
      </c>
      <c r="M504" s="7" t="e">
        <f t="shared" si="292"/>
        <v>#DIV/0!</v>
      </c>
    </row>
    <row r="505" spans="1:13" ht="15.75" hidden="1" customHeight="1" x14ac:dyDescent="0.25">
      <c r="A505" s="31" t="s">
        <v>325</v>
      </c>
      <c r="B505" s="42" t="s">
        <v>315</v>
      </c>
      <c r="C505" s="42" t="s">
        <v>264</v>
      </c>
      <c r="D505" s="42" t="s">
        <v>485</v>
      </c>
      <c r="E505" s="42" t="s">
        <v>326</v>
      </c>
      <c r="F505" s="7"/>
      <c r="G505" s="7"/>
      <c r="H505" s="7"/>
      <c r="I505" s="7"/>
      <c r="J505" s="7"/>
      <c r="K505" s="7"/>
      <c r="L505" s="7"/>
      <c r="M505" s="7" t="e">
        <f t="shared" si="292"/>
        <v>#DIV/0!</v>
      </c>
    </row>
    <row r="506" spans="1:13" ht="31.5" hidden="1" customHeight="1" x14ac:dyDescent="0.25">
      <c r="A506" s="31" t="s">
        <v>331</v>
      </c>
      <c r="B506" s="42" t="s">
        <v>315</v>
      </c>
      <c r="C506" s="42" t="s">
        <v>264</v>
      </c>
      <c r="D506" s="42" t="s">
        <v>664</v>
      </c>
      <c r="E506" s="42"/>
      <c r="F506" s="7">
        <f>F507</f>
        <v>0</v>
      </c>
      <c r="G506" s="7">
        <f t="shared" ref="G506:L508" si="313">G507</f>
        <v>0</v>
      </c>
      <c r="H506" s="7">
        <f t="shared" si="313"/>
        <v>0</v>
      </c>
      <c r="I506" s="7">
        <f t="shared" si="313"/>
        <v>0</v>
      </c>
      <c r="J506" s="7">
        <f t="shared" si="313"/>
        <v>0</v>
      </c>
      <c r="K506" s="7">
        <f t="shared" si="313"/>
        <v>0</v>
      </c>
      <c r="L506" s="7">
        <f t="shared" si="313"/>
        <v>0</v>
      </c>
      <c r="M506" s="7" t="e">
        <f t="shared" si="292"/>
        <v>#DIV/0!</v>
      </c>
    </row>
    <row r="507" spans="1:13" ht="47.25" hidden="1" customHeight="1" x14ac:dyDescent="0.25">
      <c r="A507" s="31" t="s">
        <v>323</v>
      </c>
      <c r="B507" s="42" t="s">
        <v>315</v>
      </c>
      <c r="C507" s="42" t="s">
        <v>264</v>
      </c>
      <c r="D507" s="42" t="s">
        <v>664</v>
      </c>
      <c r="E507" s="42" t="s">
        <v>324</v>
      </c>
      <c r="F507" s="7">
        <f>F508</f>
        <v>0</v>
      </c>
      <c r="G507" s="7">
        <f t="shared" si="313"/>
        <v>0</v>
      </c>
      <c r="H507" s="7">
        <f t="shared" si="313"/>
        <v>0</v>
      </c>
      <c r="I507" s="7">
        <f t="shared" si="313"/>
        <v>0</v>
      </c>
      <c r="J507" s="7">
        <f t="shared" si="313"/>
        <v>0</v>
      </c>
      <c r="K507" s="7">
        <f t="shared" si="313"/>
        <v>0</v>
      </c>
      <c r="L507" s="7">
        <f t="shared" si="313"/>
        <v>0</v>
      </c>
      <c r="M507" s="7" t="e">
        <f t="shared" si="292"/>
        <v>#DIV/0!</v>
      </c>
    </row>
    <row r="508" spans="1:13" ht="15.75" hidden="1" customHeight="1" x14ac:dyDescent="0.25">
      <c r="A508" s="31" t="s">
        <v>325</v>
      </c>
      <c r="B508" s="42" t="s">
        <v>315</v>
      </c>
      <c r="C508" s="42" t="s">
        <v>264</v>
      </c>
      <c r="D508" s="42" t="s">
        <v>664</v>
      </c>
      <c r="E508" s="42" t="s">
        <v>326</v>
      </c>
      <c r="F508" s="7">
        <f>F509</f>
        <v>0</v>
      </c>
      <c r="G508" s="7">
        <f t="shared" si="313"/>
        <v>0</v>
      </c>
      <c r="H508" s="7">
        <f t="shared" si="313"/>
        <v>0</v>
      </c>
      <c r="I508" s="7">
        <f t="shared" si="313"/>
        <v>0</v>
      </c>
      <c r="J508" s="7">
        <f t="shared" si="313"/>
        <v>0</v>
      </c>
      <c r="K508" s="7">
        <f t="shared" si="313"/>
        <v>0</v>
      </c>
      <c r="L508" s="7">
        <f t="shared" si="313"/>
        <v>0</v>
      </c>
      <c r="M508" s="7" t="e">
        <f t="shared" si="292"/>
        <v>#DIV/0!</v>
      </c>
    </row>
    <row r="509" spans="1:13" ht="15.75" hidden="1" customHeight="1" x14ac:dyDescent="0.25">
      <c r="A509" s="31" t="s">
        <v>660</v>
      </c>
      <c r="B509" s="42" t="s">
        <v>315</v>
      </c>
      <c r="C509" s="42" t="s">
        <v>264</v>
      </c>
      <c r="D509" s="42" t="s">
        <v>664</v>
      </c>
      <c r="E509" s="42" t="s">
        <v>661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 t="e">
        <f t="shared" si="292"/>
        <v>#DIV/0!</v>
      </c>
    </row>
    <row r="510" spans="1:13" ht="31.5" hidden="1" customHeight="1" x14ac:dyDescent="0.25">
      <c r="A510" s="26" t="s">
        <v>486</v>
      </c>
      <c r="B510" s="42" t="s">
        <v>315</v>
      </c>
      <c r="C510" s="42" t="s">
        <v>264</v>
      </c>
      <c r="D510" s="42" t="s">
        <v>487</v>
      </c>
      <c r="E510" s="42"/>
      <c r="F510" s="7">
        <f>F511</f>
        <v>0</v>
      </c>
      <c r="G510" s="7">
        <f t="shared" ref="G510:L511" si="314">G511</f>
        <v>0</v>
      </c>
      <c r="H510" s="7">
        <f t="shared" si="314"/>
        <v>0</v>
      </c>
      <c r="I510" s="7">
        <f t="shared" si="314"/>
        <v>0</v>
      </c>
      <c r="J510" s="7">
        <f t="shared" si="314"/>
        <v>0</v>
      </c>
      <c r="K510" s="7">
        <f t="shared" si="314"/>
        <v>0</v>
      </c>
      <c r="L510" s="7">
        <f t="shared" si="314"/>
        <v>0</v>
      </c>
      <c r="M510" s="7" t="e">
        <f t="shared" si="292"/>
        <v>#DIV/0!</v>
      </c>
    </row>
    <row r="511" spans="1:13" ht="47.25" hidden="1" customHeight="1" x14ac:dyDescent="0.25">
      <c r="A511" s="26" t="s">
        <v>323</v>
      </c>
      <c r="B511" s="42" t="s">
        <v>315</v>
      </c>
      <c r="C511" s="42" t="s">
        <v>264</v>
      </c>
      <c r="D511" s="42" t="s">
        <v>487</v>
      </c>
      <c r="E511" s="42" t="s">
        <v>324</v>
      </c>
      <c r="F511" s="7">
        <f>F512</f>
        <v>0</v>
      </c>
      <c r="G511" s="7">
        <f t="shared" si="314"/>
        <v>0</v>
      </c>
      <c r="H511" s="7">
        <f t="shared" si="314"/>
        <v>0</v>
      </c>
      <c r="I511" s="7">
        <f t="shared" si="314"/>
        <v>0</v>
      </c>
      <c r="J511" s="7">
        <f t="shared" si="314"/>
        <v>0</v>
      </c>
      <c r="K511" s="7">
        <f t="shared" si="314"/>
        <v>0</v>
      </c>
      <c r="L511" s="7">
        <f t="shared" si="314"/>
        <v>0</v>
      </c>
      <c r="M511" s="7" t="e">
        <f t="shared" si="292"/>
        <v>#DIV/0!</v>
      </c>
    </row>
    <row r="512" spans="1:13" ht="15.75" hidden="1" customHeight="1" x14ac:dyDescent="0.25">
      <c r="A512" s="26" t="s">
        <v>325</v>
      </c>
      <c r="B512" s="42" t="s">
        <v>315</v>
      </c>
      <c r="C512" s="42" t="s">
        <v>264</v>
      </c>
      <c r="D512" s="42" t="s">
        <v>487</v>
      </c>
      <c r="E512" s="42" t="s">
        <v>326</v>
      </c>
      <c r="F512" s="7"/>
      <c r="G512" s="7"/>
      <c r="H512" s="7"/>
      <c r="I512" s="7"/>
      <c r="J512" s="7"/>
      <c r="K512" s="7"/>
      <c r="L512" s="7"/>
      <c r="M512" s="7" t="e">
        <f t="shared" si="292"/>
        <v>#DIV/0!</v>
      </c>
    </row>
    <row r="513" spans="1:13" ht="47.25" x14ac:dyDescent="0.25">
      <c r="A513" s="31" t="s">
        <v>665</v>
      </c>
      <c r="B513" s="42" t="s">
        <v>315</v>
      </c>
      <c r="C513" s="42" t="s">
        <v>264</v>
      </c>
      <c r="D513" s="42" t="s">
        <v>489</v>
      </c>
      <c r="E513" s="42"/>
      <c r="F513" s="7">
        <f>F514</f>
        <v>2690</v>
      </c>
      <c r="G513" s="7">
        <f t="shared" ref="G513:L514" si="315">G514</f>
        <v>2206.6666666666665</v>
      </c>
      <c r="H513" s="7">
        <f t="shared" si="315"/>
        <v>2967.9</v>
      </c>
      <c r="I513" s="7">
        <f t="shared" si="315"/>
        <v>2967.9</v>
      </c>
      <c r="J513" s="7">
        <f t="shared" si="315"/>
        <v>2967.9</v>
      </c>
      <c r="K513" s="7">
        <f t="shared" si="315"/>
        <v>2967.9</v>
      </c>
      <c r="L513" s="7">
        <f t="shared" si="315"/>
        <v>1918.6</v>
      </c>
      <c r="M513" s="7">
        <f t="shared" si="292"/>
        <v>64.64503521008119</v>
      </c>
    </row>
    <row r="514" spans="1:13" ht="47.25" x14ac:dyDescent="0.25">
      <c r="A514" s="31" t="s">
        <v>323</v>
      </c>
      <c r="B514" s="42" t="s">
        <v>315</v>
      </c>
      <c r="C514" s="42" t="s">
        <v>264</v>
      </c>
      <c r="D514" s="42" t="s">
        <v>489</v>
      </c>
      <c r="E514" s="42" t="s">
        <v>324</v>
      </c>
      <c r="F514" s="7">
        <f>F515</f>
        <v>2690</v>
      </c>
      <c r="G514" s="7">
        <f t="shared" si="315"/>
        <v>2206.6666666666665</v>
      </c>
      <c r="H514" s="7">
        <f t="shared" si="315"/>
        <v>2967.9</v>
      </c>
      <c r="I514" s="7">
        <f t="shared" si="315"/>
        <v>2967.9</v>
      </c>
      <c r="J514" s="7">
        <f t="shared" si="315"/>
        <v>2967.9</v>
      </c>
      <c r="K514" s="7">
        <f t="shared" si="315"/>
        <v>2967.9</v>
      </c>
      <c r="L514" s="7">
        <f t="shared" si="315"/>
        <v>1918.6</v>
      </c>
      <c r="M514" s="7">
        <f t="shared" si="292"/>
        <v>64.64503521008119</v>
      </c>
    </row>
    <row r="515" spans="1:13" ht="15.75" x14ac:dyDescent="0.25">
      <c r="A515" s="31" t="s">
        <v>325</v>
      </c>
      <c r="B515" s="42" t="s">
        <v>315</v>
      </c>
      <c r="C515" s="42" t="s">
        <v>264</v>
      </c>
      <c r="D515" s="42" t="s">
        <v>489</v>
      </c>
      <c r="E515" s="42" t="s">
        <v>326</v>
      </c>
      <c r="F515" s="7">
        <f>'Прил.№4 ведомств.'!G663</f>
        <v>2690</v>
      </c>
      <c r="G515" s="7">
        <f>'Прил.№4 ведомств.'!I663</f>
        <v>2206.6666666666665</v>
      </c>
      <c r="H515" s="7">
        <f>'Прил.№4 ведомств.'!J663</f>
        <v>2967.9</v>
      </c>
      <c r="I515" s="7">
        <f>'Прил.№4 ведомств.'!K663</f>
        <v>2967.9</v>
      </c>
      <c r="J515" s="7">
        <f>'Прил.№4 ведомств.'!L663</f>
        <v>2967.9</v>
      </c>
      <c r="K515" s="7">
        <f>'Прил.№4 ведомств.'!M663</f>
        <v>2967.9</v>
      </c>
      <c r="L515" s="7">
        <f>'Прил.№4 ведомств.'!N663</f>
        <v>1918.6</v>
      </c>
      <c r="M515" s="7">
        <f t="shared" si="292"/>
        <v>64.64503521008119</v>
      </c>
    </row>
    <row r="516" spans="1:13" ht="63" x14ac:dyDescent="0.25">
      <c r="A516" s="26" t="s">
        <v>490</v>
      </c>
      <c r="B516" s="42" t="s">
        <v>315</v>
      </c>
      <c r="C516" s="42" t="s">
        <v>264</v>
      </c>
      <c r="D516" s="21" t="s">
        <v>491</v>
      </c>
      <c r="E516" s="42"/>
      <c r="F516" s="7">
        <f>F517</f>
        <v>320</v>
      </c>
      <c r="G516" s="7">
        <f t="shared" ref="G516:L517" si="316">G517</f>
        <v>803.3</v>
      </c>
      <c r="H516" s="7">
        <f t="shared" si="316"/>
        <v>320</v>
      </c>
      <c r="I516" s="7">
        <f t="shared" si="316"/>
        <v>320</v>
      </c>
      <c r="J516" s="7">
        <f t="shared" si="316"/>
        <v>320</v>
      </c>
      <c r="K516" s="7">
        <f t="shared" si="316"/>
        <v>320</v>
      </c>
      <c r="L516" s="7">
        <f t="shared" si="316"/>
        <v>285.3</v>
      </c>
      <c r="M516" s="7">
        <f t="shared" si="292"/>
        <v>89.15625</v>
      </c>
    </row>
    <row r="517" spans="1:13" ht="47.25" x14ac:dyDescent="0.25">
      <c r="A517" s="26" t="s">
        <v>323</v>
      </c>
      <c r="B517" s="42" t="s">
        <v>315</v>
      </c>
      <c r="C517" s="42" t="s">
        <v>264</v>
      </c>
      <c r="D517" s="21" t="s">
        <v>491</v>
      </c>
      <c r="E517" s="42" t="s">
        <v>324</v>
      </c>
      <c r="F517" s="7">
        <f>F518</f>
        <v>320</v>
      </c>
      <c r="G517" s="7">
        <f t="shared" si="316"/>
        <v>803.3</v>
      </c>
      <c r="H517" s="7">
        <f t="shared" si="316"/>
        <v>320</v>
      </c>
      <c r="I517" s="7">
        <f t="shared" si="316"/>
        <v>320</v>
      </c>
      <c r="J517" s="7">
        <f t="shared" si="316"/>
        <v>320</v>
      </c>
      <c r="K517" s="7">
        <f t="shared" si="316"/>
        <v>320</v>
      </c>
      <c r="L517" s="7">
        <f t="shared" si="316"/>
        <v>285.3</v>
      </c>
      <c r="M517" s="7">
        <f t="shared" si="292"/>
        <v>89.15625</v>
      </c>
    </row>
    <row r="518" spans="1:13" ht="15.75" x14ac:dyDescent="0.25">
      <c r="A518" s="26" t="s">
        <v>325</v>
      </c>
      <c r="B518" s="42" t="s">
        <v>315</v>
      </c>
      <c r="C518" s="42" t="s">
        <v>264</v>
      </c>
      <c r="D518" s="21" t="s">
        <v>491</v>
      </c>
      <c r="E518" s="42" t="s">
        <v>326</v>
      </c>
      <c r="F518" s="7">
        <f>'Прил.№4 ведомств.'!G666</f>
        <v>320</v>
      </c>
      <c r="G518" s="7">
        <f>'Прил.№4 ведомств.'!I666</f>
        <v>803.3</v>
      </c>
      <c r="H518" s="7">
        <f>'Прил.№4 ведомств.'!J666</f>
        <v>320</v>
      </c>
      <c r="I518" s="7">
        <f>'Прил.№4 ведомств.'!K666</f>
        <v>320</v>
      </c>
      <c r="J518" s="7">
        <f>'Прил.№4 ведомств.'!L666</f>
        <v>320</v>
      </c>
      <c r="K518" s="7">
        <f>'Прил.№4 ведомств.'!M666</f>
        <v>320</v>
      </c>
      <c r="L518" s="7">
        <f>'Прил.№4 ведомств.'!N666</f>
        <v>285.3</v>
      </c>
      <c r="M518" s="7">
        <f t="shared" si="292"/>
        <v>89.15625</v>
      </c>
    </row>
    <row r="519" spans="1:13" ht="47.25" x14ac:dyDescent="0.25">
      <c r="A519" s="26" t="s">
        <v>492</v>
      </c>
      <c r="B519" s="42" t="s">
        <v>315</v>
      </c>
      <c r="C519" s="42" t="s">
        <v>264</v>
      </c>
      <c r="D519" s="21" t="s">
        <v>493</v>
      </c>
      <c r="E519" s="42"/>
      <c r="F519" s="7"/>
      <c r="G519" s="7"/>
      <c r="H519" s="7"/>
      <c r="I519" s="7"/>
      <c r="J519" s="7"/>
      <c r="K519" s="7">
        <f>K520</f>
        <v>107</v>
      </c>
      <c r="L519" s="7">
        <f t="shared" ref="L519:L520" si="317">L520</f>
        <v>107</v>
      </c>
      <c r="M519" s="7">
        <f t="shared" si="292"/>
        <v>100</v>
      </c>
    </row>
    <row r="520" spans="1:13" ht="47.25" x14ac:dyDescent="0.25">
      <c r="A520" s="26" t="s">
        <v>323</v>
      </c>
      <c r="B520" s="42" t="s">
        <v>315</v>
      </c>
      <c r="C520" s="42" t="s">
        <v>264</v>
      </c>
      <c r="D520" s="21" t="s">
        <v>493</v>
      </c>
      <c r="E520" s="42" t="s">
        <v>324</v>
      </c>
      <c r="F520" s="7"/>
      <c r="G520" s="7"/>
      <c r="H520" s="7"/>
      <c r="I520" s="7"/>
      <c r="J520" s="7"/>
      <c r="K520" s="7">
        <f>K521</f>
        <v>107</v>
      </c>
      <c r="L520" s="7">
        <f t="shared" si="317"/>
        <v>107</v>
      </c>
      <c r="M520" s="7">
        <f t="shared" si="292"/>
        <v>100</v>
      </c>
    </row>
    <row r="521" spans="1:13" ht="15.75" x14ac:dyDescent="0.25">
      <c r="A521" s="26" t="s">
        <v>325</v>
      </c>
      <c r="B521" s="42" t="s">
        <v>315</v>
      </c>
      <c r="C521" s="42" t="s">
        <v>264</v>
      </c>
      <c r="D521" s="21" t="s">
        <v>493</v>
      </c>
      <c r="E521" s="42" t="s">
        <v>326</v>
      </c>
      <c r="F521" s="7"/>
      <c r="G521" s="7"/>
      <c r="H521" s="7"/>
      <c r="I521" s="7"/>
      <c r="J521" s="7"/>
      <c r="K521" s="7">
        <f>'Прил.№4 ведомств.'!M669</f>
        <v>107</v>
      </c>
      <c r="L521" s="7">
        <f>'Прил.№4 ведомств.'!N669</f>
        <v>107</v>
      </c>
      <c r="M521" s="7">
        <f t="shared" si="292"/>
        <v>100</v>
      </c>
    </row>
    <row r="522" spans="1:13" ht="31.5" x14ac:dyDescent="0.25">
      <c r="A522" s="26" t="s">
        <v>329</v>
      </c>
      <c r="B522" s="42" t="s">
        <v>315</v>
      </c>
      <c r="C522" s="42" t="s">
        <v>264</v>
      </c>
      <c r="D522" s="21" t="s">
        <v>494</v>
      </c>
      <c r="E522" s="42"/>
      <c r="F522" s="7">
        <f>F523</f>
        <v>3309</v>
      </c>
      <c r="G522" s="7">
        <f t="shared" ref="G522:L523" si="318">G523</f>
        <v>3309</v>
      </c>
      <c r="H522" s="7">
        <f t="shared" si="318"/>
        <v>8601.1</v>
      </c>
      <c r="I522" s="7">
        <f t="shared" si="318"/>
        <v>4500</v>
      </c>
      <c r="J522" s="7">
        <f t="shared" si="318"/>
        <v>2000</v>
      </c>
      <c r="K522" s="7">
        <f t="shared" si="318"/>
        <v>300</v>
      </c>
      <c r="L522" s="7">
        <f t="shared" si="318"/>
        <v>200</v>
      </c>
      <c r="M522" s="7">
        <f t="shared" si="292"/>
        <v>66.666666666666657</v>
      </c>
    </row>
    <row r="523" spans="1:13" ht="47.25" x14ac:dyDescent="0.25">
      <c r="A523" s="26" t="s">
        <v>323</v>
      </c>
      <c r="B523" s="42" t="s">
        <v>315</v>
      </c>
      <c r="C523" s="42" t="s">
        <v>264</v>
      </c>
      <c r="D523" s="21" t="s">
        <v>494</v>
      </c>
      <c r="E523" s="42" t="s">
        <v>324</v>
      </c>
      <c r="F523" s="7">
        <f>F524</f>
        <v>3309</v>
      </c>
      <c r="G523" s="7">
        <f t="shared" si="318"/>
        <v>3309</v>
      </c>
      <c r="H523" s="7">
        <f t="shared" si="318"/>
        <v>8601.1</v>
      </c>
      <c r="I523" s="7">
        <f t="shared" si="318"/>
        <v>4500</v>
      </c>
      <c r="J523" s="7">
        <f t="shared" si="318"/>
        <v>2000</v>
      </c>
      <c r="K523" s="7">
        <f t="shared" si="318"/>
        <v>300</v>
      </c>
      <c r="L523" s="7">
        <f t="shared" si="318"/>
        <v>200</v>
      </c>
      <c r="M523" s="7">
        <f t="shared" si="292"/>
        <v>66.666666666666657</v>
      </c>
    </row>
    <row r="524" spans="1:13" ht="15.75" x14ac:dyDescent="0.25">
      <c r="A524" s="26" t="s">
        <v>325</v>
      </c>
      <c r="B524" s="42" t="s">
        <v>315</v>
      </c>
      <c r="C524" s="42" t="s">
        <v>264</v>
      </c>
      <c r="D524" s="21" t="s">
        <v>494</v>
      </c>
      <c r="E524" s="42" t="s">
        <v>326</v>
      </c>
      <c r="F524" s="7">
        <f>'Прил.№4 ведомств.'!G672</f>
        <v>3309</v>
      </c>
      <c r="G524" s="7">
        <f>'Прил.№4 ведомств.'!I672</f>
        <v>3309</v>
      </c>
      <c r="H524" s="7">
        <f>'Прил.№4 ведомств.'!J672</f>
        <v>8601.1</v>
      </c>
      <c r="I524" s="7">
        <f>'Прил.№4 ведомств.'!K672</f>
        <v>4500</v>
      </c>
      <c r="J524" s="7">
        <f>'Прил.№4 ведомств.'!L672</f>
        <v>2000</v>
      </c>
      <c r="K524" s="7">
        <f>'Прил.№4 ведомств.'!M672</f>
        <v>300</v>
      </c>
      <c r="L524" s="7">
        <f>'Прил.№4 ведомств.'!N672</f>
        <v>200</v>
      </c>
      <c r="M524" s="7">
        <f t="shared" si="292"/>
        <v>66.666666666666657</v>
      </c>
    </row>
    <row r="525" spans="1:13" ht="31.5" hidden="1" x14ac:dyDescent="0.25">
      <c r="A525" s="26" t="s">
        <v>331</v>
      </c>
      <c r="B525" s="21" t="s">
        <v>315</v>
      </c>
      <c r="C525" s="21" t="s">
        <v>264</v>
      </c>
      <c r="D525" s="21" t="s">
        <v>495</v>
      </c>
      <c r="E525" s="21"/>
      <c r="F525" s="7">
        <f>F526</f>
        <v>0</v>
      </c>
      <c r="G525" s="7">
        <f t="shared" ref="G525:L526" si="319">G526</f>
        <v>0</v>
      </c>
      <c r="H525" s="7">
        <f t="shared" si="319"/>
        <v>1000</v>
      </c>
      <c r="I525" s="7">
        <f t="shared" si="319"/>
        <v>700</v>
      </c>
      <c r="J525" s="7">
        <f t="shared" si="319"/>
        <v>700</v>
      </c>
      <c r="K525" s="7">
        <f t="shared" si="319"/>
        <v>0</v>
      </c>
      <c r="L525" s="7">
        <f t="shared" si="319"/>
        <v>0</v>
      </c>
      <c r="M525" s="7" t="e">
        <f t="shared" ref="M525:M588" si="320">L525/K525*100</f>
        <v>#DIV/0!</v>
      </c>
    </row>
    <row r="526" spans="1:13" ht="47.25" hidden="1" x14ac:dyDescent="0.25">
      <c r="A526" s="26" t="s">
        <v>323</v>
      </c>
      <c r="B526" s="21" t="s">
        <v>315</v>
      </c>
      <c r="C526" s="21" t="s">
        <v>264</v>
      </c>
      <c r="D526" s="21" t="s">
        <v>495</v>
      </c>
      <c r="E526" s="21" t="s">
        <v>324</v>
      </c>
      <c r="F526" s="7">
        <f>F527</f>
        <v>0</v>
      </c>
      <c r="G526" s="7">
        <f t="shared" si="319"/>
        <v>0</v>
      </c>
      <c r="H526" s="7">
        <f t="shared" si="319"/>
        <v>1000</v>
      </c>
      <c r="I526" s="7">
        <f t="shared" si="319"/>
        <v>700</v>
      </c>
      <c r="J526" s="7">
        <f t="shared" si="319"/>
        <v>700</v>
      </c>
      <c r="K526" s="7">
        <f t="shared" si="319"/>
        <v>0</v>
      </c>
      <c r="L526" s="7">
        <f t="shared" si="319"/>
        <v>0</v>
      </c>
      <c r="M526" s="7" t="e">
        <f t="shared" si="320"/>
        <v>#DIV/0!</v>
      </c>
    </row>
    <row r="527" spans="1:13" ht="15.75" hidden="1" x14ac:dyDescent="0.25">
      <c r="A527" s="26" t="s">
        <v>325</v>
      </c>
      <c r="B527" s="21" t="s">
        <v>315</v>
      </c>
      <c r="C527" s="21" t="s">
        <v>264</v>
      </c>
      <c r="D527" s="21" t="s">
        <v>495</v>
      </c>
      <c r="E527" s="21" t="s">
        <v>326</v>
      </c>
      <c r="F527" s="7">
        <f>'Прил.№4 ведомств.'!G675</f>
        <v>0</v>
      </c>
      <c r="G527" s="7">
        <f>'Прил.№4 ведомств.'!I675</f>
        <v>0</v>
      </c>
      <c r="H527" s="7">
        <f>'Прил.№4 ведомств.'!J675</f>
        <v>1000</v>
      </c>
      <c r="I527" s="7">
        <f>'Прил.№4 ведомств.'!K675</f>
        <v>700</v>
      </c>
      <c r="J527" s="7">
        <f>'Прил.№4 ведомств.'!L675</f>
        <v>700</v>
      </c>
      <c r="K527" s="7">
        <f>'Прил.№4 ведомств.'!M675</f>
        <v>0</v>
      </c>
      <c r="L527" s="7">
        <f>'Прил.№4 ведомств.'!N675</f>
        <v>0</v>
      </c>
      <c r="M527" s="7" t="e">
        <f t="shared" si="320"/>
        <v>#DIV/0!</v>
      </c>
    </row>
    <row r="528" spans="1:13" ht="31.5" x14ac:dyDescent="0.25">
      <c r="A528" s="31" t="s">
        <v>333</v>
      </c>
      <c r="B528" s="42" t="s">
        <v>315</v>
      </c>
      <c r="C528" s="42" t="s">
        <v>264</v>
      </c>
      <c r="D528" s="42" t="s">
        <v>496</v>
      </c>
      <c r="E528" s="42"/>
      <c r="F528" s="7">
        <f>F529</f>
        <v>127</v>
      </c>
      <c r="G528" s="7">
        <f t="shared" ref="G528:L529" si="321">G529</f>
        <v>127</v>
      </c>
      <c r="H528" s="7">
        <f t="shared" si="321"/>
        <v>214.8</v>
      </c>
      <c r="I528" s="7">
        <f t="shared" si="321"/>
        <v>214.8</v>
      </c>
      <c r="J528" s="7">
        <f t="shared" si="321"/>
        <v>214.8</v>
      </c>
      <c r="K528" s="7">
        <f t="shared" si="321"/>
        <v>127</v>
      </c>
      <c r="L528" s="7">
        <f t="shared" si="321"/>
        <v>117.7</v>
      </c>
      <c r="M528" s="7">
        <f t="shared" si="320"/>
        <v>92.677165354330711</v>
      </c>
    </row>
    <row r="529" spans="1:13" ht="47.25" x14ac:dyDescent="0.25">
      <c r="A529" s="31" t="s">
        <v>323</v>
      </c>
      <c r="B529" s="42" t="s">
        <v>315</v>
      </c>
      <c r="C529" s="42" t="s">
        <v>264</v>
      </c>
      <c r="D529" s="42" t="s">
        <v>496</v>
      </c>
      <c r="E529" s="42" t="s">
        <v>324</v>
      </c>
      <c r="F529" s="7">
        <f>F530</f>
        <v>127</v>
      </c>
      <c r="G529" s="7">
        <f t="shared" si="321"/>
        <v>127</v>
      </c>
      <c r="H529" s="7">
        <f t="shared" si="321"/>
        <v>214.8</v>
      </c>
      <c r="I529" s="7">
        <f t="shared" si="321"/>
        <v>214.8</v>
      </c>
      <c r="J529" s="7">
        <f t="shared" si="321"/>
        <v>214.8</v>
      </c>
      <c r="K529" s="7">
        <f t="shared" si="321"/>
        <v>127</v>
      </c>
      <c r="L529" s="7">
        <f t="shared" si="321"/>
        <v>117.7</v>
      </c>
      <c r="M529" s="7">
        <f t="shared" si="320"/>
        <v>92.677165354330711</v>
      </c>
    </row>
    <row r="530" spans="1:13" ht="15.75" x14ac:dyDescent="0.25">
      <c r="A530" s="31" t="s">
        <v>325</v>
      </c>
      <c r="B530" s="42" t="s">
        <v>315</v>
      </c>
      <c r="C530" s="42" t="s">
        <v>264</v>
      </c>
      <c r="D530" s="42" t="s">
        <v>496</v>
      </c>
      <c r="E530" s="42" t="s">
        <v>326</v>
      </c>
      <c r="F530" s="7">
        <f>'Прил.№4 ведомств.'!G678</f>
        <v>127</v>
      </c>
      <c r="G530" s="7">
        <f>'Прил.№4 ведомств.'!I678</f>
        <v>127</v>
      </c>
      <c r="H530" s="7">
        <f>'Прил.№4 ведомств.'!J678</f>
        <v>214.8</v>
      </c>
      <c r="I530" s="7">
        <f>'Прил.№4 ведомств.'!K678</f>
        <v>214.8</v>
      </c>
      <c r="J530" s="7">
        <f>'Прил.№4 ведомств.'!L678</f>
        <v>214.8</v>
      </c>
      <c r="K530" s="7">
        <f>'Прил.№4 ведомств.'!M678</f>
        <v>127</v>
      </c>
      <c r="L530" s="7">
        <f>'Прил.№4 ведомств.'!N678</f>
        <v>117.7</v>
      </c>
      <c r="M530" s="7">
        <f t="shared" si="320"/>
        <v>92.677165354330711</v>
      </c>
    </row>
    <row r="531" spans="1:13" ht="31.5" hidden="1" x14ac:dyDescent="0.25">
      <c r="A531" s="31" t="s">
        <v>335</v>
      </c>
      <c r="B531" s="42" t="s">
        <v>315</v>
      </c>
      <c r="C531" s="42" t="s">
        <v>264</v>
      </c>
      <c r="D531" s="42" t="s">
        <v>497</v>
      </c>
      <c r="E531" s="42"/>
      <c r="F531" s="7">
        <f>F532</f>
        <v>229.4</v>
      </c>
      <c r="G531" s="7">
        <f t="shared" ref="G531:L532" si="322">G532</f>
        <v>229.4</v>
      </c>
      <c r="H531" s="7">
        <f t="shared" si="322"/>
        <v>750</v>
      </c>
      <c r="I531" s="7">
        <f t="shared" si="322"/>
        <v>250</v>
      </c>
      <c r="J531" s="7">
        <f t="shared" si="322"/>
        <v>250</v>
      </c>
      <c r="K531" s="7">
        <f t="shared" si="322"/>
        <v>0</v>
      </c>
      <c r="L531" s="7">
        <f t="shared" si="322"/>
        <v>0</v>
      </c>
      <c r="M531" s="7" t="e">
        <f t="shared" si="320"/>
        <v>#DIV/0!</v>
      </c>
    </row>
    <row r="532" spans="1:13" ht="47.25" hidden="1" x14ac:dyDescent="0.25">
      <c r="A532" s="31" t="s">
        <v>323</v>
      </c>
      <c r="B532" s="42" t="s">
        <v>315</v>
      </c>
      <c r="C532" s="42" t="s">
        <v>264</v>
      </c>
      <c r="D532" s="42" t="s">
        <v>497</v>
      </c>
      <c r="E532" s="42" t="s">
        <v>324</v>
      </c>
      <c r="F532" s="7">
        <f>F533</f>
        <v>229.4</v>
      </c>
      <c r="G532" s="7">
        <f t="shared" si="322"/>
        <v>229.4</v>
      </c>
      <c r="H532" s="7">
        <f t="shared" si="322"/>
        <v>750</v>
      </c>
      <c r="I532" s="7">
        <f t="shared" si="322"/>
        <v>250</v>
      </c>
      <c r="J532" s="7">
        <f t="shared" si="322"/>
        <v>250</v>
      </c>
      <c r="K532" s="7">
        <f t="shared" si="322"/>
        <v>0</v>
      </c>
      <c r="L532" s="7">
        <f t="shared" si="322"/>
        <v>0</v>
      </c>
      <c r="M532" s="7" t="e">
        <f t="shared" si="320"/>
        <v>#DIV/0!</v>
      </c>
    </row>
    <row r="533" spans="1:13" ht="15.75" hidden="1" x14ac:dyDescent="0.25">
      <c r="A533" s="31" t="s">
        <v>325</v>
      </c>
      <c r="B533" s="42" t="s">
        <v>315</v>
      </c>
      <c r="C533" s="42" t="s">
        <v>264</v>
      </c>
      <c r="D533" s="42" t="s">
        <v>497</v>
      </c>
      <c r="E533" s="42" t="s">
        <v>326</v>
      </c>
      <c r="F533" s="7">
        <f>'Прил.№4 ведомств.'!G681</f>
        <v>229.4</v>
      </c>
      <c r="G533" s="7">
        <f>'Прил.№4 ведомств.'!I681</f>
        <v>229.4</v>
      </c>
      <c r="H533" s="7">
        <f>'Прил.№4 ведомств.'!J681</f>
        <v>750</v>
      </c>
      <c r="I533" s="7">
        <f>'Прил.№4 ведомств.'!K681</f>
        <v>250</v>
      </c>
      <c r="J533" s="7">
        <f>'Прил.№4 ведомств.'!L681</f>
        <v>250</v>
      </c>
      <c r="K533" s="7">
        <f>'Прил.№4 ведомств.'!M681</f>
        <v>0</v>
      </c>
      <c r="L533" s="7">
        <f>'Прил.№4 ведомств.'!N681</f>
        <v>0</v>
      </c>
      <c r="M533" s="7" t="e">
        <f t="shared" si="320"/>
        <v>#DIV/0!</v>
      </c>
    </row>
    <row r="534" spans="1:13" ht="31.5" customHeight="1" x14ac:dyDescent="0.25">
      <c r="A534" s="213" t="s">
        <v>861</v>
      </c>
      <c r="B534" s="21" t="s">
        <v>315</v>
      </c>
      <c r="C534" s="21" t="s">
        <v>264</v>
      </c>
      <c r="D534" s="21" t="s">
        <v>863</v>
      </c>
      <c r="E534" s="21"/>
      <c r="F534" s="7">
        <f>F535</f>
        <v>0</v>
      </c>
      <c r="G534" s="263">
        <f t="shared" ref="G534:L535" si="323">G535</f>
        <v>0</v>
      </c>
      <c r="H534" s="7">
        <f t="shared" si="323"/>
        <v>2794</v>
      </c>
      <c r="I534" s="7">
        <f t="shared" si="323"/>
        <v>2794</v>
      </c>
      <c r="J534" s="7">
        <f t="shared" si="323"/>
        <v>2794</v>
      </c>
      <c r="K534" s="7">
        <f t="shared" si="323"/>
        <v>2794</v>
      </c>
      <c r="L534" s="7">
        <f t="shared" si="323"/>
        <v>2794</v>
      </c>
      <c r="M534" s="7">
        <f t="shared" si="320"/>
        <v>100</v>
      </c>
    </row>
    <row r="535" spans="1:13" ht="21.75" customHeight="1" x14ac:dyDescent="0.25">
      <c r="A535" s="31" t="s">
        <v>660</v>
      </c>
      <c r="B535" s="21" t="s">
        <v>315</v>
      </c>
      <c r="C535" s="21" t="s">
        <v>264</v>
      </c>
      <c r="D535" s="21" t="s">
        <v>863</v>
      </c>
      <c r="E535" s="21" t="s">
        <v>324</v>
      </c>
      <c r="F535" s="7">
        <f>F536</f>
        <v>0</v>
      </c>
      <c r="G535" s="7">
        <f t="shared" si="323"/>
        <v>0</v>
      </c>
      <c r="H535" s="7">
        <f t="shared" si="323"/>
        <v>2794</v>
      </c>
      <c r="I535" s="7">
        <f t="shared" si="323"/>
        <v>2794</v>
      </c>
      <c r="J535" s="7">
        <f t="shared" si="323"/>
        <v>2794</v>
      </c>
      <c r="K535" s="7">
        <f t="shared" si="323"/>
        <v>2794</v>
      </c>
      <c r="L535" s="7">
        <f t="shared" si="323"/>
        <v>2794</v>
      </c>
      <c r="M535" s="7">
        <f t="shared" si="320"/>
        <v>100</v>
      </c>
    </row>
    <row r="536" spans="1:13" ht="15.75" customHeight="1" x14ac:dyDescent="0.25">
      <c r="A536" s="31" t="s">
        <v>325</v>
      </c>
      <c r="B536" s="21" t="s">
        <v>315</v>
      </c>
      <c r="C536" s="21" t="s">
        <v>264</v>
      </c>
      <c r="D536" s="21" t="s">
        <v>863</v>
      </c>
      <c r="E536" s="21" t="s">
        <v>326</v>
      </c>
      <c r="F536" s="7">
        <f>'Прил.№4 ведомств.'!G684</f>
        <v>0</v>
      </c>
      <c r="G536" s="7">
        <f>'Прил.№4 ведомств.'!I684</f>
        <v>0</v>
      </c>
      <c r="H536" s="7">
        <f>'Прил.№4 ведомств.'!J684</f>
        <v>2794</v>
      </c>
      <c r="I536" s="7">
        <f>'Прил.№4 ведомств.'!K684</f>
        <v>2794</v>
      </c>
      <c r="J536" s="7">
        <f>'Прил.№4 ведомств.'!L684</f>
        <v>2794</v>
      </c>
      <c r="K536" s="7">
        <f>'Прил.№4 ведомств.'!M684</f>
        <v>2794</v>
      </c>
      <c r="L536" s="7">
        <f>'Прил.№4 ведомств.'!N684</f>
        <v>2794</v>
      </c>
      <c r="M536" s="7">
        <f t="shared" si="320"/>
        <v>100</v>
      </c>
    </row>
    <row r="537" spans="1:13" ht="15.75" x14ac:dyDescent="0.25">
      <c r="A537" s="31" t="s">
        <v>172</v>
      </c>
      <c r="B537" s="42" t="s">
        <v>315</v>
      </c>
      <c r="C537" s="42" t="s">
        <v>264</v>
      </c>
      <c r="D537" s="42" t="s">
        <v>173</v>
      </c>
      <c r="E537" s="42"/>
      <c r="F537" s="7">
        <f>F538</f>
        <v>89857.8</v>
      </c>
      <c r="G537" s="7">
        <f t="shared" ref="G537:L537" si="324">G538</f>
        <v>89857.8</v>
      </c>
      <c r="H537" s="7">
        <f t="shared" si="324"/>
        <v>89857.8</v>
      </c>
      <c r="I537" s="7">
        <f t="shared" si="324"/>
        <v>89857.8</v>
      </c>
      <c r="J537" s="7">
        <f t="shared" si="324"/>
        <v>89857.8</v>
      </c>
      <c r="K537" s="7">
        <f t="shared" si="324"/>
        <v>99214.9</v>
      </c>
      <c r="L537" s="7">
        <f t="shared" si="324"/>
        <v>79677.400000000023</v>
      </c>
      <c r="M537" s="7">
        <f t="shared" si="320"/>
        <v>80.307897301715798</v>
      </c>
    </row>
    <row r="538" spans="1:13" ht="31.5" x14ac:dyDescent="0.25">
      <c r="A538" s="31" t="s">
        <v>236</v>
      </c>
      <c r="B538" s="42" t="s">
        <v>315</v>
      </c>
      <c r="C538" s="42" t="s">
        <v>264</v>
      </c>
      <c r="D538" s="42" t="s">
        <v>237</v>
      </c>
      <c r="E538" s="42"/>
      <c r="F538" s="7">
        <f>F539+F542+F545+F548+F554+F557+F560+F563+F566+F551</f>
        <v>89857.8</v>
      </c>
      <c r="G538" s="7">
        <f t="shared" ref="G538:K538" si="325">G539+G542+G545+G548+G554+G557+G560+G563+G566+G551</f>
        <v>89857.8</v>
      </c>
      <c r="H538" s="7">
        <f t="shared" si="325"/>
        <v>89857.8</v>
      </c>
      <c r="I538" s="7">
        <f t="shared" si="325"/>
        <v>89857.8</v>
      </c>
      <c r="J538" s="7">
        <f t="shared" si="325"/>
        <v>89857.8</v>
      </c>
      <c r="K538" s="7">
        <f t="shared" si="325"/>
        <v>99214.9</v>
      </c>
      <c r="L538" s="7">
        <f t="shared" ref="L538" si="326">L539+L542+L545+L548+L554+L557+L560+L563+L566+L551</f>
        <v>79677.400000000023</v>
      </c>
      <c r="M538" s="7">
        <f t="shared" si="320"/>
        <v>80.307897301715798</v>
      </c>
    </row>
    <row r="539" spans="1:13" ht="47.25" hidden="1" customHeight="1" x14ac:dyDescent="0.25">
      <c r="A539" s="26" t="s">
        <v>502</v>
      </c>
      <c r="B539" s="21" t="s">
        <v>315</v>
      </c>
      <c r="C539" s="21" t="s">
        <v>264</v>
      </c>
      <c r="D539" s="21" t="s">
        <v>503</v>
      </c>
      <c r="E539" s="21"/>
      <c r="F539" s="7">
        <f>F540</f>
        <v>0</v>
      </c>
      <c r="G539" s="7">
        <f t="shared" ref="G539:L540" si="327">G540</f>
        <v>0</v>
      </c>
      <c r="H539" s="7">
        <f t="shared" si="327"/>
        <v>0</v>
      </c>
      <c r="I539" s="7">
        <f t="shared" si="327"/>
        <v>0</v>
      </c>
      <c r="J539" s="7">
        <f t="shared" si="327"/>
        <v>0</v>
      </c>
      <c r="K539" s="7">
        <f t="shared" si="327"/>
        <v>0</v>
      </c>
      <c r="L539" s="7">
        <f t="shared" si="327"/>
        <v>0</v>
      </c>
      <c r="M539" s="7" t="e">
        <f t="shared" si="320"/>
        <v>#DIV/0!</v>
      </c>
    </row>
    <row r="540" spans="1:13" ht="47.25" hidden="1" customHeight="1" x14ac:dyDescent="0.25">
      <c r="A540" s="26" t="s">
        <v>323</v>
      </c>
      <c r="B540" s="21" t="s">
        <v>315</v>
      </c>
      <c r="C540" s="21" t="s">
        <v>264</v>
      </c>
      <c r="D540" s="21" t="s">
        <v>503</v>
      </c>
      <c r="E540" s="21" t="s">
        <v>324</v>
      </c>
      <c r="F540" s="7">
        <f>F541</f>
        <v>0</v>
      </c>
      <c r="G540" s="7">
        <f t="shared" si="327"/>
        <v>0</v>
      </c>
      <c r="H540" s="7">
        <f t="shared" si="327"/>
        <v>0</v>
      </c>
      <c r="I540" s="7">
        <f t="shared" si="327"/>
        <v>0</v>
      </c>
      <c r="J540" s="7">
        <f t="shared" si="327"/>
        <v>0</v>
      </c>
      <c r="K540" s="7">
        <f t="shared" si="327"/>
        <v>0</v>
      </c>
      <c r="L540" s="7">
        <f t="shared" si="327"/>
        <v>0</v>
      </c>
      <c r="M540" s="7" t="e">
        <f t="shared" si="320"/>
        <v>#DIV/0!</v>
      </c>
    </row>
    <row r="541" spans="1:13" ht="15.75" hidden="1" customHeight="1" x14ac:dyDescent="0.25">
      <c r="A541" s="26" t="s">
        <v>325</v>
      </c>
      <c r="B541" s="21" t="s">
        <v>315</v>
      </c>
      <c r="C541" s="21" t="s">
        <v>264</v>
      </c>
      <c r="D541" s="21" t="s">
        <v>503</v>
      </c>
      <c r="E541" s="21" t="s">
        <v>326</v>
      </c>
      <c r="F541" s="7"/>
      <c r="G541" s="7"/>
      <c r="H541" s="7"/>
      <c r="I541" s="7"/>
      <c r="J541" s="7"/>
      <c r="K541" s="7"/>
      <c r="L541" s="7"/>
      <c r="M541" s="7" t="e">
        <f t="shared" si="320"/>
        <v>#DIV/0!</v>
      </c>
    </row>
    <row r="542" spans="1:13" ht="15.75" hidden="1" customHeight="1" x14ac:dyDescent="0.25">
      <c r="A542" s="26" t="s">
        <v>504</v>
      </c>
      <c r="B542" s="21" t="s">
        <v>315</v>
      </c>
      <c r="C542" s="21" t="s">
        <v>264</v>
      </c>
      <c r="D542" s="21" t="s">
        <v>505</v>
      </c>
      <c r="E542" s="21"/>
      <c r="F542" s="7">
        <f>F543</f>
        <v>0</v>
      </c>
      <c r="G542" s="7">
        <f t="shared" ref="G542:L543" si="328">G543</f>
        <v>0</v>
      </c>
      <c r="H542" s="7">
        <f t="shared" si="328"/>
        <v>0</v>
      </c>
      <c r="I542" s="7">
        <f t="shared" si="328"/>
        <v>0</v>
      </c>
      <c r="J542" s="7">
        <f t="shared" si="328"/>
        <v>0</v>
      </c>
      <c r="K542" s="7">
        <f t="shared" si="328"/>
        <v>0</v>
      </c>
      <c r="L542" s="7">
        <f t="shared" si="328"/>
        <v>0</v>
      </c>
      <c r="M542" s="7" t="e">
        <f t="shared" si="320"/>
        <v>#DIV/0!</v>
      </c>
    </row>
    <row r="543" spans="1:13" ht="47.25" hidden="1" customHeight="1" x14ac:dyDescent="0.25">
      <c r="A543" s="26" t="s">
        <v>323</v>
      </c>
      <c r="B543" s="21" t="s">
        <v>315</v>
      </c>
      <c r="C543" s="21" t="s">
        <v>264</v>
      </c>
      <c r="D543" s="21" t="s">
        <v>505</v>
      </c>
      <c r="E543" s="21" t="s">
        <v>324</v>
      </c>
      <c r="F543" s="7">
        <f>F544</f>
        <v>0</v>
      </c>
      <c r="G543" s="7">
        <f t="shared" si="328"/>
        <v>0</v>
      </c>
      <c r="H543" s="7">
        <f t="shared" si="328"/>
        <v>0</v>
      </c>
      <c r="I543" s="7">
        <f t="shared" si="328"/>
        <v>0</v>
      </c>
      <c r="J543" s="7">
        <f t="shared" si="328"/>
        <v>0</v>
      </c>
      <c r="K543" s="7">
        <f t="shared" si="328"/>
        <v>0</v>
      </c>
      <c r="L543" s="7">
        <f t="shared" si="328"/>
        <v>0</v>
      </c>
      <c r="M543" s="7" t="e">
        <f t="shared" si="320"/>
        <v>#DIV/0!</v>
      </c>
    </row>
    <row r="544" spans="1:13" ht="15.75" hidden="1" customHeight="1" x14ac:dyDescent="0.25">
      <c r="A544" s="26" t="s">
        <v>325</v>
      </c>
      <c r="B544" s="21" t="s">
        <v>315</v>
      </c>
      <c r="C544" s="21" t="s">
        <v>264</v>
      </c>
      <c r="D544" s="21" t="s">
        <v>505</v>
      </c>
      <c r="E544" s="21" t="s">
        <v>326</v>
      </c>
      <c r="F544" s="7"/>
      <c r="G544" s="7"/>
      <c r="H544" s="7"/>
      <c r="I544" s="7"/>
      <c r="J544" s="7"/>
      <c r="K544" s="7"/>
      <c r="L544" s="7"/>
      <c r="M544" s="7" t="e">
        <f t="shared" si="320"/>
        <v>#DIV/0!</v>
      </c>
    </row>
    <row r="545" spans="1:13" ht="31.5" hidden="1" customHeight="1" x14ac:dyDescent="0.25">
      <c r="A545" s="31" t="s">
        <v>672</v>
      </c>
      <c r="B545" s="42" t="s">
        <v>315</v>
      </c>
      <c r="C545" s="42" t="s">
        <v>264</v>
      </c>
      <c r="D545" s="42" t="s">
        <v>507</v>
      </c>
      <c r="E545" s="42"/>
      <c r="F545" s="7">
        <f>F546</f>
        <v>0</v>
      </c>
      <c r="G545" s="7">
        <f t="shared" ref="G545:L546" si="329">G546</f>
        <v>0</v>
      </c>
      <c r="H545" s="7">
        <f t="shared" si="329"/>
        <v>0</v>
      </c>
      <c r="I545" s="7">
        <f t="shared" si="329"/>
        <v>0</v>
      </c>
      <c r="J545" s="7">
        <f t="shared" si="329"/>
        <v>0</v>
      </c>
      <c r="K545" s="7">
        <f t="shared" si="329"/>
        <v>0</v>
      </c>
      <c r="L545" s="7">
        <f t="shared" si="329"/>
        <v>0</v>
      </c>
      <c r="M545" s="7" t="e">
        <f t="shared" si="320"/>
        <v>#DIV/0!</v>
      </c>
    </row>
    <row r="546" spans="1:13" ht="47.25" hidden="1" customHeight="1" x14ac:dyDescent="0.25">
      <c r="A546" s="31" t="s">
        <v>323</v>
      </c>
      <c r="B546" s="42" t="s">
        <v>315</v>
      </c>
      <c r="C546" s="42" t="s">
        <v>264</v>
      </c>
      <c r="D546" s="42" t="s">
        <v>507</v>
      </c>
      <c r="E546" s="42" t="s">
        <v>324</v>
      </c>
      <c r="F546" s="7">
        <f>F547</f>
        <v>0</v>
      </c>
      <c r="G546" s="7">
        <f t="shared" si="329"/>
        <v>0</v>
      </c>
      <c r="H546" s="7">
        <f t="shared" si="329"/>
        <v>0</v>
      </c>
      <c r="I546" s="7">
        <f t="shared" si="329"/>
        <v>0</v>
      </c>
      <c r="J546" s="7">
        <f t="shared" si="329"/>
        <v>0</v>
      </c>
      <c r="K546" s="7">
        <f t="shared" si="329"/>
        <v>0</v>
      </c>
      <c r="L546" s="7">
        <f t="shared" si="329"/>
        <v>0</v>
      </c>
      <c r="M546" s="7" t="e">
        <f t="shared" si="320"/>
        <v>#DIV/0!</v>
      </c>
    </row>
    <row r="547" spans="1:13" ht="15.75" hidden="1" customHeight="1" x14ac:dyDescent="0.25">
      <c r="A547" s="31" t="s">
        <v>325</v>
      </c>
      <c r="B547" s="42" t="s">
        <v>315</v>
      </c>
      <c r="C547" s="42" t="s">
        <v>264</v>
      </c>
      <c r="D547" s="42" t="s">
        <v>507</v>
      </c>
      <c r="E547" s="42" t="s">
        <v>326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 t="e">
        <f t="shared" si="320"/>
        <v>#DIV/0!</v>
      </c>
    </row>
    <row r="548" spans="1:13" ht="31.5" x14ac:dyDescent="0.25">
      <c r="A548" s="31" t="s">
        <v>508</v>
      </c>
      <c r="B548" s="42" t="s">
        <v>315</v>
      </c>
      <c r="C548" s="42" t="s">
        <v>264</v>
      </c>
      <c r="D548" s="42" t="s">
        <v>509</v>
      </c>
      <c r="E548" s="42"/>
      <c r="F548" s="7">
        <f>F549</f>
        <v>1293.5999999999999</v>
      </c>
      <c r="G548" s="7">
        <f t="shared" ref="G548:L549" si="330">G549</f>
        <v>1293.5999999999999</v>
      </c>
      <c r="H548" s="7">
        <f t="shared" si="330"/>
        <v>1293.5999999999999</v>
      </c>
      <c r="I548" s="7">
        <f t="shared" si="330"/>
        <v>1293.5999999999999</v>
      </c>
      <c r="J548" s="7">
        <f t="shared" si="330"/>
        <v>1293.5999999999999</v>
      </c>
      <c r="K548" s="7">
        <f t="shared" si="330"/>
        <v>1293.5999999999999</v>
      </c>
      <c r="L548" s="7">
        <f t="shared" si="330"/>
        <v>813.6</v>
      </c>
      <c r="M548" s="7">
        <f t="shared" si="320"/>
        <v>62.894248608534333</v>
      </c>
    </row>
    <row r="549" spans="1:13" ht="47.25" x14ac:dyDescent="0.25">
      <c r="A549" s="31" t="s">
        <v>323</v>
      </c>
      <c r="B549" s="42" t="s">
        <v>315</v>
      </c>
      <c r="C549" s="42" t="s">
        <v>264</v>
      </c>
      <c r="D549" s="42" t="s">
        <v>509</v>
      </c>
      <c r="E549" s="42" t="s">
        <v>324</v>
      </c>
      <c r="F549" s="7">
        <f>F550</f>
        <v>1293.5999999999999</v>
      </c>
      <c r="G549" s="7">
        <f t="shared" si="330"/>
        <v>1293.5999999999999</v>
      </c>
      <c r="H549" s="7">
        <f t="shared" si="330"/>
        <v>1293.5999999999999</v>
      </c>
      <c r="I549" s="7">
        <f t="shared" si="330"/>
        <v>1293.5999999999999</v>
      </c>
      <c r="J549" s="7">
        <f t="shared" si="330"/>
        <v>1293.5999999999999</v>
      </c>
      <c r="K549" s="7">
        <f t="shared" si="330"/>
        <v>1293.5999999999999</v>
      </c>
      <c r="L549" s="7">
        <f t="shared" si="330"/>
        <v>813.6</v>
      </c>
      <c r="M549" s="7">
        <f t="shared" si="320"/>
        <v>62.894248608534333</v>
      </c>
    </row>
    <row r="550" spans="1:13" ht="15.75" x14ac:dyDescent="0.25">
      <c r="A550" s="31" t="s">
        <v>325</v>
      </c>
      <c r="B550" s="42" t="s">
        <v>315</v>
      </c>
      <c r="C550" s="42" t="s">
        <v>264</v>
      </c>
      <c r="D550" s="42" t="s">
        <v>509</v>
      </c>
      <c r="E550" s="42" t="s">
        <v>326</v>
      </c>
      <c r="F550" s="7">
        <f>'Прил.№4 ведомств.'!G698</f>
        <v>1293.5999999999999</v>
      </c>
      <c r="G550" s="7">
        <f>'Прил.№4 ведомств.'!I698</f>
        <v>1293.5999999999999</v>
      </c>
      <c r="H550" s="7">
        <f>'Прил.№4 ведомств.'!J698</f>
        <v>1293.5999999999999</v>
      </c>
      <c r="I550" s="7">
        <f>'Прил.№4 ведомств.'!K698</f>
        <v>1293.5999999999999</v>
      </c>
      <c r="J550" s="7">
        <f>'Прил.№4 ведомств.'!L698</f>
        <v>1293.5999999999999</v>
      </c>
      <c r="K550" s="7">
        <f>'Прил.№4 ведомств.'!M698</f>
        <v>1293.5999999999999</v>
      </c>
      <c r="L550" s="7">
        <f>'Прил.№4 ведомств.'!N698</f>
        <v>813.6</v>
      </c>
      <c r="M550" s="7">
        <f t="shared" si="320"/>
        <v>62.894248608534333</v>
      </c>
    </row>
    <row r="551" spans="1:13" ht="47.25" x14ac:dyDescent="0.25">
      <c r="A551" s="26" t="s">
        <v>510</v>
      </c>
      <c r="B551" s="42" t="s">
        <v>315</v>
      </c>
      <c r="C551" s="42" t="s">
        <v>264</v>
      </c>
      <c r="D551" s="42" t="s">
        <v>511</v>
      </c>
      <c r="E551" s="42"/>
      <c r="F551" s="7">
        <f>F552</f>
        <v>488.7</v>
      </c>
      <c r="G551" s="7">
        <f t="shared" ref="G551:L552" si="331">G552</f>
        <v>488.7</v>
      </c>
      <c r="H551" s="7">
        <f t="shared" si="331"/>
        <v>488.7</v>
      </c>
      <c r="I551" s="7">
        <f t="shared" si="331"/>
        <v>488.7</v>
      </c>
      <c r="J551" s="7">
        <f t="shared" si="331"/>
        <v>488.7</v>
      </c>
      <c r="K551" s="7">
        <f t="shared" si="331"/>
        <v>488.7</v>
      </c>
      <c r="L551" s="7">
        <f t="shared" si="331"/>
        <v>352.3</v>
      </c>
      <c r="M551" s="7">
        <f t="shared" si="320"/>
        <v>72.089216288111331</v>
      </c>
    </row>
    <row r="552" spans="1:13" ht="47.25" x14ac:dyDescent="0.25">
      <c r="A552" s="26" t="s">
        <v>323</v>
      </c>
      <c r="B552" s="42" t="s">
        <v>315</v>
      </c>
      <c r="C552" s="42" t="s">
        <v>264</v>
      </c>
      <c r="D552" s="42" t="s">
        <v>511</v>
      </c>
      <c r="E552" s="42" t="s">
        <v>324</v>
      </c>
      <c r="F552" s="7">
        <f>F553</f>
        <v>488.7</v>
      </c>
      <c r="G552" s="7">
        <f t="shared" si="331"/>
        <v>488.7</v>
      </c>
      <c r="H552" s="7">
        <f t="shared" si="331"/>
        <v>488.7</v>
      </c>
      <c r="I552" s="7">
        <f t="shared" si="331"/>
        <v>488.7</v>
      </c>
      <c r="J552" s="7">
        <f t="shared" si="331"/>
        <v>488.7</v>
      </c>
      <c r="K552" s="7">
        <f t="shared" si="331"/>
        <v>488.7</v>
      </c>
      <c r="L552" s="7">
        <f t="shared" si="331"/>
        <v>352.3</v>
      </c>
      <c r="M552" s="7">
        <f t="shared" si="320"/>
        <v>72.089216288111331</v>
      </c>
    </row>
    <row r="553" spans="1:13" ht="15.75" x14ac:dyDescent="0.25">
      <c r="A553" s="26" t="s">
        <v>325</v>
      </c>
      <c r="B553" s="42" t="s">
        <v>315</v>
      </c>
      <c r="C553" s="42" t="s">
        <v>264</v>
      </c>
      <c r="D553" s="42" t="s">
        <v>511</v>
      </c>
      <c r="E553" s="42" t="s">
        <v>326</v>
      </c>
      <c r="F553" s="7">
        <f>'Прил.№4 ведомств.'!G701</f>
        <v>488.7</v>
      </c>
      <c r="G553" s="7">
        <f>'Прил.№4 ведомств.'!I701</f>
        <v>488.7</v>
      </c>
      <c r="H553" s="7">
        <f>'Прил.№4 ведомств.'!J701</f>
        <v>488.7</v>
      </c>
      <c r="I553" s="7">
        <f>'Прил.№4 ведомств.'!K701</f>
        <v>488.7</v>
      </c>
      <c r="J553" s="7">
        <f>'Прил.№4 ведомств.'!L701</f>
        <v>488.7</v>
      </c>
      <c r="K553" s="7">
        <f>'Прил.№4 ведомств.'!M701</f>
        <v>488.7</v>
      </c>
      <c r="L553" s="7">
        <f>'Прил.№4 ведомств.'!N701</f>
        <v>352.3</v>
      </c>
      <c r="M553" s="7">
        <f t="shared" si="320"/>
        <v>72.089216288111331</v>
      </c>
    </row>
    <row r="554" spans="1:13" ht="78.75" x14ac:dyDescent="0.25">
      <c r="A554" s="33" t="s">
        <v>512</v>
      </c>
      <c r="B554" s="42" t="s">
        <v>315</v>
      </c>
      <c r="C554" s="42" t="s">
        <v>264</v>
      </c>
      <c r="D554" s="42" t="s">
        <v>513</v>
      </c>
      <c r="E554" s="42"/>
      <c r="F554" s="7">
        <f>F555</f>
        <v>79753.600000000006</v>
      </c>
      <c r="G554" s="7">
        <f t="shared" ref="G554:L555" si="332">G555</f>
        <v>79753.600000000006</v>
      </c>
      <c r="H554" s="7">
        <f t="shared" si="332"/>
        <v>79753.600000000006</v>
      </c>
      <c r="I554" s="7">
        <f t="shared" si="332"/>
        <v>79753.600000000006</v>
      </c>
      <c r="J554" s="7">
        <f t="shared" si="332"/>
        <v>79753.600000000006</v>
      </c>
      <c r="K554" s="7">
        <f t="shared" si="332"/>
        <v>89054.5</v>
      </c>
      <c r="L554" s="7">
        <f t="shared" si="332"/>
        <v>71774.600000000006</v>
      </c>
      <c r="M554" s="7">
        <f t="shared" si="320"/>
        <v>80.596264085475752</v>
      </c>
    </row>
    <row r="555" spans="1:13" ht="47.25" x14ac:dyDescent="0.25">
      <c r="A555" s="31" t="s">
        <v>323</v>
      </c>
      <c r="B555" s="42" t="s">
        <v>315</v>
      </c>
      <c r="C555" s="42" t="s">
        <v>264</v>
      </c>
      <c r="D555" s="42" t="s">
        <v>513</v>
      </c>
      <c r="E555" s="42" t="s">
        <v>324</v>
      </c>
      <c r="F555" s="7">
        <f>F556</f>
        <v>79753.600000000006</v>
      </c>
      <c r="G555" s="7">
        <f t="shared" si="332"/>
        <v>79753.600000000006</v>
      </c>
      <c r="H555" s="7">
        <f t="shared" si="332"/>
        <v>79753.600000000006</v>
      </c>
      <c r="I555" s="7">
        <f t="shared" si="332"/>
        <v>79753.600000000006</v>
      </c>
      <c r="J555" s="7">
        <f t="shared" si="332"/>
        <v>79753.600000000006</v>
      </c>
      <c r="K555" s="7">
        <f t="shared" si="332"/>
        <v>89054.5</v>
      </c>
      <c r="L555" s="7">
        <f t="shared" si="332"/>
        <v>71774.600000000006</v>
      </c>
      <c r="M555" s="7">
        <f t="shared" si="320"/>
        <v>80.596264085475752</v>
      </c>
    </row>
    <row r="556" spans="1:13" ht="15.75" x14ac:dyDescent="0.25">
      <c r="A556" s="31" t="s">
        <v>325</v>
      </c>
      <c r="B556" s="42" t="s">
        <v>315</v>
      </c>
      <c r="C556" s="42" t="s">
        <v>264</v>
      </c>
      <c r="D556" s="42" t="s">
        <v>513</v>
      </c>
      <c r="E556" s="42" t="s">
        <v>326</v>
      </c>
      <c r="F556" s="7">
        <f>'Прил.№4 ведомств.'!G704</f>
        <v>79753.600000000006</v>
      </c>
      <c r="G556" s="7">
        <f>'Прил.№4 ведомств.'!I704</f>
        <v>79753.600000000006</v>
      </c>
      <c r="H556" s="7">
        <f>'Прил.№4 ведомств.'!J704</f>
        <v>79753.600000000006</v>
      </c>
      <c r="I556" s="7">
        <f>'Прил.№4 ведомств.'!K704</f>
        <v>79753.600000000006</v>
      </c>
      <c r="J556" s="7">
        <f>'Прил.№4 ведомств.'!L704</f>
        <v>79753.600000000006</v>
      </c>
      <c r="K556" s="7">
        <f>'Прил.№4 ведомств.'!M704</f>
        <v>89054.5</v>
      </c>
      <c r="L556" s="7">
        <f>'Прил.№4 ведомств.'!N704</f>
        <v>71774.600000000006</v>
      </c>
      <c r="M556" s="7">
        <f t="shared" si="320"/>
        <v>80.596264085475752</v>
      </c>
    </row>
    <row r="557" spans="1:13" ht="63" x14ac:dyDescent="0.25">
      <c r="A557" s="47" t="s">
        <v>340</v>
      </c>
      <c r="B557" s="42" t="s">
        <v>315</v>
      </c>
      <c r="C557" s="42" t="s">
        <v>264</v>
      </c>
      <c r="D557" s="42" t="s">
        <v>341</v>
      </c>
      <c r="E557" s="42"/>
      <c r="F557" s="7">
        <f>F558</f>
        <v>910.90000000000009</v>
      </c>
      <c r="G557" s="7">
        <f t="shared" ref="G557:L558" si="333">G558</f>
        <v>910.90000000000009</v>
      </c>
      <c r="H557" s="7">
        <f t="shared" si="333"/>
        <v>910.90000000000009</v>
      </c>
      <c r="I557" s="7">
        <f t="shared" si="333"/>
        <v>910.90000000000009</v>
      </c>
      <c r="J557" s="7">
        <f t="shared" si="333"/>
        <v>910.90000000000009</v>
      </c>
      <c r="K557" s="7">
        <f t="shared" si="333"/>
        <v>910.90000000000009</v>
      </c>
      <c r="L557" s="7">
        <f t="shared" si="333"/>
        <v>590.5</v>
      </c>
      <c r="M557" s="7">
        <f t="shared" si="320"/>
        <v>64.825996267427811</v>
      </c>
    </row>
    <row r="558" spans="1:13" ht="47.25" x14ac:dyDescent="0.25">
      <c r="A558" s="31" t="s">
        <v>323</v>
      </c>
      <c r="B558" s="42" t="s">
        <v>315</v>
      </c>
      <c r="C558" s="42" t="s">
        <v>264</v>
      </c>
      <c r="D558" s="42" t="s">
        <v>341</v>
      </c>
      <c r="E558" s="42" t="s">
        <v>324</v>
      </c>
      <c r="F558" s="7">
        <f>F559</f>
        <v>910.90000000000009</v>
      </c>
      <c r="G558" s="7">
        <f t="shared" si="333"/>
        <v>910.90000000000009</v>
      </c>
      <c r="H558" s="7">
        <f t="shared" si="333"/>
        <v>910.90000000000009</v>
      </c>
      <c r="I558" s="7">
        <f t="shared" si="333"/>
        <v>910.90000000000009</v>
      </c>
      <c r="J558" s="7">
        <f t="shared" si="333"/>
        <v>910.90000000000009</v>
      </c>
      <c r="K558" s="7">
        <f t="shared" si="333"/>
        <v>910.90000000000009</v>
      </c>
      <c r="L558" s="7">
        <f t="shared" si="333"/>
        <v>590.5</v>
      </c>
      <c r="M558" s="7">
        <f t="shared" si="320"/>
        <v>64.825996267427811</v>
      </c>
    </row>
    <row r="559" spans="1:13" ht="15.75" x14ac:dyDescent="0.25">
      <c r="A559" s="31" t="s">
        <v>325</v>
      </c>
      <c r="B559" s="42" t="s">
        <v>315</v>
      </c>
      <c r="C559" s="42" t="s">
        <v>264</v>
      </c>
      <c r="D559" s="42" t="s">
        <v>341</v>
      </c>
      <c r="E559" s="42" t="s">
        <v>326</v>
      </c>
      <c r="F559" s="7">
        <f>'Прил.№4 ведомств.'!G707</f>
        <v>910.90000000000009</v>
      </c>
      <c r="G559" s="7">
        <f>'Прил.№4 ведомств.'!I707</f>
        <v>910.90000000000009</v>
      </c>
      <c r="H559" s="7">
        <f>'Прил.№4 ведомств.'!J707</f>
        <v>910.90000000000009</v>
      </c>
      <c r="I559" s="7">
        <f>'Прил.№4 ведомств.'!K707</f>
        <v>910.90000000000009</v>
      </c>
      <c r="J559" s="7">
        <f>'Прил.№4 ведомств.'!L707</f>
        <v>910.90000000000009</v>
      </c>
      <c r="K559" s="7">
        <f>'Прил.№4 ведомств.'!M707</f>
        <v>910.90000000000009</v>
      </c>
      <c r="L559" s="7">
        <f>'Прил.№4 ведомств.'!N707</f>
        <v>590.5</v>
      </c>
      <c r="M559" s="7">
        <f t="shared" si="320"/>
        <v>64.825996267427811</v>
      </c>
    </row>
    <row r="560" spans="1:13" ht="63" x14ac:dyDescent="0.25">
      <c r="A560" s="47" t="s">
        <v>342</v>
      </c>
      <c r="B560" s="42" t="s">
        <v>315</v>
      </c>
      <c r="C560" s="42" t="s">
        <v>264</v>
      </c>
      <c r="D560" s="42" t="s">
        <v>343</v>
      </c>
      <c r="E560" s="42"/>
      <c r="F560" s="7">
        <f>F561</f>
        <v>2155.5</v>
      </c>
      <c r="G560" s="7">
        <f t="shared" ref="G560:L561" si="334">G561</f>
        <v>2155.5</v>
      </c>
      <c r="H560" s="7">
        <f t="shared" si="334"/>
        <v>2155.5</v>
      </c>
      <c r="I560" s="7">
        <f t="shared" si="334"/>
        <v>2155.5</v>
      </c>
      <c r="J560" s="7">
        <f t="shared" si="334"/>
        <v>2155.5</v>
      </c>
      <c r="K560" s="7">
        <f t="shared" si="334"/>
        <v>2230.5</v>
      </c>
      <c r="L560" s="7">
        <f t="shared" si="334"/>
        <v>1893.3</v>
      </c>
      <c r="M560" s="7">
        <f t="shared" si="320"/>
        <v>84.882313382649627</v>
      </c>
    </row>
    <row r="561" spans="1:17" ht="47.25" x14ac:dyDescent="0.25">
      <c r="A561" s="31" t="s">
        <v>323</v>
      </c>
      <c r="B561" s="42" t="s">
        <v>315</v>
      </c>
      <c r="C561" s="42" t="s">
        <v>264</v>
      </c>
      <c r="D561" s="42" t="s">
        <v>343</v>
      </c>
      <c r="E561" s="42" t="s">
        <v>324</v>
      </c>
      <c r="F561" s="7">
        <f>F562</f>
        <v>2155.5</v>
      </c>
      <c r="G561" s="7">
        <f t="shared" si="334"/>
        <v>2155.5</v>
      </c>
      <c r="H561" s="7">
        <f t="shared" si="334"/>
        <v>2155.5</v>
      </c>
      <c r="I561" s="7">
        <f t="shared" si="334"/>
        <v>2155.5</v>
      </c>
      <c r="J561" s="7">
        <f t="shared" si="334"/>
        <v>2155.5</v>
      </c>
      <c r="K561" s="7">
        <f t="shared" si="334"/>
        <v>2230.5</v>
      </c>
      <c r="L561" s="7">
        <f t="shared" si="334"/>
        <v>1893.3</v>
      </c>
      <c r="M561" s="7">
        <f t="shared" si="320"/>
        <v>84.882313382649627</v>
      </c>
    </row>
    <row r="562" spans="1:17" ht="15.75" x14ac:dyDescent="0.25">
      <c r="A562" s="31" t="s">
        <v>325</v>
      </c>
      <c r="B562" s="42" t="s">
        <v>315</v>
      </c>
      <c r="C562" s="42" t="s">
        <v>264</v>
      </c>
      <c r="D562" s="42" t="s">
        <v>343</v>
      </c>
      <c r="E562" s="42" t="s">
        <v>326</v>
      </c>
      <c r="F562" s="7">
        <f>'Прил.№4 ведомств.'!G710</f>
        <v>2155.5</v>
      </c>
      <c r="G562" s="7">
        <f>'Прил.№4 ведомств.'!I710</f>
        <v>2155.5</v>
      </c>
      <c r="H562" s="7">
        <f>'Прил.№4 ведомств.'!J710</f>
        <v>2155.5</v>
      </c>
      <c r="I562" s="7">
        <f>'Прил.№4 ведомств.'!K710</f>
        <v>2155.5</v>
      </c>
      <c r="J562" s="7">
        <f>'Прил.№4 ведомств.'!L710</f>
        <v>2155.5</v>
      </c>
      <c r="K562" s="7">
        <f>'Прил.№4 ведомств.'!M710</f>
        <v>2230.5</v>
      </c>
      <c r="L562" s="7">
        <f>'Прил.№4 ведомств.'!N710</f>
        <v>1893.3</v>
      </c>
      <c r="M562" s="7">
        <f t="shared" si="320"/>
        <v>84.882313382649627</v>
      </c>
    </row>
    <row r="563" spans="1:17" ht="47.25" x14ac:dyDescent="0.25">
      <c r="A563" s="33" t="s">
        <v>514</v>
      </c>
      <c r="B563" s="42" t="s">
        <v>315</v>
      </c>
      <c r="C563" s="42" t="s">
        <v>264</v>
      </c>
      <c r="D563" s="42" t="s">
        <v>515</v>
      </c>
      <c r="E563" s="42"/>
      <c r="F563" s="7">
        <f>F564</f>
        <v>886.5</v>
      </c>
      <c r="G563" s="7">
        <f t="shared" ref="G563:L564" si="335">G564</f>
        <v>886.5</v>
      </c>
      <c r="H563" s="7">
        <f t="shared" si="335"/>
        <v>886.5</v>
      </c>
      <c r="I563" s="7">
        <f t="shared" si="335"/>
        <v>886.5</v>
      </c>
      <c r="J563" s="7">
        <f t="shared" si="335"/>
        <v>886.5</v>
      </c>
      <c r="K563" s="7">
        <f t="shared" si="335"/>
        <v>942</v>
      </c>
      <c r="L563" s="7">
        <f t="shared" si="335"/>
        <v>798</v>
      </c>
      <c r="M563" s="7">
        <f t="shared" si="320"/>
        <v>84.713375796178354</v>
      </c>
    </row>
    <row r="564" spans="1:17" ht="47.25" x14ac:dyDescent="0.25">
      <c r="A564" s="31" t="s">
        <v>323</v>
      </c>
      <c r="B564" s="42" t="s">
        <v>315</v>
      </c>
      <c r="C564" s="42" t="s">
        <v>264</v>
      </c>
      <c r="D564" s="42" t="s">
        <v>515</v>
      </c>
      <c r="E564" s="42" t="s">
        <v>324</v>
      </c>
      <c r="F564" s="7">
        <f>F565</f>
        <v>886.5</v>
      </c>
      <c r="G564" s="7">
        <f t="shared" si="335"/>
        <v>886.5</v>
      </c>
      <c r="H564" s="7">
        <f t="shared" si="335"/>
        <v>886.5</v>
      </c>
      <c r="I564" s="7">
        <f t="shared" si="335"/>
        <v>886.5</v>
      </c>
      <c r="J564" s="7">
        <f t="shared" si="335"/>
        <v>886.5</v>
      </c>
      <c r="K564" s="7">
        <f t="shared" si="335"/>
        <v>942</v>
      </c>
      <c r="L564" s="7">
        <f t="shared" si="335"/>
        <v>798</v>
      </c>
      <c r="M564" s="7">
        <f t="shared" si="320"/>
        <v>84.713375796178354</v>
      </c>
    </row>
    <row r="565" spans="1:17" ht="15.75" x14ac:dyDescent="0.25">
      <c r="A565" s="31" t="s">
        <v>325</v>
      </c>
      <c r="B565" s="42" t="s">
        <v>315</v>
      </c>
      <c r="C565" s="42" t="s">
        <v>264</v>
      </c>
      <c r="D565" s="42" t="s">
        <v>515</v>
      </c>
      <c r="E565" s="42" t="s">
        <v>326</v>
      </c>
      <c r="F565" s="7">
        <f>'Прил.№4 ведомств.'!G713</f>
        <v>886.5</v>
      </c>
      <c r="G565" s="7">
        <f>'Прил.№4 ведомств.'!I713</f>
        <v>886.5</v>
      </c>
      <c r="H565" s="7">
        <f>'Прил.№4 ведомств.'!J713</f>
        <v>886.5</v>
      </c>
      <c r="I565" s="7">
        <f>'Прил.№4 ведомств.'!K713</f>
        <v>886.5</v>
      </c>
      <c r="J565" s="7">
        <f>'Прил.№4 ведомств.'!L713</f>
        <v>886.5</v>
      </c>
      <c r="K565" s="7">
        <f>'Прил.№4 ведомств.'!M713</f>
        <v>942</v>
      </c>
      <c r="L565" s="7">
        <f>'Прил.№4 ведомств.'!N713</f>
        <v>798</v>
      </c>
      <c r="M565" s="7">
        <f t="shared" si="320"/>
        <v>84.713375796178354</v>
      </c>
    </row>
    <row r="566" spans="1:17" ht="94.5" x14ac:dyDescent="0.25">
      <c r="A566" s="47" t="s">
        <v>344</v>
      </c>
      <c r="B566" s="42" t="s">
        <v>315</v>
      </c>
      <c r="C566" s="42" t="s">
        <v>264</v>
      </c>
      <c r="D566" s="21" t="s">
        <v>345</v>
      </c>
      <c r="E566" s="42"/>
      <c r="F566" s="7">
        <f>F567</f>
        <v>4369</v>
      </c>
      <c r="G566" s="7">
        <f t="shared" ref="G566:L567" si="336">G567</f>
        <v>4369</v>
      </c>
      <c r="H566" s="7">
        <f t="shared" si="336"/>
        <v>4369</v>
      </c>
      <c r="I566" s="7">
        <f t="shared" si="336"/>
        <v>4369</v>
      </c>
      <c r="J566" s="7">
        <f t="shared" si="336"/>
        <v>4369</v>
      </c>
      <c r="K566" s="7">
        <f t="shared" si="336"/>
        <v>4294.7</v>
      </c>
      <c r="L566" s="7">
        <f t="shared" si="336"/>
        <v>3455.1</v>
      </c>
      <c r="M566" s="7">
        <f t="shared" si="320"/>
        <v>80.450322490511567</v>
      </c>
    </row>
    <row r="567" spans="1:17" ht="47.25" x14ac:dyDescent="0.25">
      <c r="A567" s="31" t="s">
        <v>323</v>
      </c>
      <c r="B567" s="42" t="s">
        <v>315</v>
      </c>
      <c r="C567" s="42" t="s">
        <v>264</v>
      </c>
      <c r="D567" s="21" t="s">
        <v>345</v>
      </c>
      <c r="E567" s="42" t="s">
        <v>324</v>
      </c>
      <c r="F567" s="7">
        <f>F568</f>
        <v>4369</v>
      </c>
      <c r="G567" s="7">
        <f t="shared" si="336"/>
        <v>4369</v>
      </c>
      <c r="H567" s="7">
        <f t="shared" si="336"/>
        <v>4369</v>
      </c>
      <c r="I567" s="7">
        <f t="shared" si="336"/>
        <v>4369</v>
      </c>
      <c r="J567" s="7">
        <f t="shared" si="336"/>
        <v>4369</v>
      </c>
      <c r="K567" s="7">
        <f t="shared" si="336"/>
        <v>4294.7</v>
      </c>
      <c r="L567" s="7">
        <f t="shared" si="336"/>
        <v>3455.1</v>
      </c>
      <c r="M567" s="7">
        <f t="shared" si="320"/>
        <v>80.450322490511567</v>
      </c>
    </row>
    <row r="568" spans="1:17" ht="15.75" x14ac:dyDescent="0.25">
      <c r="A568" s="31" t="s">
        <v>325</v>
      </c>
      <c r="B568" s="42" t="s">
        <v>315</v>
      </c>
      <c r="C568" s="42" t="s">
        <v>264</v>
      </c>
      <c r="D568" s="21" t="s">
        <v>345</v>
      </c>
      <c r="E568" s="42" t="s">
        <v>326</v>
      </c>
      <c r="F568" s="7">
        <f>'Прил.№4 ведомств.'!G716</f>
        <v>4369</v>
      </c>
      <c r="G568" s="7">
        <f>'Прил.№4 ведомств.'!I716</f>
        <v>4369</v>
      </c>
      <c r="H568" s="7">
        <f>'Прил.№4 ведомств.'!J716</f>
        <v>4369</v>
      </c>
      <c r="I568" s="7">
        <f>'Прил.№4 ведомств.'!K716</f>
        <v>4369</v>
      </c>
      <c r="J568" s="7">
        <f>'Прил.№4 ведомств.'!L716</f>
        <v>4369</v>
      </c>
      <c r="K568" s="7">
        <f>'Прил.№4 ведомств.'!M716</f>
        <v>4294.7</v>
      </c>
      <c r="L568" s="7">
        <f>'Прил.№4 ведомств.'!N716</f>
        <v>3455.1</v>
      </c>
      <c r="M568" s="7">
        <f t="shared" si="320"/>
        <v>80.450322490511567</v>
      </c>
    </row>
    <row r="569" spans="1:17" ht="15.75" x14ac:dyDescent="0.25">
      <c r="A569" s="43" t="s">
        <v>316</v>
      </c>
      <c r="B569" s="8" t="s">
        <v>315</v>
      </c>
      <c r="C569" s="8" t="s">
        <v>266</v>
      </c>
      <c r="D569" s="25"/>
      <c r="E569" s="8"/>
      <c r="F569" s="4">
        <f>F570+F582+F602+F628</f>
        <v>52029.9</v>
      </c>
      <c r="G569" s="4">
        <f t="shared" ref="G569:K569" si="337">G570+G582+G602+G628</f>
        <v>47647.133333333339</v>
      </c>
      <c r="H569" s="4">
        <f t="shared" si="337"/>
        <v>67974.7</v>
      </c>
      <c r="I569" s="4">
        <f t="shared" si="337"/>
        <v>68080.099999999991</v>
      </c>
      <c r="J569" s="4">
        <f t="shared" si="337"/>
        <v>68616.799999999988</v>
      </c>
      <c r="K569" s="4">
        <f t="shared" si="337"/>
        <v>53804.299999999996</v>
      </c>
      <c r="L569" s="4">
        <f t="shared" ref="L569" si="338">L570+L582+L602+L628</f>
        <v>46520.499999999993</v>
      </c>
      <c r="M569" s="4">
        <f t="shared" si="320"/>
        <v>86.462420289828131</v>
      </c>
    </row>
    <row r="570" spans="1:17" ht="47.25" x14ac:dyDescent="0.25">
      <c r="A570" s="26" t="s">
        <v>478</v>
      </c>
      <c r="B570" s="42" t="s">
        <v>315</v>
      </c>
      <c r="C570" s="42" t="s">
        <v>266</v>
      </c>
      <c r="D570" s="21" t="s">
        <v>458</v>
      </c>
      <c r="E570" s="42"/>
      <c r="F570" s="7">
        <f>F571+F575</f>
        <v>21479.9</v>
      </c>
      <c r="G570" s="7">
        <f t="shared" ref="G570:K570" si="339">G571+G575</f>
        <v>22159.4</v>
      </c>
      <c r="H570" s="7">
        <f t="shared" si="339"/>
        <v>26339.8</v>
      </c>
      <c r="I570" s="7">
        <f t="shared" si="339"/>
        <v>26628.799999999999</v>
      </c>
      <c r="J570" s="7">
        <f t="shared" si="339"/>
        <v>26803</v>
      </c>
      <c r="K570" s="7">
        <f t="shared" si="339"/>
        <v>21921.199999999997</v>
      </c>
      <c r="L570" s="7">
        <f t="shared" ref="L570" si="340">L571+L575</f>
        <v>21921.199999999997</v>
      </c>
      <c r="M570" s="7">
        <f t="shared" si="320"/>
        <v>100</v>
      </c>
      <c r="Q570" s="23"/>
    </row>
    <row r="571" spans="1:17" ht="31.5" x14ac:dyDescent="0.25">
      <c r="A571" s="26" t="s">
        <v>459</v>
      </c>
      <c r="B571" s="42" t="s">
        <v>315</v>
      </c>
      <c r="C571" s="42" t="s">
        <v>266</v>
      </c>
      <c r="D571" s="21" t="s">
        <v>460</v>
      </c>
      <c r="E571" s="42"/>
      <c r="F571" s="7">
        <f>F572</f>
        <v>21124</v>
      </c>
      <c r="G571" s="7">
        <f t="shared" ref="G571:L573" si="341">G572</f>
        <v>21803.5</v>
      </c>
      <c r="H571" s="7">
        <f t="shared" si="341"/>
        <v>25586.7</v>
      </c>
      <c r="I571" s="7">
        <f t="shared" si="341"/>
        <v>25875.7</v>
      </c>
      <c r="J571" s="7">
        <f t="shared" si="341"/>
        <v>26049.9</v>
      </c>
      <c r="K571" s="7">
        <f t="shared" si="341"/>
        <v>21168.1</v>
      </c>
      <c r="L571" s="7">
        <f t="shared" si="341"/>
        <v>21168.1</v>
      </c>
      <c r="M571" s="7">
        <f t="shared" si="320"/>
        <v>100</v>
      </c>
      <c r="Q571" s="23"/>
    </row>
    <row r="572" spans="1:17" ht="47.25" x14ac:dyDescent="0.25">
      <c r="A572" s="26" t="s">
        <v>321</v>
      </c>
      <c r="B572" s="42" t="s">
        <v>315</v>
      </c>
      <c r="C572" s="42" t="s">
        <v>266</v>
      </c>
      <c r="D572" s="21" t="s">
        <v>481</v>
      </c>
      <c r="E572" s="42"/>
      <c r="F572" s="7">
        <f>F573</f>
        <v>21124</v>
      </c>
      <c r="G572" s="7">
        <f t="shared" si="341"/>
        <v>21803.5</v>
      </c>
      <c r="H572" s="7">
        <f t="shared" si="341"/>
        <v>25586.7</v>
      </c>
      <c r="I572" s="7">
        <f t="shared" si="341"/>
        <v>25875.7</v>
      </c>
      <c r="J572" s="7">
        <f t="shared" si="341"/>
        <v>26049.9</v>
      </c>
      <c r="K572" s="7">
        <f t="shared" si="341"/>
        <v>21168.1</v>
      </c>
      <c r="L572" s="7">
        <f t="shared" si="341"/>
        <v>21168.1</v>
      </c>
      <c r="M572" s="7">
        <f t="shared" si="320"/>
        <v>100</v>
      </c>
    </row>
    <row r="573" spans="1:17" ht="47.25" x14ac:dyDescent="0.25">
      <c r="A573" s="26" t="s">
        <v>323</v>
      </c>
      <c r="B573" s="42" t="s">
        <v>315</v>
      </c>
      <c r="C573" s="42" t="s">
        <v>266</v>
      </c>
      <c r="D573" s="21" t="s">
        <v>481</v>
      </c>
      <c r="E573" s="42" t="s">
        <v>324</v>
      </c>
      <c r="F573" s="7">
        <f>F574</f>
        <v>21124</v>
      </c>
      <c r="G573" s="7">
        <f t="shared" si="341"/>
        <v>21803.5</v>
      </c>
      <c r="H573" s="7">
        <f t="shared" si="341"/>
        <v>25586.7</v>
      </c>
      <c r="I573" s="7">
        <f t="shared" si="341"/>
        <v>25875.7</v>
      </c>
      <c r="J573" s="7">
        <f t="shared" si="341"/>
        <v>26049.9</v>
      </c>
      <c r="K573" s="7">
        <f t="shared" si="341"/>
        <v>21168.1</v>
      </c>
      <c r="L573" s="7">
        <f t="shared" si="341"/>
        <v>21168.1</v>
      </c>
      <c r="M573" s="7">
        <f t="shared" si="320"/>
        <v>100</v>
      </c>
    </row>
    <row r="574" spans="1:17" ht="15.75" x14ac:dyDescent="0.25">
      <c r="A574" s="26" t="s">
        <v>325</v>
      </c>
      <c r="B574" s="42" t="s">
        <v>315</v>
      </c>
      <c r="C574" s="42" t="s">
        <v>266</v>
      </c>
      <c r="D574" s="21" t="s">
        <v>481</v>
      </c>
      <c r="E574" s="42" t="s">
        <v>326</v>
      </c>
      <c r="F574" s="7">
        <f>'Прил.№4 ведомств.'!G722</f>
        <v>21124</v>
      </c>
      <c r="G574" s="7">
        <f>'Прил.№4 ведомств.'!I722</f>
        <v>21803.5</v>
      </c>
      <c r="H574" s="7">
        <f>'Прил.№4 ведомств.'!J722</f>
        <v>25586.7</v>
      </c>
      <c r="I574" s="7">
        <f>'Прил.№4 ведомств.'!K722</f>
        <v>25875.7</v>
      </c>
      <c r="J574" s="7">
        <f>'Прил.№4 ведомств.'!L722</f>
        <v>26049.9</v>
      </c>
      <c r="K574" s="7">
        <f>'Прил.№4 ведомств.'!M722</f>
        <v>21168.1</v>
      </c>
      <c r="L574" s="7">
        <f>'Прил.№4 ведомств.'!N722</f>
        <v>21168.1</v>
      </c>
      <c r="M574" s="7">
        <f t="shared" si="320"/>
        <v>100</v>
      </c>
    </row>
    <row r="575" spans="1:17" ht="31.5" x14ac:dyDescent="0.25">
      <c r="A575" s="33" t="s">
        <v>790</v>
      </c>
      <c r="B575" s="42" t="s">
        <v>315</v>
      </c>
      <c r="C575" s="42" t="s">
        <v>266</v>
      </c>
      <c r="D575" s="21" t="s">
        <v>499</v>
      </c>
      <c r="E575" s="42"/>
      <c r="F575" s="7">
        <f>F576+F579</f>
        <v>355.9</v>
      </c>
      <c r="G575" s="7">
        <f t="shared" ref="G575:K575" si="342">G576+G579</f>
        <v>355.9</v>
      </c>
      <c r="H575" s="7">
        <f t="shared" si="342"/>
        <v>753.1</v>
      </c>
      <c r="I575" s="7">
        <f t="shared" si="342"/>
        <v>753.1</v>
      </c>
      <c r="J575" s="7">
        <f t="shared" si="342"/>
        <v>753.1</v>
      </c>
      <c r="K575" s="7">
        <f t="shared" si="342"/>
        <v>753.1</v>
      </c>
      <c r="L575" s="7">
        <f t="shared" ref="L575" si="343">L576+L579</f>
        <v>753.1</v>
      </c>
      <c r="M575" s="7">
        <f t="shared" si="320"/>
        <v>100</v>
      </c>
    </row>
    <row r="576" spans="1:17" ht="31.5" hidden="1" x14ac:dyDescent="0.25">
      <c r="A576" s="47" t="s">
        <v>791</v>
      </c>
      <c r="B576" s="42" t="s">
        <v>315</v>
      </c>
      <c r="C576" s="42" t="s">
        <v>266</v>
      </c>
      <c r="D576" s="21" t="s">
        <v>792</v>
      </c>
      <c r="E576" s="42"/>
      <c r="F576" s="7">
        <f>F577</f>
        <v>355.9</v>
      </c>
      <c r="G576" s="7">
        <f t="shared" ref="G576:L577" si="344">G577</f>
        <v>355.9</v>
      </c>
      <c r="H576" s="7">
        <f t="shared" si="344"/>
        <v>0</v>
      </c>
      <c r="I576" s="7">
        <f t="shared" si="344"/>
        <v>0</v>
      </c>
      <c r="J576" s="7">
        <f t="shared" si="344"/>
        <v>0</v>
      </c>
      <c r="K576" s="7">
        <f t="shared" si="344"/>
        <v>0</v>
      </c>
      <c r="L576" s="7">
        <f t="shared" si="344"/>
        <v>0</v>
      </c>
      <c r="M576" s="7" t="e">
        <f t="shared" si="320"/>
        <v>#DIV/0!</v>
      </c>
    </row>
    <row r="577" spans="1:13" ht="47.25" hidden="1" x14ac:dyDescent="0.25">
      <c r="A577" s="33" t="s">
        <v>323</v>
      </c>
      <c r="B577" s="42" t="s">
        <v>315</v>
      </c>
      <c r="C577" s="42" t="s">
        <v>266</v>
      </c>
      <c r="D577" s="21" t="s">
        <v>792</v>
      </c>
      <c r="E577" s="42" t="s">
        <v>324</v>
      </c>
      <c r="F577" s="7">
        <f>F578</f>
        <v>355.9</v>
      </c>
      <c r="G577" s="7">
        <f t="shared" si="344"/>
        <v>355.9</v>
      </c>
      <c r="H577" s="7">
        <f t="shared" si="344"/>
        <v>0</v>
      </c>
      <c r="I577" s="7">
        <f t="shared" si="344"/>
        <v>0</v>
      </c>
      <c r="J577" s="7">
        <f t="shared" si="344"/>
        <v>0</v>
      </c>
      <c r="K577" s="7">
        <f t="shared" si="344"/>
        <v>0</v>
      </c>
      <c r="L577" s="7">
        <f t="shared" si="344"/>
        <v>0</v>
      </c>
      <c r="M577" s="7" t="e">
        <f t="shared" si="320"/>
        <v>#DIV/0!</v>
      </c>
    </row>
    <row r="578" spans="1:13" ht="15.75" hidden="1" x14ac:dyDescent="0.25">
      <c r="A578" s="33" t="s">
        <v>325</v>
      </c>
      <c r="B578" s="42" t="s">
        <v>315</v>
      </c>
      <c r="C578" s="42" t="s">
        <v>266</v>
      </c>
      <c r="D578" s="21" t="s">
        <v>792</v>
      </c>
      <c r="E578" s="42" t="s">
        <v>326</v>
      </c>
      <c r="F578" s="7">
        <f>'Прил.№4 ведомств.'!G725</f>
        <v>355.9</v>
      </c>
      <c r="G578" s="7">
        <f>'Прил.№4 ведомств.'!I725</f>
        <v>355.9</v>
      </c>
      <c r="H578" s="7">
        <f>'Прил.№4 ведомств.'!J725</f>
        <v>0</v>
      </c>
      <c r="I578" s="7">
        <f>'Прил.№4 ведомств.'!K725</f>
        <v>0</v>
      </c>
      <c r="J578" s="7">
        <f>'Прил.№4 ведомств.'!L725</f>
        <v>0</v>
      </c>
      <c r="K578" s="7">
        <f>'Прил.№4 ведомств.'!M725</f>
        <v>0</v>
      </c>
      <c r="L578" s="7">
        <f>'Прил.№4 ведомств.'!N725</f>
        <v>0</v>
      </c>
      <c r="M578" s="7" t="e">
        <f t="shared" si="320"/>
        <v>#DIV/0!</v>
      </c>
    </row>
    <row r="579" spans="1:13" ht="31.5" x14ac:dyDescent="0.25">
      <c r="A579" s="47" t="s">
        <v>861</v>
      </c>
      <c r="B579" s="42" t="s">
        <v>315</v>
      </c>
      <c r="C579" s="42" t="s">
        <v>266</v>
      </c>
      <c r="D579" s="21" t="s">
        <v>862</v>
      </c>
      <c r="E579" s="42"/>
      <c r="F579" s="7">
        <f>F580</f>
        <v>0</v>
      </c>
      <c r="G579" s="7">
        <f t="shared" ref="G579:L580" si="345">G580</f>
        <v>0</v>
      </c>
      <c r="H579" s="7">
        <f t="shared" si="345"/>
        <v>753.1</v>
      </c>
      <c r="I579" s="7">
        <f t="shared" si="345"/>
        <v>753.1</v>
      </c>
      <c r="J579" s="7">
        <f t="shared" si="345"/>
        <v>753.1</v>
      </c>
      <c r="K579" s="7">
        <f t="shared" si="345"/>
        <v>753.1</v>
      </c>
      <c r="L579" s="7">
        <f t="shared" si="345"/>
        <v>753.1</v>
      </c>
      <c r="M579" s="7">
        <f t="shared" si="320"/>
        <v>100</v>
      </c>
    </row>
    <row r="580" spans="1:13" ht="47.25" x14ac:dyDescent="0.25">
      <c r="A580" s="33" t="s">
        <v>323</v>
      </c>
      <c r="B580" s="42" t="s">
        <v>315</v>
      </c>
      <c r="C580" s="42" t="s">
        <v>266</v>
      </c>
      <c r="D580" s="21" t="s">
        <v>862</v>
      </c>
      <c r="E580" s="42" t="s">
        <v>324</v>
      </c>
      <c r="F580" s="7">
        <f>F581</f>
        <v>0</v>
      </c>
      <c r="G580" s="7">
        <f t="shared" si="345"/>
        <v>0</v>
      </c>
      <c r="H580" s="7">
        <f t="shared" si="345"/>
        <v>753.1</v>
      </c>
      <c r="I580" s="7">
        <f t="shared" si="345"/>
        <v>753.1</v>
      </c>
      <c r="J580" s="7">
        <f t="shared" si="345"/>
        <v>753.1</v>
      </c>
      <c r="K580" s="7">
        <f t="shared" si="345"/>
        <v>753.1</v>
      </c>
      <c r="L580" s="7">
        <f t="shared" si="345"/>
        <v>753.1</v>
      </c>
      <c r="M580" s="7">
        <f t="shared" si="320"/>
        <v>100</v>
      </c>
    </row>
    <row r="581" spans="1:13" ht="15.75" x14ac:dyDescent="0.25">
      <c r="A581" s="33" t="s">
        <v>325</v>
      </c>
      <c r="B581" s="42" t="s">
        <v>315</v>
      </c>
      <c r="C581" s="42" t="s">
        <v>266</v>
      </c>
      <c r="D581" s="21" t="s">
        <v>862</v>
      </c>
      <c r="E581" s="42" t="s">
        <v>326</v>
      </c>
      <c r="F581" s="7">
        <f>'Прил.№4 ведомств.'!G729</f>
        <v>0</v>
      </c>
      <c r="G581" s="7">
        <f>'Прил.№4 ведомств.'!I729</f>
        <v>0</v>
      </c>
      <c r="H581" s="7">
        <f>'Прил.№4 ведомств.'!J729</f>
        <v>753.1</v>
      </c>
      <c r="I581" s="7">
        <f>'Прил.№4 ведомств.'!K729</f>
        <v>753.1</v>
      </c>
      <c r="J581" s="7">
        <f>'Прил.№4 ведомств.'!L729</f>
        <v>753.1</v>
      </c>
      <c r="K581" s="7">
        <f>'Прил.№4 ведомств.'!M729</f>
        <v>753.1</v>
      </c>
      <c r="L581" s="7">
        <f>'Прил.№4 ведомств.'!N729</f>
        <v>753.1</v>
      </c>
      <c r="M581" s="7">
        <f t="shared" si="320"/>
        <v>100</v>
      </c>
    </row>
    <row r="582" spans="1:13" ht="47.25" x14ac:dyDescent="0.25">
      <c r="A582" s="26" t="s">
        <v>533</v>
      </c>
      <c r="B582" s="42" t="s">
        <v>315</v>
      </c>
      <c r="C582" s="42" t="s">
        <v>266</v>
      </c>
      <c r="D582" s="21" t="s">
        <v>534</v>
      </c>
      <c r="E582" s="42"/>
      <c r="F582" s="7">
        <f>F583</f>
        <v>10758</v>
      </c>
      <c r="G582" s="7">
        <f t="shared" ref="G582:L582" si="346">G583</f>
        <v>10758</v>
      </c>
      <c r="H582" s="7">
        <f t="shared" si="346"/>
        <v>16464.5</v>
      </c>
      <c r="I582" s="7">
        <f t="shared" si="346"/>
        <v>16607.3</v>
      </c>
      <c r="J582" s="7">
        <f t="shared" si="346"/>
        <v>16742.599999999999</v>
      </c>
      <c r="K582" s="7">
        <f t="shared" si="346"/>
        <v>11848.7</v>
      </c>
      <c r="L582" s="7">
        <f t="shared" si="346"/>
        <v>8779.1</v>
      </c>
      <c r="M582" s="7">
        <f t="shared" si="320"/>
        <v>74.093360453045477</v>
      </c>
    </row>
    <row r="583" spans="1:13" ht="47.25" x14ac:dyDescent="0.25">
      <c r="A583" s="26" t="s">
        <v>535</v>
      </c>
      <c r="B583" s="42" t="s">
        <v>315</v>
      </c>
      <c r="C583" s="42" t="s">
        <v>266</v>
      </c>
      <c r="D583" s="21" t="s">
        <v>536</v>
      </c>
      <c r="E583" s="42"/>
      <c r="F583" s="7">
        <f>F584+F593+F596+F599</f>
        <v>10758</v>
      </c>
      <c r="G583" s="7">
        <f t="shared" ref="G583:K583" si="347">G584+G593+G596+G599</f>
        <v>10758</v>
      </c>
      <c r="H583" s="7">
        <f t="shared" si="347"/>
        <v>16464.5</v>
      </c>
      <c r="I583" s="7">
        <f t="shared" si="347"/>
        <v>16607.3</v>
      </c>
      <c r="J583" s="7">
        <f t="shared" si="347"/>
        <v>16742.599999999999</v>
      </c>
      <c r="K583" s="7">
        <f t="shared" si="347"/>
        <v>11848.7</v>
      </c>
      <c r="L583" s="7">
        <f t="shared" ref="L583" si="348">L584+L593+L596+L599</f>
        <v>8779.1</v>
      </c>
      <c r="M583" s="7">
        <f t="shared" si="320"/>
        <v>74.093360453045477</v>
      </c>
    </row>
    <row r="584" spans="1:13" ht="47.25" x14ac:dyDescent="0.25">
      <c r="A584" s="26" t="s">
        <v>321</v>
      </c>
      <c r="B584" s="42" t="s">
        <v>315</v>
      </c>
      <c r="C584" s="42" t="s">
        <v>266</v>
      </c>
      <c r="D584" s="21" t="s">
        <v>537</v>
      </c>
      <c r="E584" s="42"/>
      <c r="F584" s="7">
        <f>F585</f>
        <v>10722</v>
      </c>
      <c r="G584" s="7">
        <f t="shared" ref="G584:L585" si="349">G585</f>
        <v>10722</v>
      </c>
      <c r="H584" s="7">
        <f t="shared" si="349"/>
        <v>15788.3</v>
      </c>
      <c r="I584" s="7">
        <f t="shared" si="349"/>
        <v>15931.1</v>
      </c>
      <c r="J584" s="7">
        <f t="shared" si="349"/>
        <v>16066.4</v>
      </c>
      <c r="K584" s="7">
        <f t="shared" si="349"/>
        <v>11390.5</v>
      </c>
      <c r="L584" s="7">
        <f t="shared" si="349"/>
        <v>8398.5</v>
      </c>
      <c r="M584" s="7">
        <f t="shared" si="320"/>
        <v>73.732496378561081</v>
      </c>
    </row>
    <row r="585" spans="1:13" ht="47.25" x14ac:dyDescent="0.25">
      <c r="A585" s="26" t="s">
        <v>323</v>
      </c>
      <c r="B585" s="42" t="s">
        <v>315</v>
      </c>
      <c r="C585" s="42" t="s">
        <v>266</v>
      </c>
      <c r="D585" s="21" t="s">
        <v>537</v>
      </c>
      <c r="E585" s="42" t="s">
        <v>324</v>
      </c>
      <c r="F585" s="7">
        <f>F586</f>
        <v>10722</v>
      </c>
      <c r="G585" s="7">
        <f t="shared" si="349"/>
        <v>10722</v>
      </c>
      <c r="H585" s="7">
        <f t="shared" si="349"/>
        <v>15788.3</v>
      </c>
      <c r="I585" s="7">
        <f t="shared" si="349"/>
        <v>15931.1</v>
      </c>
      <c r="J585" s="7">
        <f t="shared" si="349"/>
        <v>16066.4</v>
      </c>
      <c r="K585" s="7">
        <f t="shared" si="349"/>
        <v>11390.5</v>
      </c>
      <c r="L585" s="7">
        <f t="shared" si="349"/>
        <v>8398.5</v>
      </c>
      <c r="M585" s="7">
        <f t="shared" si="320"/>
        <v>73.732496378561081</v>
      </c>
    </row>
    <row r="586" spans="1:13" ht="15.75" x14ac:dyDescent="0.25">
      <c r="A586" s="26" t="s">
        <v>325</v>
      </c>
      <c r="B586" s="42" t="s">
        <v>315</v>
      </c>
      <c r="C586" s="42" t="s">
        <v>266</v>
      </c>
      <c r="D586" s="21" t="s">
        <v>537</v>
      </c>
      <c r="E586" s="42" t="s">
        <v>326</v>
      </c>
      <c r="F586" s="7">
        <f>'Прил.№4 ведомств.'!G794</f>
        <v>10722</v>
      </c>
      <c r="G586" s="7">
        <f>'Прил.№4 ведомств.'!I794</f>
        <v>10722</v>
      </c>
      <c r="H586" s="7">
        <f>'Прил.№4 ведомств.'!J794</f>
        <v>15788.3</v>
      </c>
      <c r="I586" s="7">
        <f>'Прил.№4 ведомств.'!K794</f>
        <v>15931.1</v>
      </c>
      <c r="J586" s="7">
        <f>'Прил.№4 ведомств.'!L794</f>
        <v>16066.4</v>
      </c>
      <c r="K586" s="7">
        <f>'Прил.№4 ведомств.'!M794</f>
        <v>11390.5</v>
      </c>
      <c r="L586" s="7">
        <f>'Прил.№4 ведомств.'!N794</f>
        <v>8398.5</v>
      </c>
      <c r="M586" s="7">
        <f t="shared" si="320"/>
        <v>73.732496378561081</v>
      </c>
    </row>
    <row r="587" spans="1:13" ht="31.5" hidden="1" customHeight="1" x14ac:dyDescent="0.25">
      <c r="A587" s="26" t="s">
        <v>329</v>
      </c>
      <c r="B587" s="42" t="s">
        <v>315</v>
      </c>
      <c r="C587" s="42" t="s">
        <v>266</v>
      </c>
      <c r="D587" s="21" t="s">
        <v>538</v>
      </c>
      <c r="E587" s="42"/>
      <c r="F587" s="7"/>
      <c r="G587" s="7"/>
      <c r="H587" s="7"/>
      <c r="I587" s="7"/>
      <c r="J587" s="7"/>
      <c r="K587" s="7"/>
      <c r="L587" s="7"/>
      <c r="M587" s="7" t="e">
        <f t="shared" si="320"/>
        <v>#DIV/0!</v>
      </c>
    </row>
    <row r="588" spans="1:13" ht="47.25" hidden="1" customHeight="1" x14ac:dyDescent="0.25">
      <c r="A588" s="26" t="s">
        <v>323</v>
      </c>
      <c r="B588" s="42" t="s">
        <v>315</v>
      </c>
      <c r="C588" s="42" t="s">
        <v>266</v>
      </c>
      <c r="D588" s="21" t="s">
        <v>538</v>
      </c>
      <c r="E588" s="42"/>
      <c r="F588" s="7"/>
      <c r="G588" s="7"/>
      <c r="H588" s="7"/>
      <c r="I588" s="7"/>
      <c r="J588" s="7"/>
      <c r="K588" s="7"/>
      <c r="L588" s="7"/>
      <c r="M588" s="7" t="e">
        <f t="shared" si="320"/>
        <v>#DIV/0!</v>
      </c>
    </row>
    <row r="589" spans="1:13" ht="15.75" hidden="1" customHeight="1" x14ac:dyDescent="0.25">
      <c r="A589" s="26" t="s">
        <v>325</v>
      </c>
      <c r="B589" s="42" t="s">
        <v>315</v>
      </c>
      <c r="C589" s="42" t="s">
        <v>266</v>
      </c>
      <c r="D589" s="21" t="s">
        <v>538</v>
      </c>
      <c r="E589" s="42"/>
      <c r="F589" s="7"/>
      <c r="G589" s="7"/>
      <c r="H589" s="7"/>
      <c r="I589" s="7"/>
      <c r="J589" s="7"/>
      <c r="K589" s="7"/>
      <c r="L589" s="7"/>
      <c r="M589" s="7" t="e">
        <f t="shared" ref="M589:M652" si="350">L589/K589*100</f>
        <v>#DIV/0!</v>
      </c>
    </row>
    <row r="590" spans="1:13" ht="31.5" hidden="1" customHeight="1" x14ac:dyDescent="0.25">
      <c r="A590" s="26" t="s">
        <v>331</v>
      </c>
      <c r="B590" s="42" t="s">
        <v>315</v>
      </c>
      <c r="C590" s="42" t="s">
        <v>266</v>
      </c>
      <c r="D590" s="21" t="s">
        <v>539</v>
      </c>
      <c r="E590" s="42"/>
      <c r="F590" s="7"/>
      <c r="G590" s="7"/>
      <c r="H590" s="7"/>
      <c r="I590" s="7"/>
      <c r="J590" s="7"/>
      <c r="K590" s="7"/>
      <c r="L590" s="7"/>
      <c r="M590" s="7" t="e">
        <f t="shared" si="350"/>
        <v>#DIV/0!</v>
      </c>
    </row>
    <row r="591" spans="1:13" ht="47.25" hidden="1" customHeight="1" x14ac:dyDescent="0.25">
      <c r="A591" s="26" t="s">
        <v>323</v>
      </c>
      <c r="B591" s="42" t="s">
        <v>315</v>
      </c>
      <c r="C591" s="42" t="s">
        <v>266</v>
      </c>
      <c r="D591" s="21" t="s">
        <v>539</v>
      </c>
      <c r="E591" s="42"/>
      <c r="F591" s="7"/>
      <c r="G591" s="7"/>
      <c r="H591" s="7"/>
      <c r="I591" s="7"/>
      <c r="J591" s="7"/>
      <c r="K591" s="7"/>
      <c r="L591" s="7"/>
      <c r="M591" s="7" t="e">
        <f t="shared" si="350"/>
        <v>#DIV/0!</v>
      </c>
    </row>
    <row r="592" spans="1:13" ht="15.75" hidden="1" customHeight="1" x14ac:dyDescent="0.25">
      <c r="A592" s="26" t="s">
        <v>325</v>
      </c>
      <c r="B592" s="42" t="s">
        <v>315</v>
      </c>
      <c r="C592" s="42" t="s">
        <v>266</v>
      </c>
      <c r="D592" s="21" t="s">
        <v>539</v>
      </c>
      <c r="E592" s="42"/>
      <c r="F592" s="7"/>
      <c r="G592" s="7"/>
      <c r="H592" s="7"/>
      <c r="I592" s="7"/>
      <c r="J592" s="7"/>
      <c r="K592" s="7"/>
      <c r="L592" s="7"/>
      <c r="M592" s="7" t="e">
        <f t="shared" si="350"/>
        <v>#DIV/0!</v>
      </c>
    </row>
    <row r="593" spans="1:13" ht="31.5" x14ac:dyDescent="0.25">
      <c r="A593" s="26" t="s">
        <v>333</v>
      </c>
      <c r="B593" s="42" t="s">
        <v>315</v>
      </c>
      <c r="C593" s="42" t="s">
        <v>266</v>
      </c>
      <c r="D593" s="21" t="s">
        <v>540</v>
      </c>
      <c r="E593" s="42"/>
      <c r="F593" s="7">
        <f>F594</f>
        <v>36</v>
      </c>
      <c r="G593" s="7">
        <f t="shared" ref="G593:L594" si="351">G594</f>
        <v>36</v>
      </c>
      <c r="H593" s="7">
        <f t="shared" si="351"/>
        <v>36</v>
      </c>
      <c r="I593" s="7">
        <f t="shared" si="351"/>
        <v>36</v>
      </c>
      <c r="J593" s="7">
        <f t="shared" si="351"/>
        <v>36</v>
      </c>
      <c r="K593" s="7">
        <f t="shared" si="351"/>
        <v>36</v>
      </c>
      <c r="L593" s="7">
        <f t="shared" si="351"/>
        <v>15.4</v>
      </c>
      <c r="M593" s="7">
        <f t="shared" si="350"/>
        <v>42.777777777777779</v>
      </c>
    </row>
    <row r="594" spans="1:13" ht="47.25" x14ac:dyDescent="0.25">
      <c r="A594" s="26" t="s">
        <v>323</v>
      </c>
      <c r="B594" s="42" t="s">
        <v>315</v>
      </c>
      <c r="C594" s="42" t="s">
        <v>266</v>
      </c>
      <c r="D594" s="21" t="s">
        <v>540</v>
      </c>
      <c r="E594" s="42" t="s">
        <v>324</v>
      </c>
      <c r="F594" s="7">
        <f>F595</f>
        <v>36</v>
      </c>
      <c r="G594" s="7">
        <f t="shared" si="351"/>
        <v>36</v>
      </c>
      <c r="H594" s="7">
        <f t="shared" si="351"/>
        <v>36</v>
      </c>
      <c r="I594" s="7">
        <f t="shared" si="351"/>
        <v>36</v>
      </c>
      <c r="J594" s="7">
        <f t="shared" si="351"/>
        <v>36</v>
      </c>
      <c r="K594" s="7">
        <f t="shared" si="351"/>
        <v>36</v>
      </c>
      <c r="L594" s="7">
        <f t="shared" si="351"/>
        <v>15.4</v>
      </c>
      <c r="M594" s="7">
        <f t="shared" si="350"/>
        <v>42.777777777777779</v>
      </c>
    </row>
    <row r="595" spans="1:13" ht="15.75" x14ac:dyDescent="0.25">
      <c r="A595" s="26" t="s">
        <v>325</v>
      </c>
      <c r="B595" s="42" t="s">
        <v>315</v>
      </c>
      <c r="C595" s="42" t="s">
        <v>266</v>
      </c>
      <c r="D595" s="21" t="s">
        <v>540</v>
      </c>
      <c r="E595" s="42" t="s">
        <v>326</v>
      </c>
      <c r="F595" s="7">
        <f>'Прил.№4 ведомств.'!G803</f>
        <v>36</v>
      </c>
      <c r="G595" s="7">
        <f>'Прил.№4 ведомств.'!I803</f>
        <v>36</v>
      </c>
      <c r="H595" s="7">
        <f>'Прил.№4 ведомств.'!J803</f>
        <v>36</v>
      </c>
      <c r="I595" s="7">
        <f>'Прил.№4 ведомств.'!K803</f>
        <v>36</v>
      </c>
      <c r="J595" s="7">
        <f>'Прил.№4 ведомств.'!L803</f>
        <v>36</v>
      </c>
      <c r="K595" s="7">
        <f>'Прил.№4 ведомств.'!M803</f>
        <v>36</v>
      </c>
      <c r="L595" s="7">
        <f>'Прил.№4 ведомств.'!N803</f>
        <v>15.4</v>
      </c>
      <c r="M595" s="7">
        <f t="shared" si="350"/>
        <v>42.777777777777779</v>
      </c>
    </row>
    <row r="596" spans="1:13" ht="31.5" hidden="1" x14ac:dyDescent="0.25">
      <c r="A596" s="26" t="s">
        <v>335</v>
      </c>
      <c r="B596" s="42" t="s">
        <v>315</v>
      </c>
      <c r="C596" s="42" t="s">
        <v>266</v>
      </c>
      <c r="D596" s="21" t="s">
        <v>541</v>
      </c>
      <c r="E596" s="42"/>
      <c r="F596" s="7">
        <f>F597</f>
        <v>0</v>
      </c>
      <c r="G596" s="7">
        <f t="shared" ref="G596:L597" si="352">G597</f>
        <v>0</v>
      </c>
      <c r="H596" s="7">
        <f t="shared" si="352"/>
        <v>275</v>
      </c>
      <c r="I596" s="7">
        <f t="shared" si="352"/>
        <v>275</v>
      </c>
      <c r="J596" s="7">
        <f t="shared" si="352"/>
        <v>275</v>
      </c>
      <c r="K596" s="7">
        <f t="shared" si="352"/>
        <v>0</v>
      </c>
      <c r="L596" s="7">
        <f t="shared" si="352"/>
        <v>0</v>
      </c>
      <c r="M596" s="7" t="e">
        <f t="shared" si="350"/>
        <v>#DIV/0!</v>
      </c>
    </row>
    <row r="597" spans="1:13" ht="47.25" hidden="1" x14ac:dyDescent="0.25">
      <c r="A597" s="26" t="s">
        <v>323</v>
      </c>
      <c r="B597" s="42" t="s">
        <v>315</v>
      </c>
      <c r="C597" s="42" t="s">
        <v>266</v>
      </c>
      <c r="D597" s="21" t="s">
        <v>541</v>
      </c>
      <c r="E597" s="42" t="s">
        <v>324</v>
      </c>
      <c r="F597" s="7">
        <f>F598</f>
        <v>0</v>
      </c>
      <c r="G597" s="7">
        <f t="shared" si="352"/>
        <v>0</v>
      </c>
      <c r="H597" s="7">
        <f t="shared" si="352"/>
        <v>275</v>
      </c>
      <c r="I597" s="7">
        <f t="shared" si="352"/>
        <v>275</v>
      </c>
      <c r="J597" s="7">
        <f t="shared" si="352"/>
        <v>275</v>
      </c>
      <c r="K597" s="7">
        <f t="shared" si="352"/>
        <v>0</v>
      </c>
      <c r="L597" s="7">
        <f t="shared" si="352"/>
        <v>0</v>
      </c>
      <c r="M597" s="7" t="e">
        <f t="shared" si="350"/>
        <v>#DIV/0!</v>
      </c>
    </row>
    <row r="598" spans="1:13" ht="15.75" hidden="1" x14ac:dyDescent="0.25">
      <c r="A598" s="26" t="s">
        <v>325</v>
      </c>
      <c r="B598" s="42" t="s">
        <v>315</v>
      </c>
      <c r="C598" s="42" t="s">
        <v>266</v>
      </c>
      <c r="D598" s="21" t="s">
        <v>541</v>
      </c>
      <c r="E598" s="42" t="s">
        <v>326</v>
      </c>
      <c r="F598" s="7">
        <f>'Прил.№4 ведомств.'!G806</f>
        <v>0</v>
      </c>
      <c r="G598" s="7">
        <f>'Прил.№4 ведомств.'!I806</f>
        <v>0</v>
      </c>
      <c r="H598" s="7">
        <f>'Прил.№4 ведомств.'!J806</f>
        <v>275</v>
      </c>
      <c r="I598" s="7">
        <f>'Прил.№4 ведомств.'!K806</f>
        <v>275</v>
      </c>
      <c r="J598" s="7">
        <f>'Прил.№4 ведомств.'!L806</f>
        <v>275</v>
      </c>
      <c r="K598" s="7">
        <f>'Прил.№4 ведомств.'!M806</f>
        <v>0</v>
      </c>
      <c r="L598" s="7">
        <f>'Прил.№4 ведомств.'!N806</f>
        <v>0</v>
      </c>
      <c r="M598" s="7" t="e">
        <f t="shared" si="350"/>
        <v>#DIV/0!</v>
      </c>
    </row>
    <row r="599" spans="1:13" ht="31.5" x14ac:dyDescent="0.25">
      <c r="A599" s="47" t="s">
        <v>861</v>
      </c>
      <c r="B599" s="42" t="s">
        <v>315</v>
      </c>
      <c r="C599" s="42" t="s">
        <v>266</v>
      </c>
      <c r="D599" s="21" t="s">
        <v>868</v>
      </c>
      <c r="E599" s="42"/>
      <c r="F599" s="7">
        <f>F600</f>
        <v>0</v>
      </c>
      <c r="G599" s="7">
        <f t="shared" ref="G599:L600" si="353">G600</f>
        <v>0</v>
      </c>
      <c r="H599" s="7">
        <f t="shared" si="353"/>
        <v>365.2</v>
      </c>
      <c r="I599" s="7">
        <f t="shared" si="353"/>
        <v>365.2</v>
      </c>
      <c r="J599" s="7">
        <f t="shared" si="353"/>
        <v>365.2</v>
      </c>
      <c r="K599" s="7">
        <f t="shared" si="353"/>
        <v>422.2</v>
      </c>
      <c r="L599" s="7">
        <f t="shared" si="353"/>
        <v>365.2</v>
      </c>
      <c r="M599" s="7">
        <f t="shared" si="350"/>
        <v>86.499289436286119</v>
      </c>
    </row>
    <row r="600" spans="1:13" ht="47.25" x14ac:dyDescent="0.25">
      <c r="A600" s="33" t="s">
        <v>323</v>
      </c>
      <c r="B600" s="42" t="s">
        <v>315</v>
      </c>
      <c r="C600" s="42" t="s">
        <v>266</v>
      </c>
      <c r="D600" s="21" t="s">
        <v>868</v>
      </c>
      <c r="E600" s="42" t="s">
        <v>324</v>
      </c>
      <c r="F600" s="7">
        <f>F601</f>
        <v>0</v>
      </c>
      <c r="G600" s="7">
        <f t="shared" si="353"/>
        <v>0</v>
      </c>
      <c r="H600" s="7">
        <f t="shared" si="353"/>
        <v>365.2</v>
      </c>
      <c r="I600" s="7">
        <f t="shared" si="353"/>
        <v>365.2</v>
      </c>
      <c r="J600" s="7">
        <f t="shared" si="353"/>
        <v>365.2</v>
      </c>
      <c r="K600" s="7">
        <f t="shared" si="353"/>
        <v>422.2</v>
      </c>
      <c r="L600" s="7">
        <f t="shared" si="353"/>
        <v>365.2</v>
      </c>
      <c r="M600" s="7">
        <f t="shared" si="350"/>
        <v>86.499289436286119</v>
      </c>
    </row>
    <row r="601" spans="1:13" ht="15.75" x14ac:dyDescent="0.25">
      <c r="A601" s="33" t="s">
        <v>325</v>
      </c>
      <c r="B601" s="42" t="s">
        <v>315</v>
      </c>
      <c r="C601" s="42" t="s">
        <v>266</v>
      </c>
      <c r="D601" s="21" t="s">
        <v>868</v>
      </c>
      <c r="E601" s="42" t="s">
        <v>326</v>
      </c>
      <c r="F601" s="7">
        <f>'Прил.№4 ведомств.'!G809</f>
        <v>0</v>
      </c>
      <c r="G601" s="7">
        <f>'Прил.№4 ведомств.'!I809</f>
        <v>0</v>
      </c>
      <c r="H601" s="7">
        <f>'Прил.№4 ведомств.'!J809</f>
        <v>365.2</v>
      </c>
      <c r="I601" s="7">
        <f>'Прил.№4 ведомств.'!K809</f>
        <v>365.2</v>
      </c>
      <c r="J601" s="7">
        <f>'Прил.№4 ведомств.'!L809</f>
        <v>365.2</v>
      </c>
      <c r="K601" s="7">
        <f>'Прил.№4 ведомств.'!M809</f>
        <v>422.2</v>
      </c>
      <c r="L601" s="7">
        <f>'Прил.№4 ведомств.'!N809</f>
        <v>365.2</v>
      </c>
      <c r="M601" s="7">
        <f t="shared" si="350"/>
        <v>86.499289436286119</v>
      </c>
    </row>
    <row r="602" spans="1:13" ht="31.5" x14ac:dyDescent="0.25">
      <c r="A602" s="26" t="s">
        <v>317</v>
      </c>
      <c r="B602" s="42" t="s">
        <v>315</v>
      </c>
      <c r="C602" s="42" t="s">
        <v>266</v>
      </c>
      <c r="D602" s="21" t="s">
        <v>318</v>
      </c>
      <c r="E602" s="42"/>
      <c r="F602" s="7">
        <f>F603</f>
        <v>16445.599999999999</v>
      </c>
      <c r="G602" s="7">
        <f t="shared" ref="G602:L602" si="354">G603</f>
        <v>11383.333333333334</v>
      </c>
      <c r="H602" s="7">
        <f t="shared" si="354"/>
        <v>21824</v>
      </c>
      <c r="I602" s="7">
        <f t="shared" si="354"/>
        <v>21497.599999999999</v>
      </c>
      <c r="J602" s="7">
        <f t="shared" si="354"/>
        <v>21724.799999999999</v>
      </c>
      <c r="K602" s="7">
        <f t="shared" si="354"/>
        <v>16723.800000000003</v>
      </c>
      <c r="L602" s="7">
        <f t="shared" si="354"/>
        <v>13739.999999999998</v>
      </c>
      <c r="M602" s="7">
        <f t="shared" si="350"/>
        <v>82.158361138018847</v>
      </c>
    </row>
    <row r="603" spans="1:13" ht="47.25" x14ac:dyDescent="0.25">
      <c r="A603" s="26" t="s">
        <v>319</v>
      </c>
      <c r="B603" s="42" t="s">
        <v>315</v>
      </c>
      <c r="C603" s="42" t="s">
        <v>266</v>
      </c>
      <c r="D603" s="21" t="s">
        <v>320</v>
      </c>
      <c r="E603" s="42"/>
      <c r="F603" s="7">
        <f>F604+F616+F619+F622+F625</f>
        <v>16445.599999999999</v>
      </c>
      <c r="G603" s="7">
        <f t="shared" ref="G603:J603" si="355">G604+G616+G619+G622+G625</f>
        <v>11383.333333333334</v>
      </c>
      <c r="H603" s="7">
        <f t="shared" si="355"/>
        <v>21824</v>
      </c>
      <c r="I603" s="7">
        <f t="shared" si="355"/>
        <v>21497.599999999999</v>
      </c>
      <c r="J603" s="7">
        <f t="shared" si="355"/>
        <v>21724.799999999999</v>
      </c>
      <c r="K603" s="7">
        <f>K604+K616+K619+K622+K625+K610</f>
        <v>16723.800000000003</v>
      </c>
      <c r="L603" s="7">
        <f t="shared" ref="L603" si="356">L604+L616+L619+L622+L625+L610</f>
        <v>13739.999999999998</v>
      </c>
      <c r="M603" s="7">
        <f t="shared" si="350"/>
        <v>82.158361138018847</v>
      </c>
    </row>
    <row r="604" spans="1:13" ht="47.25" x14ac:dyDescent="0.25">
      <c r="A604" s="26" t="s">
        <v>321</v>
      </c>
      <c r="B604" s="42" t="s">
        <v>315</v>
      </c>
      <c r="C604" s="42" t="s">
        <v>266</v>
      </c>
      <c r="D604" s="21" t="s">
        <v>322</v>
      </c>
      <c r="E604" s="42"/>
      <c r="F604" s="7">
        <f>F605</f>
        <v>16395.599999999999</v>
      </c>
      <c r="G604" s="7">
        <f t="shared" ref="G604:L605" si="357">G605</f>
        <v>11333.333333333334</v>
      </c>
      <c r="H604" s="7">
        <f t="shared" si="357"/>
        <v>20227.2</v>
      </c>
      <c r="I604" s="7">
        <f t="shared" si="357"/>
        <v>20500.8</v>
      </c>
      <c r="J604" s="7">
        <f t="shared" si="357"/>
        <v>20728</v>
      </c>
      <c r="K604" s="7">
        <f t="shared" si="357"/>
        <v>15846.66</v>
      </c>
      <c r="L604" s="7">
        <f t="shared" si="357"/>
        <v>12900.8</v>
      </c>
      <c r="M604" s="7">
        <f t="shared" si="350"/>
        <v>81.410215149438429</v>
      </c>
    </row>
    <row r="605" spans="1:13" ht="47.25" x14ac:dyDescent="0.25">
      <c r="A605" s="26" t="s">
        <v>323</v>
      </c>
      <c r="B605" s="42" t="s">
        <v>315</v>
      </c>
      <c r="C605" s="42" t="s">
        <v>266</v>
      </c>
      <c r="D605" s="21" t="s">
        <v>322</v>
      </c>
      <c r="E605" s="42" t="s">
        <v>324</v>
      </c>
      <c r="F605" s="7">
        <f>F606</f>
        <v>16395.599999999999</v>
      </c>
      <c r="G605" s="7">
        <f t="shared" si="357"/>
        <v>11333.333333333334</v>
      </c>
      <c r="H605" s="7">
        <f t="shared" si="357"/>
        <v>20227.2</v>
      </c>
      <c r="I605" s="7">
        <f t="shared" si="357"/>
        <v>20500.8</v>
      </c>
      <c r="J605" s="7">
        <f t="shared" si="357"/>
        <v>20728</v>
      </c>
      <c r="K605" s="7">
        <f t="shared" si="357"/>
        <v>15846.66</v>
      </c>
      <c r="L605" s="7">
        <f t="shared" si="357"/>
        <v>12900.8</v>
      </c>
      <c r="M605" s="7">
        <f t="shared" si="350"/>
        <v>81.410215149438429</v>
      </c>
    </row>
    <row r="606" spans="1:13" ht="15.75" x14ac:dyDescent="0.25">
      <c r="A606" s="26" t="s">
        <v>325</v>
      </c>
      <c r="B606" s="42" t="s">
        <v>315</v>
      </c>
      <c r="C606" s="42" t="s">
        <v>266</v>
      </c>
      <c r="D606" s="21" t="s">
        <v>322</v>
      </c>
      <c r="E606" s="42" t="s">
        <v>326</v>
      </c>
      <c r="F606" s="7">
        <f>'Прил.№4 ведомств.'!G288</f>
        <v>16395.599999999999</v>
      </c>
      <c r="G606" s="7">
        <f>'Прил.№4 ведомств.'!I288</f>
        <v>11333.333333333334</v>
      </c>
      <c r="H606" s="7">
        <f>'Прил.№4 ведомств.'!J288</f>
        <v>20227.2</v>
      </c>
      <c r="I606" s="7">
        <f>'Прил.№4 ведомств.'!K288</f>
        <v>20500.8</v>
      </c>
      <c r="J606" s="7">
        <f>'Прил.№4 ведомств.'!L288</f>
        <v>20728</v>
      </c>
      <c r="K606" s="7">
        <f>'Прил.№4 ведомств.'!M288</f>
        <v>15846.66</v>
      </c>
      <c r="L606" s="7">
        <f>'Прил.№4 ведомств.'!N288</f>
        <v>12900.8</v>
      </c>
      <c r="M606" s="7">
        <f t="shared" si="350"/>
        <v>81.410215149438429</v>
      </c>
    </row>
    <row r="607" spans="1:13" ht="47.25" hidden="1" customHeight="1" x14ac:dyDescent="0.25">
      <c r="A607" s="26" t="s">
        <v>327</v>
      </c>
      <c r="B607" s="42" t="s">
        <v>315</v>
      </c>
      <c r="C607" s="42" t="s">
        <v>266</v>
      </c>
      <c r="D607" s="21" t="s">
        <v>328</v>
      </c>
      <c r="E607" s="42"/>
      <c r="F607" s="7"/>
      <c r="G607" s="7"/>
      <c r="H607" s="7"/>
      <c r="I607" s="7"/>
      <c r="J607" s="7"/>
      <c r="K607" s="7"/>
      <c r="L607" s="7"/>
      <c r="M607" s="7" t="e">
        <f t="shared" si="350"/>
        <v>#DIV/0!</v>
      </c>
    </row>
    <row r="608" spans="1:13" ht="47.25" hidden="1" customHeight="1" x14ac:dyDescent="0.25">
      <c r="A608" s="26" t="s">
        <v>323</v>
      </c>
      <c r="B608" s="42" t="s">
        <v>315</v>
      </c>
      <c r="C608" s="42" t="s">
        <v>266</v>
      </c>
      <c r="D608" s="21" t="s">
        <v>328</v>
      </c>
      <c r="E608" s="42"/>
      <c r="F608" s="7"/>
      <c r="G608" s="7"/>
      <c r="H608" s="7"/>
      <c r="I608" s="7"/>
      <c r="J608" s="7"/>
      <c r="K608" s="7"/>
      <c r="L608" s="7"/>
      <c r="M608" s="7" t="e">
        <f t="shared" si="350"/>
        <v>#DIV/0!</v>
      </c>
    </row>
    <row r="609" spans="1:13" ht="15.75" hidden="1" customHeight="1" x14ac:dyDescent="0.25">
      <c r="A609" s="26" t="s">
        <v>325</v>
      </c>
      <c r="B609" s="42" t="s">
        <v>315</v>
      </c>
      <c r="C609" s="42" t="s">
        <v>266</v>
      </c>
      <c r="D609" s="21" t="s">
        <v>328</v>
      </c>
      <c r="E609" s="42"/>
      <c r="F609" s="7"/>
      <c r="G609" s="7"/>
      <c r="H609" s="7"/>
      <c r="I609" s="7"/>
      <c r="J609" s="7"/>
      <c r="K609" s="7"/>
      <c r="L609" s="7"/>
      <c r="M609" s="7" t="e">
        <f t="shared" si="350"/>
        <v>#DIV/0!</v>
      </c>
    </row>
    <row r="610" spans="1:13" ht="31.5" customHeight="1" x14ac:dyDescent="0.25">
      <c r="A610" s="26" t="s">
        <v>329</v>
      </c>
      <c r="B610" s="42" t="s">
        <v>315</v>
      </c>
      <c r="C610" s="42" t="s">
        <v>266</v>
      </c>
      <c r="D610" s="21" t="s">
        <v>330</v>
      </c>
      <c r="E610" s="42"/>
      <c r="F610" s="7"/>
      <c r="G610" s="7"/>
      <c r="H610" s="7"/>
      <c r="I610" s="7"/>
      <c r="J610" s="7"/>
      <c r="K610" s="7">
        <f>K611</f>
        <v>127.39999999999999</v>
      </c>
      <c r="L610" s="7">
        <f t="shared" ref="L610:L611" si="358">L611</f>
        <v>127.4</v>
      </c>
      <c r="M610" s="7">
        <f t="shared" si="350"/>
        <v>100.00000000000003</v>
      </c>
    </row>
    <row r="611" spans="1:13" ht="47.25" customHeight="1" x14ac:dyDescent="0.25">
      <c r="A611" s="26" t="s">
        <v>323</v>
      </c>
      <c r="B611" s="42" t="s">
        <v>315</v>
      </c>
      <c r="C611" s="42" t="s">
        <v>266</v>
      </c>
      <c r="D611" s="21" t="s">
        <v>330</v>
      </c>
      <c r="E611" s="42"/>
      <c r="F611" s="7"/>
      <c r="G611" s="7"/>
      <c r="H611" s="7"/>
      <c r="I611" s="7"/>
      <c r="J611" s="7"/>
      <c r="K611" s="7">
        <f>K612</f>
        <v>127.39999999999999</v>
      </c>
      <c r="L611" s="7">
        <f t="shared" si="358"/>
        <v>127.4</v>
      </c>
      <c r="M611" s="7">
        <f t="shared" si="350"/>
        <v>100.00000000000003</v>
      </c>
    </row>
    <row r="612" spans="1:13" ht="15.75" customHeight="1" x14ac:dyDescent="0.25">
      <c r="A612" s="26" t="s">
        <v>325</v>
      </c>
      <c r="B612" s="42" t="s">
        <v>315</v>
      </c>
      <c r="C612" s="42" t="s">
        <v>266</v>
      </c>
      <c r="D612" s="21" t="s">
        <v>330</v>
      </c>
      <c r="E612" s="42" t="s">
        <v>326</v>
      </c>
      <c r="F612" s="7"/>
      <c r="G612" s="7"/>
      <c r="H612" s="7"/>
      <c r="I612" s="7"/>
      <c r="J612" s="7"/>
      <c r="K612" s="7">
        <f>'Прил.№4 ведомств.'!M294</f>
        <v>127.39999999999999</v>
      </c>
      <c r="L612" s="7">
        <f>'Прил.№4 ведомств.'!N294</f>
        <v>127.4</v>
      </c>
      <c r="M612" s="7">
        <f t="shared" si="350"/>
        <v>100.00000000000003</v>
      </c>
    </row>
    <row r="613" spans="1:13" ht="31.5" hidden="1" customHeight="1" x14ac:dyDescent="0.25">
      <c r="A613" s="26" t="s">
        <v>331</v>
      </c>
      <c r="B613" s="42" t="s">
        <v>315</v>
      </c>
      <c r="C613" s="42" t="s">
        <v>266</v>
      </c>
      <c r="D613" s="21" t="s">
        <v>332</v>
      </c>
      <c r="E613" s="42"/>
      <c r="F613" s="7"/>
      <c r="G613" s="7"/>
      <c r="H613" s="7"/>
      <c r="I613" s="7"/>
      <c r="J613" s="7"/>
      <c r="K613" s="7"/>
      <c r="L613" s="7"/>
      <c r="M613" s="7" t="e">
        <f t="shared" si="350"/>
        <v>#DIV/0!</v>
      </c>
    </row>
    <row r="614" spans="1:13" ht="47.25" hidden="1" customHeight="1" x14ac:dyDescent="0.25">
      <c r="A614" s="26" t="s">
        <v>323</v>
      </c>
      <c r="B614" s="42" t="s">
        <v>315</v>
      </c>
      <c r="C614" s="42" t="s">
        <v>266</v>
      </c>
      <c r="D614" s="21" t="s">
        <v>332</v>
      </c>
      <c r="E614" s="42"/>
      <c r="F614" s="7"/>
      <c r="G614" s="7"/>
      <c r="H614" s="7"/>
      <c r="I614" s="7"/>
      <c r="J614" s="7"/>
      <c r="K614" s="7"/>
      <c r="L614" s="7"/>
      <c r="M614" s="7" t="e">
        <f t="shared" si="350"/>
        <v>#DIV/0!</v>
      </c>
    </row>
    <row r="615" spans="1:13" ht="15.75" hidden="1" customHeight="1" x14ac:dyDescent="0.25">
      <c r="A615" s="26" t="s">
        <v>325</v>
      </c>
      <c r="B615" s="42" t="s">
        <v>315</v>
      </c>
      <c r="C615" s="42" t="s">
        <v>266</v>
      </c>
      <c r="D615" s="21" t="s">
        <v>332</v>
      </c>
      <c r="E615" s="42"/>
      <c r="F615" s="7"/>
      <c r="G615" s="7"/>
      <c r="H615" s="7"/>
      <c r="I615" s="7"/>
      <c r="J615" s="7"/>
      <c r="K615" s="7"/>
      <c r="L615" s="7"/>
      <c r="M615" s="7" t="e">
        <f t="shared" si="350"/>
        <v>#DIV/0!</v>
      </c>
    </row>
    <row r="616" spans="1:13" ht="31.5" x14ac:dyDescent="0.25">
      <c r="A616" s="26" t="s">
        <v>333</v>
      </c>
      <c r="B616" s="42" t="s">
        <v>315</v>
      </c>
      <c r="C616" s="42" t="s">
        <v>266</v>
      </c>
      <c r="D616" s="21" t="s">
        <v>334</v>
      </c>
      <c r="E616" s="42"/>
      <c r="F616" s="7">
        <f>F617</f>
        <v>50</v>
      </c>
      <c r="G616" s="7">
        <f t="shared" ref="G616:L617" si="359">G617</f>
        <v>50</v>
      </c>
      <c r="H616" s="7">
        <f t="shared" si="359"/>
        <v>60</v>
      </c>
      <c r="I616" s="7">
        <f t="shared" si="359"/>
        <v>60</v>
      </c>
      <c r="J616" s="7">
        <f t="shared" si="359"/>
        <v>60</v>
      </c>
      <c r="K616" s="7">
        <f t="shared" si="359"/>
        <v>50</v>
      </c>
      <c r="L616" s="7">
        <f t="shared" si="359"/>
        <v>50</v>
      </c>
      <c r="M616" s="7">
        <f t="shared" si="350"/>
        <v>100</v>
      </c>
    </row>
    <row r="617" spans="1:13" ht="47.25" x14ac:dyDescent="0.25">
      <c r="A617" s="26" t="s">
        <v>323</v>
      </c>
      <c r="B617" s="42" t="s">
        <v>315</v>
      </c>
      <c r="C617" s="42" t="s">
        <v>266</v>
      </c>
      <c r="D617" s="21" t="s">
        <v>334</v>
      </c>
      <c r="E617" s="42" t="s">
        <v>324</v>
      </c>
      <c r="F617" s="7">
        <f>F618</f>
        <v>50</v>
      </c>
      <c r="G617" s="7">
        <f t="shared" si="359"/>
        <v>50</v>
      </c>
      <c r="H617" s="7">
        <f t="shared" si="359"/>
        <v>60</v>
      </c>
      <c r="I617" s="7">
        <f t="shared" si="359"/>
        <v>60</v>
      </c>
      <c r="J617" s="7">
        <f t="shared" si="359"/>
        <v>60</v>
      </c>
      <c r="K617" s="7">
        <f t="shared" si="359"/>
        <v>50</v>
      </c>
      <c r="L617" s="7">
        <f t="shared" si="359"/>
        <v>50</v>
      </c>
      <c r="M617" s="7">
        <f t="shared" si="350"/>
        <v>100</v>
      </c>
    </row>
    <row r="618" spans="1:13" ht="15.75" x14ac:dyDescent="0.25">
      <c r="A618" s="26" t="s">
        <v>325</v>
      </c>
      <c r="B618" s="42" t="s">
        <v>315</v>
      </c>
      <c r="C618" s="42" t="s">
        <v>266</v>
      </c>
      <c r="D618" s="21" t="s">
        <v>334</v>
      </c>
      <c r="E618" s="42" t="s">
        <v>326</v>
      </c>
      <c r="F618" s="7">
        <f>'Прил.№4 ведомств.'!G300</f>
        <v>50</v>
      </c>
      <c r="G618" s="7">
        <f>'Прил.№4 ведомств.'!I300</f>
        <v>50</v>
      </c>
      <c r="H618" s="7">
        <f>'Прил.№4 ведомств.'!J300</f>
        <v>60</v>
      </c>
      <c r="I618" s="7">
        <f>'Прил.№4 ведомств.'!K300</f>
        <v>60</v>
      </c>
      <c r="J618" s="7">
        <f>'Прил.№4 ведомств.'!L300</f>
        <v>60</v>
      </c>
      <c r="K618" s="7">
        <f>'Прил.№4 ведомств.'!M300</f>
        <v>50</v>
      </c>
      <c r="L618" s="7">
        <f>'Прил.№4 ведомств.'!N300</f>
        <v>50</v>
      </c>
      <c r="M618" s="7">
        <f t="shared" si="350"/>
        <v>100</v>
      </c>
    </row>
    <row r="619" spans="1:13" ht="31.5" customHeight="1" x14ac:dyDescent="0.25">
      <c r="A619" s="26" t="s">
        <v>335</v>
      </c>
      <c r="B619" s="42" t="s">
        <v>315</v>
      </c>
      <c r="C619" s="42" t="s">
        <v>266</v>
      </c>
      <c r="D619" s="21" t="s">
        <v>337</v>
      </c>
      <c r="E619" s="42"/>
      <c r="F619" s="7">
        <f>F620</f>
        <v>0</v>
      </c>
      <c r="G619" s="7">
        <f t="shared" ref="G619:L620" si="360">G620</f>
        <v>0</v>
      </c>
      <c r="H619" s="7">
        <f t="shared" si="360"/>
        <v>275</v>
      </c>
      <c r="I619" s="7">
        <f t="shared" si="360"/>
        <v>275</v>
      </c>
      <c r="J619" s="7">
        <f t="shared" si="360"/>
        <v>275</v>
      </c>
      <c r="K619" s="7">
        <f t="shared" si="360"/>
        <v>37.94</v>
      </c>
      <c r="L619" s="7">
        <f t="shared" si="360"/>
        <v>0</v>
      </c>
      <c r="M619" s="7">
        <f t="shared" si="350"/>
        <v>0</v>
      </c>
    </row>
    <row r="620" spans="1:13" ht="47.25" customHeight="1" x14ac:dyDescent="0.25">
      <c r="A620" s="26" t="s">
        <v>323</v>
      </c>
      <c r="B620" s="42" t="s">
        <v>315</v>
      </c>
      <c r="C620" s="42" t="s">
        <v>266</v>
      </c>
      <c r="D620" s="21" t="s">
        <v>337</v>
      </c>
      <c r="E620" s="42" t="s">
        <v>324</v>
      </c>
      <c r="F620" s="7">
        <f>F621</f>
        <v>0</v>
      </c>
      <c r="G620" s="7">
        <f t="shared" si="360"/>
        <v>0</v>
      </c>
      <c r="H620" s="7">
        <f t="shared" si="360"/>
        <v>275</v>
      </c>
      <c r="I620" s="7">
        <f t="shared" si="360"/>
        <v>275</v>
      </c>
      <c r="J620" s="7">
        <f t="shared" si="360"/>
        <v>275</v>
      </c>
      <c r="K620" s="7">
        <f t="shared" si="360"/>
        <v>37.94</v>
      </c>
      <c r="L620" s="7">
        <f t="shared" si="360"/>
        <v>0</v>
      </c>
      <c r="M620" s="7">
        <f t="shared" si="350"/>
        <v>0</v>
      </c>
    </row>
    <row r="621" spans="1:13" ht="15.75" customHeight="1" x14ac:dyDescent="0.25">
      <c r="A621" s="26" t="s">
        <v>325</v>
      </c>
      <c r="B621" s="42" t="s">
        <v>315</v>
      </c>
      <c r="C621" s="42" t="s">
        <v>266</v>
      </c>
      <c r="D621" s="21" t="s">
        <v>337</v>
      </c>
      <c r="E621" s="42" t="s">
        <v>326</v>
      </c>
      <c r="F621" s="7">
        <f>'Прил.№4 ведомств.'!G303</f>
        <v>0</v>
      </c>
      <c r="G621" s="7">
        <f>'Прил.№4 ведомств.'!I303</f>
        <v>0</v>
      </c>
      <c r="H621" s="7">
        <f>'Прил.№4 ведомств.'!J303</f>
        <v>275</v>
      </c>
      <c r="I621" s="7">
        <f>'Прил.№4 ведомств.'!K303</f>
        <v>275</v>
      </c>
      <c r="J621" s="7">
        <f>'Прил.№4 ведомств.'!L303</f>
        <v>275</v>
      </c>
      <c r="K621" s="7">
        <f>'Прил.№4 ведомств.'!M303</f>
        <v>37.94</v>
      </c>
      <c r="L621" s="7">
        <f>'Прил.№4 ведомств.'!N303</f>
        <v>0</v>
      </c>
      <c r="M621" s="7">
        <f t="shared" si="350"/>
        <v>0</v>
      </c>
    </row>
    <row r="622" spans="1:13" ht="31.5" hidden="1" customHeight="1" x14ac:dyDescent="0.25">
      <c r="A622" s="37" t="s">
        <v>338</v>
      </c>
      <c r="B622" s="42" t="s">
        <v>315</v>
      </c>
      <c r="C622" s="42" t="s">
        <v>266</v>
      </c>
      <c r="D622" s="21" t="s">
        <v>339</v>
      </c>
      <c r="E622" s="42"/>
      <c r="F622" s="7">
        <f>F623</f>
        <v>0</v>
      </c>
      <c r="G622" s="7">
        <f t="shared" ref="G622:L623" si="361">G623</f>
        <v>0</v>
      </c>
      <c r="H622" s="7">
        <f t="shared" si="361"/>
        <v>600</v>
      </c>
      <c r="I622" s="7">
        <f t="shared" si="361"/>
        <v>0</v>
      </c>
      <c r="J622" s="7">
        <f t="shared" si="361"/>
        <v>0</v>
      </c>
      <c r="K622" s="7">
        <f t="shared" si="361"/>
        <v>0</v>
      </c>
      <c r="L622" s="7">
        <f t="shared" si="361"/>
        <v>0</v>
      </c>
      <c r="M622" s="7" t="e">
        <f t="shared" si="350"/>
        <v>#DIV/0!</v>
      </c>
    </row>
    <row r="623" spans="1:13" ht="47.25" hidden="1" customHeight="1" x14ac:dyDescent="0.25">
      <c r="A623" s="26" t="s">
        <v>323</v>
      </c>
      <c r="B623" s="42" t="s">
        <v>315</v>
      </c>
      <c r="C623" s="42" t="s">
        <v>266</v>
      </c>
      <c r="D623" s="21" t="s">
        <v>339</v>
      </c>
      <c r="E623" s="42" t="s">
        <v>324</v>
      </c>
      <c r="F623" s="7">
        <f>F624</f>
        <v>0</v>
      </c>
      <c r="G623" s="7">
        <f t="shared" si="361"/>
        <v>0</v>
      </c>
      <c r="H623" s="7">
        <f t="shared" si="361"/>
        <v>600</v>
      </c>
      <c r="I623" s="7">
        <f t="shared" si="361"/>
        <v>0</v>
      </c>
      <c r="J623" s="7">
        <f t="shared" si="361"/>
        <v>0</v>
      </c>
      <c r="K623" s="7">
        <f t="shared" si="361"/>
        <v>0</v>
      </c>
      <c r="L623" s="7">
        <f t="shared" si="361"/>
        <v>0</v>
      </c>
      <c r="M623" s="7" t="e">
        <f t="shared" si="350"/>
        <v>#DIV/0!</v>
      </c>
    </row>
    <row r="624" spans="1:13" ht="15.75" hidden="1" customHeight="1" x14ac:dyDescent="0.25">
      <c r="A624" s="26" t="s">
        <v>325</v>
      </c>
      <c r="B624" s="42" t="s">
        <v>315</v>
      </c>
      <c r="C624" s="42" t="s">
        <v>266</v>
      </c>
      <c r="D624" s="21" t="s">
        <v>339</v>
      </c>
      <c r="E624" s="42" t="s">
        <v>326</v>
      </c>
      <c r="F624" s="7">
        <f>'Прил.№4 ведомств.'!G306</f>
        <v>0</v>
      </c>
      <c r="G624" s="7">
        <f>'Прил.№4 ведомств.'!I306</f>
        <v>0</v>
      </c>
      <c r="H624" s="7">
        <f>'Прил.№4 ведомств.'!J306</f>
        <v>600</v>
      </c>
      <c r="I624" s="7">
        <f>'Прил.№4 ведомств.'!K306</f>
        <v>0</v>
      </c>
      <c r="J624" s="7">
        <f>'Прил.№4 ведомств.'!L306</f>
        <v>0</v>
      </c>
      <c r="K624" s="7">
        <f>'Прил.№4 ведомств.'!M306</f>
        <v>0</v>
      </c>
      <c r="L624" s="7">
        <f>'Прил.№4 ведомств.'!N306</f>
        <v>0</v>
      </c>
      <c r="M624" s="7" t="e">
        <f t="shared" si="350"/>
        <v>#DIV/0!</v>
      </c>
    </row>
    <row r="625" spans="1:13" ht="15.75" customHeight="1" x14ac:dyDescent="0.25">
      <c r="A625" s="47" t="s">
        <v>861</v>
      </c>
      <c r="B625" s="42" t="s">
        <v>315</v>
      </c>
      <c r="C625" s="42" t="s">
        <v>266</v>
      </c>
      <c r="D625" s="21" t="s">
        <v>867</v>
      </c>
      <c r="E625" s="42"/>
      <c r="F625" s="7">
        <f>F626</f>
        <v>0</v>
      </c>
      <c r="G625" s="7">
        <f t="shared" ref="G625:L626" si="362">G626</f>
        <v>0</v>
      </c>
      <c r="H625" s="7">
        <f t="shared" si="362"/>
        <v>661.8</v>
      </c>
      <c r="I625" s="7">
        <f t="shared" si="362"/>
        <v>661.8</v>
      </c>
      <c r="J625" s="7">
        <f t="shared" si="362"/>
        <v>661.8</v>
      </c>
      <c r="K625" s="7">
        <f t="shared" si="362"/>
        <v>661.8</v>
      </c>
      <c r="L625" s="7">
        <f t="shared" si="362"/>
        <v>661.8</v>
      </c>
      <c r="M625" s="7">
        <f t="shared" si="350"/>
        <v>100</v>
      </c>
    </row>
    <row r="626" spans="1:13" ht="15.75" customHeight="1" x14ac:dyDescent="0.25">
      <c r="A626" s="33" t="s">
        <v>323</v>
      </c>
      <c r="B626" s="42" t="s">
        <v>315</v>
      </c>
      <c r="C626" s="42" t="s">
        <v>266</v>
      </c>
      <c r="D626" s="21" t="s">
        <v>867</v>
      </c>
      <c r="E626" s="42" t="s">
        <v>324</v>
      </c>
      <c r="F626" s="7">
        <f>F627</f>
        <v>0</v>
      </c>
      <c r="G626" s="7">
        <f t="shared" si="362"/>
        <v>0</v>
      </c>
      <c r="H626" s="7">
        <f t="shared" si="362"/>
        <v>661.8</v>
      </c>
      <c r="I626" s="7">
        <f t="shared" si="362"/>
        <v>661.8</v>
      </c>
      <c r="J626" s="7">
        <f t="shared" si="362"/>
        <v>661.8</v>
      </c>
      <c r="K626" s="7">
        <f t="shared" si="362"/>
        <v>661.8</v>
      </c>
      <c r="L626" s="7">
        <f t="shared" si="362"/>
        <v>661.8</v>
      </c>
      <c r="M626" s="7">
        <f t="shared" si="350"/>
        <v>100</v>
      </c>
    </row>
    <row r="627" spans="1:13" ht="15.75" customHeight="1" x14ac:dyDescent="0.25">
      <c r="A627" s="33" t="s">
        <v>325</v>
      </c>
      <c r="B627" s="42" t="s">
        <v>315</v>
      </c>
      <c r="C627" s="42" t="s">
        <v>266</v>
      </c>
      <c r="D627" s="21" t="s">
        <v>867</v>
      </c>
      <c r="E627" s="42" t="s">
        <v>326</v>
      </c>
      <c r="F627" s="7">
        <f>'Прил.№4 ведомств.'!G309</f>
        <v>0</v>
      </c>
      <c r="G627" s="7">
        <f>'Прил.№4 ведомств.'!I309</f>
        <v>0</v>
      </c>
      <c r="H627" s="7">
        <f>'Прил.№4 ведомств.'!J309</f>
        <v>661.8</v>
      </c>
      <c r="I627" s="7">
        <f>'Прил.№4 ведомств.'!K309</f>
        <v>661.8</v>
      </c>
      <c r="J627" s="7">
        <f>'Прил.№4 ведомств.'!L309</f>
        <v>661.8</v>
      </c>
      <c r="K627" s="7">
        <f>'Прил.№4 ведомств.'!M309</f>
        <v>661.8</v>
      </c>
      <c r="L627" s="7">
        <f>'Прил.№4 ведомств.'!N309</f>
        <v>661.8</v>
      </c>
      <c r="M627" s="7">
        <f t="shared" si="350"/>
        <v>100</v>
      </c>
    </row>
    <row r="628" spans="1:13" ht="15.75" x14ac:dyDescent="0.25">
      <c r="A628" s="26" t="s">
        <v>172</v>
      </c>
      <c r="B628" s="42" t="s">
        <v>315</v>
      </c>
      <c r="C628" s="42" t="s">
        <v>266</v>
      </c>
      <c r="D628" s="21" t="s">
        <v>173</v>
      </c>
      <c r="E628" s="42"/>
      <c r="F628" s="7">
        <f>F629</f>
        <v>3346.4</v>
      </c>
      <c r="G628" s="7">
        <f t="shared" ref="G628:L628" si="363">G629</f>
        <v>3346.4</v>
      </c>
      <c r="H628" s="7">
        <f t="shared" si="363"/>
        <v>3346.4</v>
      </c>
      <c r="I628" s="7">
        <f t="shared" si="363"/>
        <v>3346.4</v>
      </c>
      <c r="J628" s="7">
        <f t="shared" si="363"/>
        <v>3346.4</v>
      </c>
      <c r="K628" s="7">
        <f t="shared" si="363"/>
        <v>3310.6000000000004</v>
      </c>
      <c r="L628" s="7">
        <f t="shared" si="363"/>
        <v>2080.1999999999998</v>
      </c>
      <c r="M628" s="7">
        <f t="shared" si="350"/>
        <v>62.834531504863158</v>
      </c>
    </row>
    <row r="629" spans="1:13" ht="31.5" x14ac:dyDescent="0.25">
      <c r="A629" s="26" t="s">
        <v>236</v>
      </c>
      <c r="B629" s="42" t="s">
        <v>315</v>
      </c>
      <c r="C629" s="42" t="s">
        <v>266</v>
      </c>
      <c r="D629" s="21" t="s">
        <v>237</v>
      </c>
      <c r="E629" s="42"/>
      <c r="F629" s="7">
        <f>F630+F633+F636</f>
        <v>3346.4</v>
      </c>
      <c r="G629" s="7">
        <f t="shared" ref="G629:K629" si="364">G630+G633+G636</f>
        <v>3346.4</v>
      </c>
      <c r="H629" s="7">
        <f t="shared" si="364"/>
        <v>3346.4</v>
      </c>
      <c r="I629" s="7">
        <f t="shared" si="364"/>
        <v>3346.4</v>
      </c>
      <c r="J629" s="7">
        <f t="shared" si="364"/>
        <v>3346.4</v>
      </c>
      <c r="K629" s="7">
        <f t="shared" si="364"/>
        <v>3310.6000000000004</v>
      </c>
      <c r="L629" s="7">
        <f t="shared" ref="L629" si="365">L630+L633+L636</f>
        <v>2080.1999999999998</v>
      </c>
      <c r="M629" s="7">
        <f t="shared" si="350"/>
        <v>62.834531504863158</v>
      </c>
    </row>
    <row r="630" spans="1:13" ht="63" x14ac:dyDescent="0.25">
      <c r="A630" s="33" t="s">
        <v>340</v>
      </c>
      <c r="B630" s="42" t="s">
        <v>315</v>
      </c>
      <c r="C630" s="42" t="s">
        <v>266</v>
      </c>
      <c r="D630" s="21" t="s">
        <v>341</v>
      </c>
      <c r="E630" s="42"/>
      <c r="F630" s="7">
        <f>F631</f>
        <v>286.7</v>
      </c>
      <c r="G630" s="7">
        <f t="shared" ref="G630:L631" si="366">G631</f>
        <v>286.7</v>
      </c>
      <c r="H630" s="7">
        <f t="shared" si="366"/>
        <v>286.7</v>
      </c>
      <c r="I630" s="7">
        <f t="shared" si="366"/>
        <v>286.7</v>
      </c>
      <c r="J630" s="7">
        <f t="shared" si="366"/>
        <v>286.7</v>
      </c>
      <c r="K630" s="7">
        <f t="shared" si="366"/>
        <v>247.2</v>
      </c>
      <c r="L630" s="7">
        <f t="shared" si="366"/>
        <v>149.9</v>
      </c>
      <c r="M630" s="7">
        <f t="shared" si="350"/>
        <v>60.639158576051791</v>
      </c>
    </row>
    <row r="631" spans="1:13" ht="47.25" x14ac:dyDescent="0.25">
      <c r="A631" s="26" t="s">
        <v>323</v>
      </c>
      <c r="B631" s="42" t="s">
        <v>315</v>
      </c>
      <c r="C631" s="42" t="s">
        <v>266</v>
      </c>
      <c r="D631" s="21" t="s">
        <v>341</v>
      </c>
      <c r="E631" s="42" t="s">
        <v>324</v>
      </c>
      <c r="F631" s="7">
        <f>F632</f>
        <v>286.7</v>
      </c>
      <c r="G631" s="7">
        <f t="shared" si="366"/>
        <v>286.7</v>
      </c>
      <c r="H631" s="7">
        <f t="shared" si="366"/>
        <v>286.7</v>
      </c>
      <c r="I631" s="7">
        <f t="shared" si="366"/>
        <v>286.7</v>
      </c>
      <c r="J631" s="7">
        <f t="shared" si="366"/>
        <v>286.7</v>
      </c>
      <c r="K631" s="7">
        <f t="shared" si="366"/>
        <v>247.2</v>
      </c>
      <c r="L631" s="7">
        <f t="shared" si="366"/>
        <v>149.9</v>
      </c>
      <c r="M631" s="7">
        <f t="shared" si="350"/>
        <v>60.639158576051791</v>
      </c>
    </row>
    <row r="632" spans="1:13" ht="15.75" x14ac:dyDescent="0.25">
      <c r="A632" s="26" t="s">
        <v>325</v>
      </c>
      <c r="B632" s="42" t="s">
        <v>315</v>
      </c>
      <c r="C632" s="42" t="s">
        <v>266</v>
      </c>
      <c r="D632" s="21" t="s">
        <v>341</v>
      </c>
      <c r="E632" s="42" t="s">
        <v>326</v>
      </c>
      <c r="F632" s="7">
        <f>'Прил.№4 ведомств.'!G314+'Прил.№4 ведомств.'!G734+'Прил.№4 ведомств.'!G814</f>
        <v>286.7</v>
      </c>
      <c r="G632" s="7">
        <f>'Прил.№4 ведомств.'!I314+'Прил.№4 ведомств.'!I734+'Прил.№4 ведомств.'!I814</f>
        <v>286.7</v>
      </c>
      <c r="H632" s="7">
        <f>'Прил.№4 ведомств.'!J314+'Прил.№4 ведомств.'!J734+'Прил.№4 ведомств.'!J814</f>
        <v>286.7</v>
      </c>
      <c r="I632" s="7">
        <f>'Прил.№4 ведомств.'!K314+'Прил.№4 ведомств.'!K734+'Прил.№4 ведомств.'!K814</f>
        <v>286.7</v>
      </c>
      <c r="J632" s="7">
        <f>'Прил.№4 ведомств.'!L314+'Прил.№4 ведомств.'!L734+'Прил.№4 ведомств.'!L814</f>
        <v>286.7</v>
      </c>
      <c r="K632" s="7">
        <f>'Прил.№4 ведомств.'!M314+'Прил.№4 ведомств.'!M734+'Прил.№4 ведомств.'!M814</f>
        <v>247.2</v>
      </c>
      <c r="L632" s="7">
        <f>'Прил.№4 ведомств.'!N314+'Прил.№4 ведомств.'!N734+'Прил.№4 ведомств.'!N814</f>
        <v>149.9</v>
      </c>
      <c r="M632" s="7">
        <f t="shared" si="350"/>
        <v>60.639158576051791</v>
      </c>
    </row>
    <row r="633" spans="1:13" ht="63" x14ac:dyDescent="0.25">
      <c r="A633" s="33" t="s">
        <v>342</v>
      </c>
      <c r="B633" s="42" t="s">
        <v>315</v>
      </c>
      <c r="C633" s="42" t="s">
        <v>266</v>
      </c>
      <c r="D633" s="21" t="s">
        <v>343</v>
      </c>
      <c r="E633" s="42"/>
      <c r="F633" s="7">
        <f>F634</f>
        <v>1080.2</v>
      </c>
      <c r="G633" s="7">
        <f t="shared" ref="G633:L634" si="367">G634</f>
        <v>1080.2</v>
      </c>
      <c r="H633" s="7">
        <f t="shared" si="367"/>
        <v>1080.2</v>
      </c>
      <c r="I633" s="7">
        <f t="shared" si="367"/>
        <v>1080.2</v>
      </c>
      <c r="J633" s="7">
        <f t="shared" si="367"/>
        <v>1080.2</v>
      </c>
      <c r="K633" s="7">
        <f t="shared" si="367"/>
        <v>1117.8000000000002</v>
      </c>
      <c r="L633" s="7">
        <f t="shared" si="367"/>
        <v>720.19999999999993</v>
      </c>
      <c r="M633" s="7">
        <f t="shared" si="350"/>
        <v>64.430130613705472</v>
      </c>
    </row>
    <row r="634" spans="1:13" ht="47.25" x14ac:dyDescent="0.25">
      <c r="A634" s="26" t="s">
        <v>323</v>
      </c>
      <c r="B634" s="42" t="s">
        <v>315</v>
      </c>
      <c r="C634" s="42" t="s">
        <v>266</v>
      </c>
      <c r="D634" s="21" t="s">
        <v>343</v>
      </c>
      <c r="E634" s="42" t="s">
        <v>324</v>
      </c>
      <c r="F634" s="7">
        <f>F635</f>
        <v>1080.2</v>
      </c>
      <c r="G634" s="7">
        <f t="shared" si="367"/>
        <v>1080.2</v>
      </c>
      <c r="H634" s="7">
        <f t="shared" si="367"/>
        <v>1080.2</v>
      </c>
      <c r="I634" s="7">
        <f t="shared" si="367"/>
        <v>1080.2</v>
      </c>
      <c r="J634" s="7">
        <f t="shared" si="367"/>
        <v>1080.2</v>
      </c>
      <c r="K634" s="7">
        <f t="shared" si="367"/>
        <v>1117.8000000000002</v>
      </c>
      <c r="L634" s="7">
        <f t="shared" si="367"/>
        <v>720.19999999999993</v>
      </c>
      <c r="M634" s="7">
        <f t="shared" si="350"/>
        <v>64.430130613705472</v>
      </c>
    </row>
    <row r="635" spans="1:13" ht="15.75" x14ac:dyDescent="0.25">
      <c r="A635" s="26" t="s">
        <v>325</v>
      </c>
      <c r="B635" s="42" t="s">
        <v>315</v>
      </c>
      <c r="C635" s="42" t="s">
        <v>266</v>
      </c>
      <c r="D635" s="21" t="s">
        <v>343</v>
      </c>
      <c r="E635" s="42" t="s">
        <v>326</v>
      </c>
      <c r="F635" s="7">
        <f>'Прил.№4 ведомств.'!G817+'Прил.№4 ведомств.'!G737+'Прил.№4 ведомств.'!G317</f>
        <v>1080.2</v>
      </c>
      <c r="G635" s="7">
        <f>'Прил.№4 ведомств.'!I817+'Прил.№4 ведомств.'!I737+'Прил.№4 ведомств.'!I317</f>
        <v>1080.2</v>
      </c>
      <c r="H635" s="7">
        <f>'Прил.№4 ведомств.'!J817+'Прил.№4 ведомств.'!J737+'Прил.№4 ведомств.'!J317</f>
        <v>1080.2</v>
      </c>
      <c r="I635" s="7">
        <f>'Прил.№4 ведомств.'!K817+'Прил.№4 ведомств.'!K737+'Прил.№4 ведомств.'!K317</f>
        <v>1080.2</v>
      </c>
      <c r="J635" s="7">
        <f>'Прил.№4 ведомств.'!L817+'Прил.№4 ведомств.'!L737+'Прил.№4 ведомств.'!L317</f>
        <v>1080.2</v>
      </c>
      <c r="K635" s="7">
        <f>'Прил.№4 ведомств.'!M817+'Прил.№4 ведомств.'!M737+'Прил.№4 ведомств.'!M317</f>
        <v>1117.8000000000002</v>
      </c>
      <c r="L635" s="7">
        <f>'Прил.№4 ведомств.'!N817+'Прил.№4 ведомств.'!N737+'Прил.№4 ведомств.'!N317</f>
        <v>720.19999999999993</v>
      </c>
      <c r="M635" s="7">
        <f t="shared" si="350"/>
        <v>64.430130613705472</v>
      </c>
    </row>
    <row r="636" spans="1:13" ht="94.5" x14ac:dyDescent="0.25">
      <c r="A636" s="33" t="s">
        <v>344</v>
      </c>
      <c r="B636" s="42" t="s">
        <v>315</v>
      </c>
      <c r="C636" s="42" t="s">
        <v>266</v>
      </c>
      <c r="D636" s="21" t="s">
        <v>345</v>
      </c>
      <c r="E636" s="42"/>
      <c r="F636" s="7">
        <f>F637</f>
        <v>1979.5</v>
      </c>
      <c r="G636" s="7">
        <f t="shared" ref="G636:L637" si="368">G637</f>
        <v>1979.5</v>
      </c>
      <c r="H636" s="7">
        <f t="shared" si="368"/>
        <v>1979.5</v>
      </c>
      <c r="I636" s="7">
        <f t="shared" si="368"/>
        <v>1979.5</v>
      </c>
      <c r="J636" s="7">
        <f t="shared" si="368"/>
        <v>1979.5</v>
      </c>
      <c r="K636" s="7">
        <f t="shared" si="368"/>
        <v>1945.6</v>
      </c>
      <c r="L636" s="7">
        <f t="shared" si="368"/>
        <v>1210.1000000000001</v>
      </c>
      <c r="M636" s="7">
        <f t="shared" si="350"/>
        <v>62.19675164473685</v>
      </c>
    </row>
    <row r="637" spans="1:13" ht="47.25" x14ac:dyDescent="0.25">
      <c r="A637" s="26" t="s">
        <v>323</v>
      </c>
      <c r="B637" s="42" t="s">
        <v>315</v>
      </c>
      <c r="C637" s="42" t="s">
        <v>266</v>
      </c>
      <c r="D637" s="21" t="s">
        <v>345</v>
      </c>
      <c r="E637" s="42" t="s">
        <v>324</v>
      </c>
      <c r="F637" s="7">
        <f>F638</f>
        <v>1979.5</v>
      </c>
      <c r="G637" s="7">
        <f t="shared" si="368"/>
        <v>1979.5</v>
      </c>
      <c r="H637" s="7">
        <f t="shared" si="368"/>
        <v>1979.5</v>
      </c>
      <c r="I637" s="7">
        <f t="shared" si="368"/>
        <v>1979.5</v>
      </c>
      <c r="J637" s="7">
        <f t="shared" si="368"/>
        <v>1979.5</v>
      </c>
      <c r="K637" s="7">
        <f t="shared" si="368"/>
        <v>1945.6</v>
      </c>
      <c r="L637" s="7">
        <f t="shared" si="368"/>
        <v>1210.1000000000001</v>
      </c>
      <c r="M637" s="7">
        <f t="shared" si="350"/>
        <v>62.19675164473685</v>
      </c>
    </row>
    <row r="638" spans="1:13" ht="15.75" x14ac:dyDescent="0.25">
      <c r="A638" s="26" t="s">
        <v>325</v>
      </c>
      <c r="B638" s="42" t="s">
        <v>315</v>
      </c>
      <c r="C638" s="42" t="s">
        <v>266</v>
      </c>
      <c r="D638" s="21" t="s">
        <v>345</v>
      </c>
      <c r="E638" s="42" t="s">
        <v>326</v>
      </c>
      <c r="F638" s="7">
        <f>'Прил.№4 ведомств.'!G320+'Прил.№4 ведомств.'!G740+'Прил.№4 ведомств.'!G820</f>
        <v>1979.5</v>
      </c>
      <c r="G638" s="7">
        <f>'Прил.№4 ведомств.'!I320+'Прил.№4 ведомств.'!I740+'Прил.№4 ведомств.'!I820</f>
        <v>1979.5</v>
      </c>
      <c r="H638" s="7">
        <f>'Прил.№4 ведомств.'!J320+'Прил.№4 ведомств.'!J740+'Прил.№4 ведомств.'!J820</f>
        <v>1979.5</v>
      </c>
      <c r="I638" s="7">
        <f>'Прил.№4 ведомств.'!K320+'Прил.№4 ведомств.'!K740+'Прил.№4 ведомств.'!K820</f>
        <v>1979.5</v>
      </c>
      <c r="J638" s="7">
        <f>'Прил.№4 ведомств.'!L320+'Прил.№4 ведомств.'!L740+'Прил.№4 ведомств.'!L820</f>
        <v>1979.5</v>
      </c>
      <c r="K638" s="7">
        <f>'Прил.№4 ведомств.'!M320+'Прил.№4 ведомств.'!M740+'Прил.№4 ведомств.'!M820</f>
        <v>1945.6</v>
      </c>
      <c r="L638" s="7">
        <f>'Прил.№4 ведомств.'!N320+'Прил.№4 ведомств.'!N740+'Прил.№4 ведомств.'!N820</f>
        <v>1210.1000000000001</v>
      </c>
      <c r="M638" s="7">
        <f t="shared" si="350"/>
        <v>62.19675164473685</v>
      </c>
    </row>
    <row r="639" spans="1:13" ht="15.75" x14ac:dyDescent="0.25">
      <c r="A639" s="43" t="s">
        <v>518</v>
      </c>
      <c r="B639" s="8" t="s">
        <v>315</v>
      </c>
      <c r="C639" s="8" t="s">
        <v>315</v>
      </c>
      <c r="D639" s="8"/>
      <c r="E639" s="8"/>
      <c r="F639" s="4">
        <f>F640+F645</f>
        <v>4788.6000000000004</v>
      </c>
      <c r="G639" s="4">
        <f t="shared" ref="G639:K639" si="369">G640+G645</f>
        <v>4788.6000000000004</v>
      </c>
      <c r="H639" s="4">
        <f t="shared" si="369"/>
        <v>5474.8</v>
      </c>
      <c r="I639" s="4">
        <f t="shared" si="369"/>
        <v>5474.8</v>
      </c>
      <c r="J639" s="4">
        <f t="shared" si="369"/>
        <v>5474.8</v>
      </c>
      <c r="K639" s="4">
        <f t="shared" si="369"/>
        <v>4887.8</v>
      </c>
      <c r="L639" s="4">
        <f t="shared" ref="L639" si="370">L640+L645</f>
        <v>4887.8</v>
      </c>
      <c r="M639" s="4">
        <f t="shared" si="350"/>
        <v>100</v>
      </c>
    </row>
    <row r="640" spans="1:13" ht="47.25" x14ac:dyDescent="0.25">
      <c r="A640" s="31" t="s">
        <v>478</v>
      </c>
      <c r="B640" s="42" t="s">
        <v>315</v>
      </c>
      <c r="C640" s="42" t="s">
        <v>315</v>
      </c>
      <c r="D640" s="42" t="s">
        <v>458</v>
      </c>
      <c r="E640" s="42"/>
      <c r="F640" s="7">
        <f>F641</f>
        <v>3484.8</v>
      </c>
      <c r="G640" s="7">
        <f t="shared" ref="G640:L640" si="371">G641</f>
        <v>3484.8</v>
      </c>
      <c r="H640" s="7">
        <f t="shared" si="371"/>
        <v>4171</v>
      </c>
      <c r="I640" s="7">
        <f t="shared" si="371"/>
        <v>4171</v>
      </c>
      <c r="J640" s="7">
        <f t="shared" si="371"/>
        <v>4171</v>
      </c>
      <c r="K640" s="7">
        <f t="shared" si="371"/>
        <v>3584</v>
      </c>
      <c r="L640" s="7">
        <f t="shared" si="371"/>
        <v>3584</v>
      </c>
      <c r="M640" s="7">
        <f t="shared" si="350"/>
        <v>100</v>
      </c>
    </row>
    <row r="641" spans="1:13" ht="31.5" x14ac:dyDescent="0.25">
      <c r="A641" s="31" t="s">
        <v>519</v>
      </c>
      <c r="B641" s="42" t="s">
        <v>315</v>
      </c>
      <c r="C641" s="42" t="s">
        <v>520</v>
      </c>
      <c r="D641" s="42" t="s">
        <v>521</v>
      </c>
      <c r="E641" s="42"/>
      <c r="F641" s="7">
        <f>F643</f>
        <v>3484.8</v>
      </c>
      <c r="G641" s="7">
        <f t="shared" ref="G641:K641" si="372">G643</f>
        <v>3484.8</v>
      </c>
      <c r="H641" s="7">
        <f t="shared" si="372"/>
        <v>4171</v>
      </c>
      <c r="I641" s="7">
        <f t="shared" si="372"/>
        <v>4171</v>
      </c>
      <c r="J641" s="7">
        <f t="shared" si="372"/>
        <v>4171</v>
      </c>
      <c r="K641" s="7">
        <f t="shared" si="372"/>
        <v>3584</v>
      </c>
      <c r="L641" s="7">
        <f t="shared" ref="L641" si="373">L643</f>
        <v>3584</v>
      </c>
      <c r="M641" s="7">
        <f t="shared" si="350"/>
        <v>100</v>
      </c>
    </row>
    <row r="642" spans="1:13" ht="31.5" x14ac:dyDescent="0.25">
      <c r="A642" s="26" t="s">
        <v>673</v>
      </c>
      <c r="B642" s="42" t="s">
        <v>315</v>
      </c>
      <c r="C642" s="42" t="s">
        <v>315</v>
      </c>
      <c r="D642" s="42" t="s">
        <v>523</v>
      </c>
      <c r="E642" s="42"/>
      <c r="F642" s="7">
        <f>F643</f>
        <v>3484.8</v>
      </c>
      <c r="G642" s="7">
        <f t="shared" ref="G642:L643" si="374">G643</f>
        <v>3484.8</v>
      </c>
      <c r="H642" s="7">
        <f t="shared" si="374"/>
        <v>4171</v>
      </c>
      <c r="I642" s="7">
        <f t="shared" si="374"/>
        <v>4171</v>
      </c>
      <c r="J642" s="7">
        <f t="shared" si="374"/>
        <v>4171</v>
      </c>
      <c r="K642" s="7">
        <f t="shared" si="374"/>
        <v>3584</v>
      </c>
      <c r="L642" s="7">
        <f t="shared" si="374"/>
        <v>3584</v>
      </c>
      <c r="M642" s="7">
        <f t="shared" si="350"/>
        <v>100</v>
      </c>
    </row>
    <row r="643" spans="1:13" ht="47.25" x14ac:dyDescent="0.25">
      <c r="A643" s="31" t="s">
        <v>323</v>
      </c>
      <c r="B643" s="42" t="s">
        <v>315</v>
      </c>
      <c r="C643" s="42" t="s">
        <v>315</v>
      </c>
      <c r="D643" s="42" t="s">
        <v>523</v>
      </c>
      <c r="E643" s="42" t="s">
        <v>324</v>
      </c>
      <c r="F643" s="63">
        <f>F644</f>
        <v>3484.8</v>
      </c>
      <c r="G643" s="63">
        <f t="shared" si="374"/>
        <v>3484.8</v>
      </c>
      <c r="H643" s="63">
        <f t="shared" si="374"/>
        <v>4171</v>
      </c>
      <c r="I643" s="63">
        <f t="shared" si="374"/>
        <v>4171</v>
      </c>
      <c r="J643" s="63">
        <f t="shared" si="374"/>
        <v>4171</v>
      </c>
      <c r="K643" s="63">
        <f t="shared" si="374"/>
        <v>3584</v>
      </c>
      <c r="L643" s="63">
        <f t="shared" si="374"/>
        <v>3584</v>
      </c>
      <c r="M643" s="7">
        <f t="shared" si="350"/>
        <v>100</v>
      </c>
    </row>
    <row r="644" spans="1:13" ht="15.75" x14ac:dyDescent="0.25">
      <c r="A644" s="31" t="s">
        <v>325</v>
      </c>
      <c r="B644" s="42" t="s">
        <v>315</v>
      </c>
      <c r="C644" s="42" t="s">
        <v>315</v>
      </c>
      <c r="D644" s="42" t="s">
        <v>523</v>
      </c>
      <c r="E644" s="42" t="s">
        <v>326</v>
      </c>
      <c r="F644" s="63">
        <f>'Прил.№4 ведомств.'!G746</f>
        <v>3484.8</v>
      </c>
      <c r="G644" s="63">
        <f>'Прил.№4 ведомств.'!I746</f>
        <v>3484.8</v>
      </c>
      <c r="H644" s="63">
        <f>'Прил.№4 ведомств.'!J746</f>
        <v>4171</v>
      </c>
      <c r="I644" s="63">
        <f>'Прил.№4 ведомств.'!K746</f>
        <v>4171</v>
      </c>
      <c r="J644" s="63">
        <f>'Прил.№4 ведомств.'!L746</f>
        <v>4171</v>
      </c>
      <c r="K644" s="63">
        <f>'Прил.№4 ведомств.'!M746</f>
        <v>3584</v>
      </c>
      <c r="L644" s="63">
        <f>'Прил.№4 ведомств.'!N746</f>
        <v>3584</v>
      </c>
      <c r="M644" s="7">
        <f t="shared" si="350"/>
        <v>100</v>
      </c>
    </row>
    <row r="645" spans="1:13" ht="15.75" x14ac:dyDescent="0.25">
      <c r="A645" s="31" t="s">
        <v>172</v>
      </c>
      <c r="B645" s="42" t="s">
        <v>315</v>
      </c>
      <c r="C645" s="42" t="s">
        <v>315</v>
      </c>
      <c r="D645" s="42" t="s">
        <v>173</v>
      </c>
      <c r="E645" s="42"/>
      <c r="F645" s="7">
        <f>F646</f>
        <v>1303.8000000000002</v>
      </c>
      <c r="G645" s="7">
        <f t="shared" ref="G645:L648" si="375">G646</f>
        <v>1303.8000000000002</v>
      </c>
      <c r="H645" s="7">
        <f t="shared" si="375"/>
        <v>1303.8000000000002</v>
      </c>
      <c r="I645" s="7">
        <f t="shared" si="375"/>
        <v>1303.8000000000002</v>
      </c>
      <c r="J645" s="7">
        <f t="shared" si="375"/>
        <v>1303.8000000000002</v>
      </c>
      <c r="K645" s="7">
        <f t="shared" si="375"/>
        <v>1303.8</v>
      </c>
      <c r="L645" s="7">
        <f t="shared" si="375"/>
        <v>1303.8</v>
      </c>
      <c r="M645" s="7">
        <f t="shared" si="350"/>
        <v>100</v>
      </c>
    </row>
    <row r="646" spans="1:13" ht="31.5" x14ac:dyDescent="0.25">
      <c r="A646" s="31" t="s">
        <v>236</v>
      </c>
      <c r="B646" s="42" t="s">
        <v>315</v>
      </c>
      <c r="C646" s="42" t="s">
        <v>315</v>
      </c>
      <c r="D646" s="42" t="s">
        <v>237</v>
      </c>
      <c r="E646" s="42"/>
      <c r="F646" s="7">
        <f>F647</f>
        <v>1303.8000000000002</v>
      </c>
      <c r="G646" s="7">
        <f t="shared" si="375"/>
        <v>1303.8000000000002</v>
      </c>
      <c r="H646" s="7">
        <f t="shared" si="375"/>
        <v>1303.8000000000002</v>
      </c>
      <c r="I646" s="7">
        <f t="shared" si="375"/>
        <v>1303.8000000000002</v>
      </c>
      <c r="J646" s="7">
        <f t="shared" si="375"/>
        <v>1303.8000000000002</v>
      </c>
      <c r="K646" s="7">
        <f t="shared" si="375"/>
        <v>1303.8</v>
      </c>
      <c r="L646" s="7">
        <f t="shared" si="375"/>
        <v>1303.8</v>
      </c>
      <c r="M646" s="7">
        <f t="shared" si="350"/>
        <v>100</v>
      </c>
    </row>
    <row r="647" spans="1:13" ht="31.5" x14ac:dyDescent="0.25">
      <c r="A647" s="47" t="s">
        <v>526</v>
      </c>
      <c r="B647" s="42" t="s">
        <v>315</v>
      </c>
      <c r="C647" s="42" t="s">
        <v>315</v>
      </c>
      <c r="D647" s="42" t="s">
        <v>527</v>
      </c>
      <c r="E647" s="42"/>
      <c r="F647" s="7">
        <f>F648</f>
        <v>1303.8000000000002</v>
      </c>
      <c r="G647" s="7">
        <f t="shared" si="375"/>
        <v>1303.8000000000002</v>
      </c>
      <c r="H647" s="7">
        <f t="shared" si="375"/>
        <v>1303.8000000000002</v>
      </c>
      <c r="I647" s="7">
        <f t="shared" si="375"/>
        <v>1303.8000000000002</v>
      </c>
      <c r="J647" s="7">
        <f t="shared" si="375"/>
        <v>1303.8000000000002</v>
      </c>
      <c r="K647" s="7">
        <f t="shared" si="375"/>
        <v>1303.8</v>
      </c>
      <c r="L647" s="7">
        <f t="shared" si="375"/>
        <v>1303.8</v>
      </c>
      <c r="M647" s="7">
        <f t="shared" si="350"/>
        <v>100</v>
      </c>
    </row>
    <row r="648" spans="1:13" ht="47.25" x14ac:dyDescent="0.25">
      <c r="A648" s="31" t="s">
        <v>323</v>
      </c>
      <c r="B648" s="42" t="s">
        <v>315</v>
      </c>
      <c r="C648" s="42" t="s">
        <v>315</v>
      </c>
      <c r="D648" s="42" t="s">
        <v>527</v>
      </c>
      <c r="E648" s="42" t="s">
        <v>324</v>
      </c>
      <c r="F648" s="7">
        <f>F649</f>
        <v>1303.8000000000002</v>
      </c>
      <c r="G648" s="7">
        <f t="shared" si="375"/>
        <v>1303.8000000000002</v>
      </c>
      <c r="H648" s="7">
        <f t="shared" si="375"/>
        <v>1303.8000000000002</v>
      </c>
      <c r="I648" s="7">
        <f t="shared" si="375"/>
        <v>1303.8000000000002</v>
      </c>
      <c r="J648" s="7">
        <f t="shared" si="375"/>
        <v>1303.8000000000002</v>
      </c>
      <c r="K648" s="7">
        <f t="shared" si="375"/>
        <v>1303.8</v>
      </c>
      <c r="L648" s="7">
        <f t="shared" si="375"/>
        <v>1303.8</v>
      </c>
      <c r="M648" s="7">
        <f t="shared" si="350"/>
        <v>100</v>
      </c>
    </row>
    <row r="649" spans="1:13" ht="15.75" x14ac:dyDescent="0.25">
      <c r="A649" s="31" t="s">
        <v>325</v>
      </c>
      <c r="B649" s="42" t="s">
        <v>315</v>
      </c>
      <c r="C649" s="42" t="s">
        <v>315</v>
      </c>
      <c r="D649" s="42" t="s">
        <v>527</v>
      </c>
      <c r="E649" s="42" t="s">
        <v>326</v>
      </c>
      <c r="F649" s="7">
        <f>'Прил.№4 ведомств.'!G752</f>
        <v>1303.8000000000002</v>
      </c>
      <c r="G649" s="7">
        <f>'Прил.№4 ведомств.'!I752</f>
        <v>1303.8000000000002</v>
      </c>
      <c r="H649" s="7">
        <f>'Прил.№4 ведомств.'!J752</f>
        <v>1303.8000000000002</v>
      </c>
      <c r="I649" s="7">
        <f>'Прил.№4 ведомств.'!K752</f>
        <v>1303.8000000000002</v>
      </c>
      <c r="J649" s="7">
        <f>'Прил.№4 ведомств.'!L752</f>
        <v>1303.8000000000002</v>
      </c>
      <c r="K649" s="7">
        <f>'Прил.№4 ведомств.'!M752</f>
        <v>1303.8</v>
      </c>
      <c r="L649" s="7">
        <f>'Прил.№4 ведомств.'!N752</f>
        <v>1303.8</v>
      </c>
      <c r="M649" s="7">
        <f t="shared" si="350"/>
        <v>100</v>
      </c>
    </row>
    <row r="650" spans="1:13" ht="15.75" x14ac:dyDescent="0.25">
      <c r="A650" s="43" t="s">
        <v>346</v>
      </c>
      <c r="B650" s="8" t="s">
        <v>315</v>
      </c>
      <c r="C650" s="8" t="s">
        <v>270</v>
      </c>
      <c r="D650" s="8"/>
      <c r="E650" s="8"/>
      <c r="F650" s="4">
        <f>F660+F651</f>
        <v>18322.300000000003</v>
      </c>
      <c r="G650" s="4">
        <f t="shared" ref="G650:K650" si="376">G660+G651</f>
        <v>18662.7</v>
      </c>
      <c r="H650" s="4">
        <f t="shared" si="376"/>
        <v>19851.600000000002</v>
      </c>
      <c r="I650" s="4">
        <f t="shared" si="376"/>
        <v>19974.900000000001</v>
      </c>
      <c r="J650" s="4">
        <f t="shared" si="376"/>
        <v>20099.5</v>
      </c>
      <c r="K650" s="4">
        <f t="shared" si="376"/>
        <v>18775.5</v>
      </c>
      <c r="L650" s="4">
        <f t="shared" ref="L650" si="377">L660+L651</f>
        <v>14053.100000000002</v>
      </c>
      <c r="M650" s="4">
        <f t="shared" si="350"/>
        <v>74.848073286996367</v>
      </c>
    </row>
    <row r="651" spans="1:13" ht="47.25" hidden="1" x14ac:dyDescent="0.25">
      <c r="A651" s="26" t="s">
        <v>385</v>
      </c>
      <c r="B651" s="42" t="s">
        <v>315</v>
      </c>
      <c r="C651" s="42" t="s">
        <v>270</v>
      </c>
      <c r="D651" s="21" t="s">
        <v>386</v>
      </c>
      <c r="E651" s="8"/>
      <c r="F651" s="7">
        <f>F652+F655</f>
        <v>20</v>
      </c>
      <c r="G651" s="7">
        <f t="shared" ref="G651:K651" si="378">G652+G655</f>
        <v>20</v>
      </c>
      <c r="H651" s="7">
        <f t="shared" si="378"/>
        <v>0</v>
      </c>
      <c r="I651" s="7">
        <f t="shared" si="378"/>
        <v>0</v>
      </c>
      <c r="J651" s="7">
        <f t="shared" si="378"/>
        <v>0</v>
      </c>
      <c r="K651" s="7">
        <f t="shared" si="378"/>
        <v>0</v>
      </c>
      <c r="L651" s="7">
        <f t="shared" ref="L651" si="379">L652+L655</f>
        <v>0</v>
      </c>
      <c r="M651" s="4" t="e">
        <f t="shared" si="350"/>
        <v>#DIV/0!</v>
      </c>
    </row>
    <row r="652" spans="1:13" ht="31.5" hidden="1" x14ac:dyDescent="0.25">
      <c r="A652" s="26" t="s">
        <v>387</v>
      </c>
      <c r="B652" s="42" t="s">
        <v>315</v>
      </c>
      <c r="C652" s="42" t="s">
        <v>270</v>
      </c>
      <c r="D652" s="21" t="s">
        <v>388</v>
      </c>
      <c r="E652" s="8"/>
      <c r="F652" s="7">
        <f>F653</f>
        <v>0</v>
      </c>
      <c r="G652" s="7">
        <f t="shared" ref="G652:L653" si="380">G653</f>
        <v>0</v>
      </c>
      <c r="H652" s="7">
        <f t="shared" si="380"/>
        <v>0</v>
      </c>
      <c r="I652" s="7">
        <f t="shared" si="380"/>
        <v>0</v>
      </c>
      <c r="J652" s="7">
        <f t="shared" si="380"/>
        <v>0</v>
      </c>
      <c r="K652" s="7">
        <f t="shared" si="380"/>
        <v>0</v>
      </c>
      <c r="L652" s="7">
        <f t="shared" si="380"/>
        <v>0</v>
      </c>
      <c r="M652" s="4" t="e">
        <f t="shared" si="350"/>
        <v>#DIV/0!</v>
      </c>
    </row>
    <row r="653" spans="1:13" ht="31.5" hidden="1" x14ac:dyDescent="0.25">
      <c r="A653" s="26" t="s">
        <v>182</v>
      </c>
      <c r="B653" s="42" t="s">
        <v>315</v>
      </c>
      <c r="C653" s="42" t="s">
        <v>270</v>
      </c>
      <c r="D653" s="21" t="s">
        <v>388</v>
      </c>
      <c r="E653" s="42" t="s">
        <v>183</v>
      </c>
      <c r="F653" s="7">
        <f>F654</f>
        <v>0</v>
      </c>
      <c r="G653" s="7">
        <f t="shared" si="380"/>
        <v>0</v>
      </c>
      <c r="H653" s="7">
        <f t="shared" si="380"/>
        <v>0</v>
      </c>
      <c r="I653" s="7">
        <f t="shared" si="380"/>
        <v>0</v>
      </c>
      <c r="J653" s="7">
        <f t="shared" si="380"/>
        <v>0</v>
      </c>
      <c r="K653" s="7">
        <f t="shared" si="380"/>
        <v>0</v>
      </c>
      <c r="L653" s="7">
        <f t="shared" si="380"/>
        <v>0</v>
      </c>
      <c r="M653" s="4" t="e">
        <f t="shared" ref="M653:M716" si="381">L653/K653*100</f>
        <v>#DIV/0!</v>
      </c>
    </row>
    <row r="654" spans="1:13" ht="47.25" hidden="1" x14ac:dyDescent="0.25">
      <c r="A654" s="26" t="s">
        <v>184</v>
      </c>
      <c r="B654" s="42" t="s">
        <v>315</v>
      </c>
      <c r="C654" s="42" t="s">
        <v>270</v>
      </c>
      <c r="D654" s="21" t="s">
        <v>388</v>
      </c>
      <c r="E654" s="42" t="s">
        <v>185</v>
      </c>
      <c r="F654" s="7">
        <f>'Прил.№4 ведомств.'!G757</f>
        <v>0</v>
      </c>
      <c r="G654" s="7">
        <f>'Прил.№4 ведомств.'!I757</f>
        <v>0</v>
      </c>
      <c r="H654" s="7">
        <f>'Прил.№4 ведомств.'!J757</f>
        <v>0</v>
      </c>
      <c r="I654" s="7">
        <f>'Прил.№4 ведомств.'!K757</f>
        <v>0</v>
      </c>
      <c r="J654" s="7">
        <f>'Прил.№4 ведомств.'!L757</f>
        <v>0</v>
      </c>
      <c r="K654" s="7">
        <f>'Прил.№4 ведомств.'!M757</f>
        <v>0</v>
      </c>
      <c r="L654" s="7">
        <f>'Прил.№4 ведомств.'!N757</f>
        <v>0</v>
      </c>
      <c r="M654" s="4" t="e">
        <f t="shared" si="381"/>
        <v>#DIV/0!</v>
      </c>
    </row>
    <row r="655" spans="1:13" ht="47.25" hidden="1" x14ac:dyDescent="0.25">
      <c r="A655" s="26" t="s">
        <v>674</v>
      </c>
      <c r="B655" s="42" t="s">
        <v>315</v>
      </c>
      <c r="C655" s="42" t="s">
        <v>270</v>
      </c>
      <c r="D655" s="21" t="s">
        <v>529</v>
      </c>
      <c r="E655" s="42"/>
      <c r="F655" s="7">
        <f>F656+F658</f>
        <v>20</v>
      </c>
      <c r="G655" s="7">
        <f t="shared" ref="G655:K655" si="382">G656+G658</f>
        <v>20</v>
      </c>
      <c r="H655" s="7">
        <f t="shared" si="382"/>
        <v>0</v>
      </c>
      <c r="I655" s="7">
        <f t="shared" si="382"/>
        <v>0</v>
      </c>
      <c r="J655" s="7">
        <f t="shared" si="382"/>
        <v>0</v>
      </c>
      <c r="K655" s="7">
        <f t="shared" si="382"/>
        <v>0</v>
      </c>
      <c r="L655" s="7">
        <f t="shared" ref="L655" si="383">L656+L658</f>
        <v>0</v>
      </c>
      <c r="M655" s="4" t="e">
        <f t="shared" si="381"/>
        <v>#DIV/0!</v>
      </c>
    </row>
    <row r="656" spans="1:13" ht="78.75" hidden="1" x14ac:dyDescent="0.25">
      <c r="A656" s="26" t="s">
        <v>178</v>
      </c>
      <c r="B656" s="42" t="s">
        <v>315</v>
      </c>
      <c r="C656" s="42" t="s">
        <v>270</v>
      </c>
      <c r="D656" s="21" t="s">
        <v>529</v>
      </c>
      <c r="E656" s="42" t="s">
        <v>179</v>
      </c>
      <c r="F656" s="7">
        <f>F657</f>
        <v>5</v>
      </c>
      <c r="G656" s="7">
        <f t="shared" ref="G656:L656" si="384">G657</f>
        <v>5</v>
      </c>
      <c r="H656" s="7">
        <f t="shared" si="384"/>
        <v>0</v>
      </c>
      <c r="I656" s="7">
        <f t="shared" si="384"/>
        <v>0</v>
      </c>
      <c r="J656" s="7">
        <f t="shared" si="384"/>
        <v>0</v>
      </c>
      <c r="K656" s="7">
        <f t="shared" si="384"/>
        <v>0</v>
      </c>
      <c r="L656" s="7">
        <f t="shared" si="384"/>
        <v>0</v>
      </c>
      <c r="M656" s="4" t="e">
        <f t="shared" si="381"/>
        <v>#DIV/0!</v>
      </c>
    </row>
    <row r="657" spans="1:13" ht="31.5" hidden="1" x14ac:dyDescent="0.25">
      <c r="A657" s="26" t="s">
        <v>393</v>
      </c>
      <c r="B657" s="42" t="s">
        <v>315</v>
      </c>
      <c r="C657" s="42" t="s">
        <v>270</v>
      </c>
      <c r="D657" s="21" t="s">
        <v>529</v>
      </c>
      <c r="E657" s="42" t="s">
        <v>260</v>
      </c>
      <c r="F657" s="7">
        <f>'Прил.№4 ведомств.'!G760</f>
        <v>5</v>
      </c>
      <c r="G657" s="7">
        <f>'Прил.№4 ведомств.'!I760</f>
        <v>5</v>
      </c>
      <c r="H657" s="7">
        <f>'Прил.№4 ведомств.'!J760</f>
        <v>0</v>
      </c>
      <c r="I657" s="7">
        <f>'Прил.№4 ведомств.'!K760</f>
        <v>0</v>
      </c>
      <c r="J657" s="7">
        <f>'Прил.№4 ведомств.'!L760</f>
        <v>0</v>
      </c>
      <c r="K657" s="7">
        <f>'Прил.№4 ведомств.'!M760</f>
        <v>0</v>
      </c>
      <c r="L657" s="7">
        <f>'Прил.№4 ведомств.'!N760</f>
        <v>0</v>
      </c>
      <c r="M657" s="4" t="e">
        <f t="shared" si="381"/>
        <v>#DIV/0!</v>
      </c>
    </row>
    <row r="658" spans="1:13" ht="31.5" hidden="1" x14ac:dyDescent="0.25">
      <c r="A658" s="26" t="s">
        <v>182</v>
      </c>
      <c r="B658" s="42" t="s">
        <v>315</v>
      </c>
      <c r="C658" s="42" t="s">
        <v>270</v>
      </c>
      <c r="D658" s="21" t="s">
        <v>529</v>
      </c>
      <c r="E658" s="42" t="s">
        <v>183</v>
      </c>
      <c r="F658" s="7">
        <f>F659</f>
        <v>15</v>
      </c>
      <c r="G658" s="7">
        <f t="shared" ref="G658:L658" si="385">G659</f>
        <v>15</v>
      </c>
      <c r="H658" s="7">
        <f t="shared" si="385"/>
        <v>0</v>
      </c>
      <c r="I658" s="7">
        <f t="shared" si="385"/>
        <v>0</v>
      </c>
      <c r="J658" s="7">
        <f t="shared" si="385"/>
        <v>0</v>
      </c>
      <c r="K658" s="7">
        <f t="shared" si="385"/>
        <v>0</v>
      </c>
      <c r="L658" s="7">
        <f t="shared" si="385"/>
        <v>0</v>
      </c>
      <c r="M658" s="4" t="e">
        <f t="shared" si="381"/>
        <v>#DIV/0!</v>
      </c>
    </row>
    <row r="659" spans="1:13" ht="47.25" hidden="1" x14ac:dyDescent="0.25">
      <c r="A659" s="26" t="s">
        <v>184</v>
      </c>
      <c r="B659" s="42" t="s">
        <v>315</v>
      </c>
      <c r="C659" s="42" t="s">
        <v>270</v>
      </c>
      <c r="D659" s="21" t="s">
        <v>529</v>
      </c>
      <c r="E659" s="42" t="s">
        <v>185</v>
      </c>
      <c r="F659" s="7">
        <f>'Прил.№4 ведомств.'!G762</f>
        <v>15</v>
      </c>
      <c r="G659" s="7">
        <f>'Прил.№4 ведомств.'!I762</f>
        <v>15</v>
      </c>
      <c r="H659" s="7">
        <f>'Прил.№4 ведомств.'!J762</f>
        <v>0</v>
      </c>
      <c r="I659" s="7">
        <f>'Прил.№4 ведомств.'!K762</f>
        <v>0</v>
      </c>
      <c r="J659" s="7">
        <f>'Прил.№4 ведомств.'!L762</f>
        <v>0</v>
      </c>
      <c r="K659" s="7">
        <f>'Прил.№4 ведомств.'!M762</f>
        <v>0</v>
      </c>
      <c r="L659" s="7">
        <f>'Прил.№4 ведомств.'!N762</f>
        <v>0</v>
      </c>
      <c r="M659" s="4" t="e">
        <f t="shared" si="381"/>
        <v>#DIV/0!</v>
      </c>
    </row>
    <row r="660" spans="1:13" ht="15.75" x14ac:dyDescent="0.25">
      <c r="A660" s="31" t="s">
        <v>172</v>
      </c>
      <c r="B660" s="42" t="s">
        <v>315</v>
      </c>
      <c r="C660" s="42" t="s">
        <v>270</v>
      </c>
      <c r="D660" s="42" t="s">
        <v>173</v>
      </c>
      <c r="E660" s="42"/>
      <c r="F660" s="7">
        <f>F661+F671+F667</f>
        <v>18302.300000000003</v>
      </c>
      <c r="G660" s="7">
        <f t="shared" ref="G660:K660" si="386">G661+G671+G667</f>
        <v>18642.7</v>
      </c>
      <c r="H660" s="7">
        <f t="shared" si="386"/>
        <v>19851.600000000002</v>
      </c>
      <c r="I660" s="7">
        <f t="shared" si="386"/>
        <v>19974.900000000001</v>
      </c>
      <c r="J660" s="7">
        <f t="shared" si="386"/>
        <v>20099.5</v>
      </c>
      <c r="K660" s="7">
        <f t="shared" si="386"/>
        <v>18775.5</v>
      </c>
      <c r="L660" s="7">
        <f t="shared" ref="L660" si="387">L661+L671+L667</f>
        <v>14053.100000000002</v>
      </c>
      <c r="M660" s="7">
        <f t="shared" si="381"/>
        <v>74.848073286996367</v>
      </c>
    </row>
    <row r="661" spans="1:13" ht="31.5" x14ac:dyDescent="0.25">
      <c r="A661" s="31" t="s">
        <v>174</v>
      </c>
      <c r="B661" s="42" t="s">
        <v>315</v>
      </c>
      <c r="C661" s="42" t="s">
        <v>270</v>
      </c>
      <c r="D661" s="42" t="s">
        <v>175</v>
      </c>
      <c r="E661" s="42"/>
      <c r="F661" s="7">
        <f>F662</f>
        <v>5138.7</v>
      </c>
      <c r="G661" s="7">
        <f t="shared" ref="G661:L661" si="388">G662</f>
        <v>5221.4000000000005</v>
      </c>
      <c r="H661" s="7">
        <f t="shared" si="388"/>
        <v>5488.3</v>
      </c>
      <c r="I661" s="7">
        <f t="shared" si="388"/>
        <v>5488.3</v>
      </c>
      <c r="J661" s="7">
        <f t="shared" si="388"/>
        <v>5488.3</v>
      </c>
      <c r="K661" s="7">
        <f t="shared" si="388"/>
        <v>5276.7</v>
      </c>
      <c r="L661" s="7">
        <f t="shared" si="388"/>
        <v>4159.7</v>
      </c>
      <c r="M661" s="7">
        <f t="shared" si="381"/>
        <v>78.831466636344686</v>
      </c>
    </row>
    <row r="662" spans="1:13" ht="36.75" customHeight="1" x14ac:dyDescent="0.25">
      <c r="A662" s="31" t="s">
        <v>176</v>
      </c>
      <c r="B662" s="42" t="s">
        <v>315</v>
      </c>
      <c r="C662" s="42" t="s">
        <v>270</v>
      </c>
      <c r="D662" s="42" t="s">
        <v>177</v>
      </c>
      <c r="E662" s="42"/>
      <c r="F662" s="7">
        <f>F663+F665</f>
        <v>5138.7</v>
      </c>
      <c r="G662" s="7">
        <f t="shared" ref="G662:K662" si="389">G663+G665</f>
        <v>5221.4000000000005</v>
      </c>
      <c r="H662" s="7">
        <f t="shared" si="389"/>
        <v>5488.3</v>
      </c>
      <c r="I662" s="7">
        <f t="shared" si="389"/>
        <v>5488.3</v>
      </c>
      <c r="J662" s="7">
        <f t="shared" si="389"/>
        <v>5488.3</v>
      </c>
      <c r="K662" s="7">
        <f t="shared" si="389"/>
        <v>5276.7</v>
      </c>
      <c r="L662" s="7">
        <f t="shared" ref="L662" si="390">L663+L665</f>
        <v>4159.7</v>
      </c>
      <c r="M662" s="7">
        <f t="shared" si="381"/>
        <v>78.831466636344686</v>
      </c>
    </row>
    <row r="663" spans="1:13" ht="78.75" x14ac:dyDescent="0.25">
      <c r="A663" s="31" t="s">
        <v>178</v>
      </c>
      <c r="B663" s="42" t="s">
        <v>315</v>
      </c>
      <c r="C663" s="42" t="s">
        <v>270</v>
      </c>
      <c r="D663" s="42" t="s">
        <v>177</v>
      </c>
      <c r="E663" s="42" t="s">
        <v>179</v>
      </c>
      <c r="F663" s="63">
        <f>F664</f>
        <v>4981.5</v>
      </c>
      <c r="G663" s="63">
        <f t="shared" ref="G663:L663" si="391">G664</f>
        <v>5072.6000000000004</v>
      </c>
      <c r="H663" s="63">
        <f t="shared" si="391"/>
        <v>4925.5</v>
      </c>
      <c r="I663" s="63">
        <f t="shared" si="391"/>
        <v>4925.5</v>
      </c>
      <c r="J663" s="63">
        <f t="shared" si="391"/>
        <v>4925.5</v>
      </c>
      <c r="K663" s="63">
        <f t="shared" si="391"/>
        <v>5119.5</v>
      </c>
      <c r="L663" s="63">
        <f t="shared" si="391"/>
        <v>4024.9</v>
      </c>
      <c r="M663" s="7">
        <f t="shared" si="381"/>
        <v>78.619005762281475</v>
      </c>
    </row>
    <row r="664" spans="1:13" ht="31.5" x14ac:dyDescent="0.25">
      <c r="A664" s="31" t="s">
        <v>180</v>
      </c>
      <c r="B664" s="42" t="s">
        <v>315</v>
      </c>
      <c r="C664" s="42" t="s">
        <v>270</v>
      </c>
      <c r="D664" s="42" t="s">
        <v>177</v>
      </c>
      <c r="E664" s="42" t="s">
        <v>181</v>
      </c>
      <c r="F664" s="63">
        <f>'Прил.№4 ведомств.'!G767</f>
        <v>4981.5</v>
      </c>
      <c r="G664" s="63">
        <f>'Прил.№4 ведомств.'!I767</f>
        <v>5072.6000000000004</v>
      </c>
      <c r="H664" s="63">
        <f>'Прил.№4 ведомств.'!J767</f>
        <v>4925.5</v>
      </c>
      <c r="I664" s="63">
        <f>'Прил.№4 ведомств.'!K767</f>
        <v>4925.5</v>
      </c>
      <c r="J664" s="63">
        <f>'Прил.№4 ведомств.'!L767</f>
        <v>4925.5</v>
      </c>
      <c r="K664" s="63">
        <f>'Прил.№4 ведомств.'!M767</f>
        <v>5119.5</v>
      </c>
      <c r="L664" s="63">
        <f>'Прил.№4 ведомств.'!N767</f>
        <v>4024.9</v>
      </c>
      <c r="M664" s="7">
        <f t="shared" si="381"/>
        <v>78.619005762281475</v>
      </c>
    </row>
    <row r="665" spans="1:13" ht="31.5" x14ac:dyDescent="0.25">
      <c r="A665" s="31" t="s">
        <v>182</v>
      </c>
      <c r="B665" s="42" t="s">
        <v>315</v>
      </c>
      <c r="C665" s="42" t="s">
        <v>270</v>
      </c>
      <c r="D665" s="42" t="s">
        <v>177</v>
      </c>
      <c r="E665" s="42" t="s">
        <v>183</v>
      </c>
      <c r="F665" s="7">
        <f>F666</f>
        <v>157.19999999999999</v>
      </c>
      <c r="G665" s="7">
        <f t="shared" ref="G665:L665" si="392">G666</f>
        <v>148.80000000000001</v>
      </c>
      <c r="H665" s="7">
        <f t="shared" si="392"/>
        <v>562.79999999999995</v>
      </c>
      <c r="I665" s="7">
        <f t="shared" si="392"/>
        <v>562.79999999999995</v>
      </c>
      <c r="J665" s="7">
        <f t="shared" si="392"/>
        <v>562.79999999999995</v>
      </c>
      <c r="K665" s="7">
        <f t="shared" si="392"/>
        <v>157.19999999999999</v>
      </c>
      <c r="L665" s="7">
        <f t="shared" si="392"/>
        <v>134.80000000000001</v>
      </c>
      <c r="M665" s="7">
        <f t="shared" si="381"/>
        <v>85.750636132315535</v>
      </c>
    </row>
    <row r="666" spans="1:13" ht="47.25" x14ac:dyDescent="0.25">
      <c r="A666" s="31" t="s">
        <v>184</v>
      </c>
      <c r="B666" s="42" t="s">
        <v>315</v>
      </c>
      <c r="C666" s="42" t="s">
        <v>270</v>
      </c>
      <c r="D666" s="42" t="s">
        <v>177</v>
      </c>
      <c r="E666" s="42" t="s">
        <v>185</v>
      </c>
      <c r="F666" s="7">
        <f>'Прил.№4 ведомств.'!G769</f>
        <v>157.19999999999999</v>
      </c>
      <c r="G666" s="7">
        <f>'Прил.№4 ведомств.'!I769</f>
        <v>148.80000000000001</v>
      </c>
      <c r="H666" s="7">
        <f>'Прил.№4 ведомств.'!J769</f>
        <v>562.79999999999995</v>
      </c>
      <c r="I666" s="7">
        <f>'Прил.№4 ведомств.'!K769</f>
        <v>562.79999999999995</v>
      </c>
      <c r="J666" s="7">
        <f>'Прил.№4 ведомств.'!L769</f>
        <v>562.79999999999995</v>
      </c>
      <c r="K666" s="7">
        <f>'Прил.№4 ведомств.'!M769</f>
        <v>157.19999999999999</v>
      </c>
      <c r="L666" s="7">
        <f>'Прил.№4 ведомств.'!N769</f>
        <v>134.80000000000001</v>
      </c>
      <c r="M666" s="7">
        <f t="shared" si="381"/>
        <v>85.750636132315535</v>
      </c>
    </row>
    <row r="667" spans="1:13" ht="31.5" hidden="1" customHeight="1" x14ac:dyDescent="0.25">
      <c r="A667" s="31" t="s">
        <v>236</v>
      </c>
      <c r="B667" s="42" t="s">
        <v>315</v>
      </c>
      <c r="C667" s="42" t="s">
        <v>270</v>
      </c>
      <c r="D667" s="42" t="s">
        <v>237</v>
      </c>
      <c r="E667" s="42"/>
      <c r="F667" s="7">
        <f>F668</f>
        <v>0</v>
      </c>
      <c r="G667" s="7">
        <f t="shared" ref="G667:L669" si="393">G668</f>
        <v>0</v>
      </c>
      <c r="H667" s="7">
        <f t="shared" si="393"/>
        <v>0</v>
      </c>
      <c r="I667" s="7">
        <f t="shared" si="393"/>
        <v>0</v>
      </c>
      <c r="J667" s="7">
        <f t="shared" si="393"/>
        <v>0</v>
      </c>
      <c r="K667" s="7">
        <f t="shared" si="393"/>
        <v>0</v>
      </c>
      <c r="L667" s="7">
        <f t="shared" si="393"/>
        <v>0</v>
      </c>
      <c r="M667" s="7" t="e">
        <f t="shared" si="381"/>
        <v>#DIV/0!</v>
      </c>
    </row>
    <row r="668" spans="1:13" ht="31.5" hidden="1" customHeight="1" x14ac:dyDescent="0.25">
      <c r="A668" s="69" t="s">
        <v>347</v>
      </c>
      <c r="B668" s="42" t="s">
        <v>315</v>
      </c>
      <c r="C668" s="42" t="s">
        <v>270</v>
      </c>
      <c r="D668" s="21" t="s">
        <v>348</v>
      </c>
      <c r="E668" s="42"/>
      <c r="F668" s="7">
        <f>F669</f>
        <v>0</v>
      </c>
      <c r="G668" s="7">
        <f t="shared" si="393"/>
        <v>0</v>
      </c>
      <c r="H668" s="7">
        <f t="shared" si="393"/>
        <v>0</v>
      </c>
      <c r="I668" s="7">
        <f t="shared" si="393"/>
        <v>0</v>
      </c>
      <c r="J668" s="7">
        <f t="shared" si="393"/>
        <v>0</v>
      </c>
      <c r="K668" s="7">
        <f t="shared" si="393"/>
        <v>0</v>
      </c>
      <c r="L668" s="7">
        <f t="shared" si="393"/>
        <v>0</v>
      </c>
      <c r="M668" s="7" t="e">
        <f t="shared" si="381"/>
        <v>#DIV/0!</v>
      </c>
    </row>
    <row r="669" spans="1:13" ht="15.75" hidden="1" customHeight="1" x14ac:dyDescent="0.25">
      <c r="A669" s="31" t="s">
        <v>186</v>
      </c>
      <c r="B669" s="42" t="s">
        <v>315</v>
      </c>
      <c r="C669" s="42" t="s">
        <v>270</v>
      </c>
      <c r="D669" s="21" t="s">
        <v>348</v>
      </c>
      <c r="E669" s="42" t="s">
        <v>196</v>
      </c>
      <c r="F669" s="7">
        <f>F670</f>
        <v>0</v>
      </c>
      <c r="G669" s="7">
        <f t="shared" si="393"/>
        <v>0</v>
      </c>
      <c r="H669" s="7">
        <f t="shared" si="393"/>
        <v>0</v>
      </c>
      <c r="I669" s="7">
        <f t="shared" si="393"/>
        <v>0</v>
      </c>
      <c r="J669" s="7">
        <f t="shared" si="393"/>
        <v>0</v>
      </c>
      <c r="K669" s="7">
        <f t="shared" si="393"/>
        <v>0</v>
      </c>
      <c r="L669" s="7">
        <f t="shared" si="393"/>
        <v>0</v>
      </c>
      <c r="M669" s="7" t="e">
        <f t="shared" si="381"/>
        <v>#DIV/0!</v>
      </c>
    </row>
    <row r="670" spans="1:13" ht="47.25" hidden="1" customHeight="1" x14ac:dyDescent="0.25">
      <c r="A670" s="31" t="s">
        <v>235</v>
      </c>
      <c r="B670" s="42" t="s">
        <v>315</v>
      </c>
      <c r="C670" s="42" t="s">
        <v>270</v>
      </c>
      <c r="D670" s="21" t="s">
        <v>348</v>
      </c>
      <c r="E670" s="42" t="s">
        <v>211</v>
      </c>
      <c r="F670" s="7">
        <f>90-90</f>
        <v>0</v>
      </c>
      <c r="G670" s="7">
        <f t="shared" ref="G670:L670" si="394">90-90</f>
        <v>0</v>
      </c>
      <c r="H670" s="7">
        <f t="shared" si="394"/>
        <v>0</v>
      </c>
      <c r="I670" s="7">
        <f t="shared" si="394"/>
        <v>0</v>
      </c>
      <c r="J670" s="7">
        <f t="shared" si="394"/>
        <v>0</v>
      </c>
      <c r="K670" s="7">
        <f t="shared" si="394"/>
        <v>0</v>
      </c>
      <c r="L670" s="7">
        <f t="shared" si="394"/>
        <v>0</v>
      </c>
      <c r="M670" s="7" t="e">
        <f t="shared" si="381"/>
        <v>#DIV/0!</v>
      </c>
    </row>
    <row r="671" spans="1:13" ht="15.75" x14ac:dyDescent="0.25">
      <c r="A671" s="31" t="s">
        <v>192</v>
      </c>
      <c r="B671" s="42" t="s">
        <v>315</v>
      </c>
      <c r="C671" s="42" t="s">
        <v>270</v>
      </c>
      <c r="D671" s="42" t="s">
        <v>193</v>
      </c>
      <c r="E671" s="42"/>
      <c r="F671" s="7">
        <f>F672+F675</f>
        <v>13163.600000000002</v>
      </c>
      <c r="G671" s="7">
        <f t="shared" ref="G671:K671" si="395">G672+G675</f>
        <v>13421.300000000001</v>
      </c>
      <c r="H671" s="7">
        <f t="shared" si="395"/>
        <v>14363.300000000001</v>
      </c>
      <c r="I671" s="7">
        <f t="shared" si="395"/>
        <v>14486.6</v>
      </c>
      <c r="J671" s="7">
        <f t="shared" si="395"/>
        <v>14611.2</v>
      </c>
      <c r="K671" s="7">
        <f t="shared" si="395"/>
        <v>13498.800000000001</v>
      </c>
      <c r="L671" s="7">
        <f t="shared" ref="L671" si="396">L672+L675</f>
        <v>9893.4000000000015</v>
      </c>
      <c r="M671" s="7">
        <f t="shared" si="381"/>
        <v>73.290959196373024</v>
      </c>
    </row>
    <row r="672" spans="1:13" ht="15.75" x14ac:dyDescent="0.25">
      <c r="A672" s="31" t="s">
        <v>530</v>
      </c>
      <c r="B672" s="42" t="s">
        <v>315</v>
      </c>
      <c r="C672" s="42" t="s">
        <v>270</v>
      </c>
      <c r="D672" s="42" t="s">
        <v>531</v>
      </c>
      <c r="E672" s="42"/>
      <c r="F672" s="7">
        <f>F673</f>
        <v>375</v>
      </c>
      <c r="G672" s="7">
        <f t="shared" ref="G672:L673" si="397">G673</f>
        <v>375</v>
      </c>
      <c r="H672" s="7">
        <f t="shared" si="397"/>
        <v>0</v>
      </c>
      <c r="I672" s="7">
        <f t="shared" si="397"/>
        <v>0</v>
      </c>
      <c r="J672" s="7">
        <f t="shared" si="397"/>
        <v>0</v>
      </c>
      <c r="K672" s="7">
        <f t="shared" si="397"/>
        <v>600</v>
      </c>
      <c r="L672" s="7">
        <f t="shared" si="397"/>
        <v>198.1</v>
      </c>
      <c r="M672" s="7">
        <f t="shared" si="381"/>
        <v>33.016666666666666</v>
      </c>
    </row>
    <row r="673" spans="1:17" ht="31.5" x14ac:dyDescent="0.25">
      <c r="A673" s="31" t="s">
        <v>182</v>
      </c>
      <c r="B673" s="42" t="s">
        <v>315</v>
      </c>
      <c r="C673" s="42" t="s">
        <v>270</v>
      </c>
      <c r="D673" s="42" t="s">
        <v>531</v>
      </c>
      <c r="E673" s="42" t="s">
        <v>183</v>
      </c>
      <c r="F673" s="7">
        <f>F674</f>
        <v>375</v>
      </c>
      <c r="G673" s="7">
        <f t="shared" si="397"/>
        <v>375</v>
      </c>
      <c r="H673" s="7">
        <f t="shared" si="397"/>
        <v>0</v>
      </c>
      <c r="I673" s="7">
        <f t="shared" si="397"/>
        <v>0</v>
      </c>
      <c r="J673" s="7">
        <f t="shared" si="397"/>
        <v>0</v>
      </c>
      <c r="K673" s="7">
        <f t="shared" si="397"/>
        <v>600</v>
      </c>
      <c r="L673" s="7">
        <f t="shared" si="397"/>
        <v>198.1</v>
      </c>
      <c r="M673" s="7">
        <f t="shared" si="381"/>
        <v>33.016666666666666</v>
      </c>
    </row>
    <row r="674" spans="1:17" ht="47.25" x14ac:dyDescent="0.25">
      <c r="A674" s="31" t="s">
        <v>184</v>
      </c>
      <c r="B674" s="42" t="s">
        <v>315</v>
      </c>
      <c r="C674" s="42" t="s">
        <v>270</v>
      </c>
      <c r="D674" s="42" t="s">
        <v>531</v>
      </c>
      <c r="E674" s="42" t="s">
        <v>185</v>
      </c>
      <c r="F674" s="7">
        <f>'Прил.№4 ведомств.'!G773</f>
        <v>375</v>
      </c>
      <c r="G674" s="7">
        <f>'Прил.№4 ведомств.'!I773</f>
        <v>375</v>
      </c>
      <c r="H674" s="7">
        <f>'Прил.№4 ведомств.'!J773</f>
        <v>0</v>
      </c>
      <c r="I674" s="7">
        <f>'Прил.№4 ведомств.'!K773</f>
        <v>0</v>
      </c>
      <c r="J674" s="7">
        <f>'Прил.№4 ведомств.'!L773</f>
        <v>0</v>
      </c>
      <c r="K674" s="7">
        <f>'Прил.№4 ведомств.'!M773</f>
        <v>600</v>
      </c>
      <c r="L674" s="7">
        <f>'Прил.№4 ведомств.'!N773</f>
        <v>198.1</v>
      </c>
      <c r="M674" s="7">
        <f t="shared" si="381"/>
        <v>33.016666666666666</v>
      </c>
    </row>
    <row r="675" spans="1:17" ht="31.5" x14ac:dyDescent="0.25">
      <c r="A675" s="26" t="s">
        <v>391</v>
      </c>
      <c r="B675" s="42" t="s">
        <v>315</v>
      </c>
      <c r="C675" s="42" t="s">
        <v>270</v>
      </c>
      <c r="D675" s="42" t="s">
        <v>392</v>
      </c>
      <c r="E675" s="42"/>
      <c r="F675" s="7">
        <f>F676+F678+F680</f>
        <v>12788.600000000002</v>
      </c>
      <c r="G675" s="7">
        <f t="shared" ref="G675:K675" si="398">G676+G678+G680</f>
        <v>13046.300000000001</v>
      </c>
      <c r="H675" s="7">
        <f t="shared" si="398"/>
        <v>14363.300000000001</v>
      </c>
      <c r="I675" s="7">
        <f t="shared" si="398"/>
        <v>14486.6</v>
      </c>
      <c r="J675" s="7">
        <f t="shared" si="398"/>
        <v>14611.2</v>
      </c>
      <c r="K675" s="7">
        <f t="shared" si="398"/>
        <v>12898.800000000001</v>
      </c>
      <c r="L675" s="7">
        <f t="shared" ref="L675" si="399">L676+L678+L680</f>
        <v>9695.3000000000011</v>
      </c>
      <c r="M675" s="7">
        <f t="shared" si="381"/>
        <v>75.164356374236363</v>
      </c>
    </row>
    <row r="676" spans="1:17" ht="78.75" x14ac:dyDescent="0.25">
      <c r="A676" s="31" t="s">
        <v>178</v>
      </c>
      <c r="B676" s="42" t="s">
        <v>315</v>
      </c>
      <c r="C676" s="42" t="s">
        <v>270</v>
      </c>
      <c r="D676" s="42" t="s">
        <v>392</v>
      </c>
      <c r="E676" s="42" t="s">
        <v>179</v>
      </c>
      <c r="F676" s="7">
        <f>F677</f>
        <v>11519.300000000001</v>
      </c>
      <c r="G676" s="7">
        <f t="shared" ref="G676:L676" si="400">G677</f>
        <v>11777</v>
      </c>
      <c r="H676" s="7">
        <f t="shared" si="400"/>
        <v>12334.2</v>
      </c>
      <c r="I676" s="7">
        <f t="shared" si="400"/>
        <v>12457.5</v>
      </c>
      <c r="J676" s="7">
        <f t="shared" si="400"/>
        <v>12582.1</v>
      </c>
      <c r="K676" s="7">
        <f t="shared" si="400"/>
        <v>11597.000000000002</v>
      </c>
      <c r="L676" s="7">
        <f t="shared" si="400"/>
        <v>8711.1</v>
      </c>
      <c r="M676" s="7">
        <f t="shared" si="381"/>
        <v>75.115115978270225</v>
      </c>
    </row>
    <row r="677" spans="1:17" ht="31.5" x14ac:dyDescent="0.25">
      <c r="A677" s="48" t="s">
        <v>393</v>
      </c>
      <c r="B677" s="42" t="s">
        <v>315</v>
      </c>
      <c r="C677" s="42" t="s">
        <v>270</v>
      </c>
      <c r="D677" s="42" t="s">
        <v>392</v>
      </c>
      <c r="E677" s="42" t="s">
        <v>260</v>
      </c>
      <c r="F677" s="63">
        <f>'Прил.№4 ведомств.'!G776</f>
        <v>11519.300000000001</v>
      </c>
      <c r="G677" s="63">
        <f>'Прил.№4 ведомств.'!I776</f>
        <v>11777</v>
      </c>
      <c r="H677" s="63">
        <f>'Прил.№4 ведомств.'!J776</f>
        <v>12334.2</v>
      </c>
      <c r="I677" s="63">
        <f>'Прил.№4 ведомств.'!K776</f>
        <v>12457.5</v>
      </c>
      <c r="J677" s="63">
        <f>'Прил.№4 ведомств.'!L776</f>
        <v>12582.1</v>
      </c>
      <c r="K677" s="63">
        <f>'Прил.№4 ведомств.'!M776</f>
        <v>11597.000000000002</v>
      </c>
      <c r="L677" s="63">
        <f>'Прил.№4 ведомств.'!N776</f>
        <v>8711.1</v>
      </c>
      <c r="M677" s="7">
        <f t="shared" si="381"/>
        <v>75.115115978270225</v>
      </c>
    </row>
    <row r="678" spans="1:17" ht="31.5" x14ac:dyDescent="0.25">
      <c r="A678" s="31" t="s">
        <v>182</v>
      </c>
      <c r="B678" s="42" t="s">
        <v>315</v>
      </c>
      <c r="C678" s="42" t="s">
        <v>270</v>
      </c>
      <c r="D678" s="42" t="s">
        <v>392</v>
      </c>
      <c r="E678" s="42" t="s">
        <v>183</v>
      </c>
      <c r="F678" s="7">
        <f>F679</f>
        <v>1264.0999999999999</v>
      </c>
      <c r="G678" s="7">
        <f t="shared" ref="G678:L678" si="401">G679</f>
        <v>1264.0999999999999</v>
      </c>
      <c r="H678" s="7">
        <f t="shared" si="401"/>
        <v>2023.8999999999999</v>
      </c>
      <c r="I678" s="7">
        <f t="shared" si="401"/>
        <v>2023.8999999999999</v>
      </c>
      <c r="J678" s="7">
        <f t="shared" si="401"/>
        <v>2023.8999999999999</v>
      </c>
      <c r="K678" s="7">
        <f t="shared" si="401"/>
        <v>1286.3999999999999</v>
      </c>
      <c r="L678" s="7">
        <f t="shared" si="401"/>
        <v>982</v>
      </c>
      <c r="M678" s="7">
        <f t="shared" si="381"/>
        <v>76.337064676616933</v>
      </c>
    </row>
    <row r="679" spans="1:17" ht="47.25" x14ac:dyDescent="0.25">
      <c r="A679" s="31" t="s">
        <v>184</v>
      </c>
      <c r="B679" s="42" t="s">
        <v>315</v>
      </c>
      <c r="C679" s="42" t="s">
        <v>270</v>
      </c>
      <c r="D679" s="42" t="s">
        <v>392</v>
      </c>
      <c r="E679" s="42" t="s">
        <v>185</v>
      </c>
      <c r="F679" s="7">
        <f>'Прил.№4 ведомств.'!G778</f>
        <v>1264.0999999999999</v>
      </c>
      <c r="G679" s="7">
        <f>'Прил.№4 ведомств.'!I778</f>
        <v>1264.0999999999999</v>
      </c>
      <c r="H679" s="7">
        <f>'Прил.№4 ведомств.'!J778</f>
        <v>2023.8999999999999</v>
      </c>
      <c r="I679" s="7">
        <f>'Прил.№4 ведомств.'!K778</f>
        <v>2023.8999999999999</v>
      </c>
      <c r="J679" s="7">
        <f>'Прил.№4 ведомств.'!L778</f>
        <v>2023.8999999999999</v>
      </c>
      <c r="K679" s="7">
        <f>'Прил.№4 ведомств.'!M778</f>
        <v>1286.3999999999999</v>
      </c>
      <c r="L679" s="7">
        <f>'Прил.№4 ведомств.'!N778</f>
        <v>982</v>
      </c>
      <c r="M679" s="7">
        <f t="shared" si="381"/>
        <v>76.337064676616933</v>
      </c>
    </row>
    <row r="680" spans="1:17" ht="15.75" x14ac:dyDescent="0.25">
      <c r="A680" s="31" t="s">
        <v>186</v>
      </c>
      <c r="B680" s="42" t="s">
        <v>315</v>
      </c>
      <c r="C680" s="42" t="s">
        <v>270</v>
      </c>
      <c r="D680" s="42" t="s">
        <v>392</v>
      </c>
      <c r="E680" s="42" t="s">
        <v>196</v>
      </c>
      <c r="F680" s="7">
        <f>F681</f>
        <v>5.2</v>
      </c>
      <c r="G680" s="7">
        <f t="shared" ref="G680:L680" si="402">G681</f>
        <v>5.2</v>
      </c>
      <c r="H680" s="7">
        <f t="shared" si="402"/>
        <v>5.2</v>
      </c>
      <c r="I680" s="7">
        <f t="shared" si="402"/>
        <v>5.2</v>
      </c>
      <c r="J680" s="7">
        <f t="shared" si="402"/>
        <v>5.2</v>
      </c>
      <c r="K680" s="7">
        <f t="shared" si="402"/>
        <v>15.399999999999999</v>
      </c>
      <c r="L680" s="7">
        <f t="shared" si="402"/>
        <v>2.2000000000000002</v>
      </c>
      <c r="M680" s="7">
        <f t="shared" si="381"/>
        <v>14.285714285714288</v>
      </c>
    </row>
    <row r="681" spans="1:17" ht="15.75" x14ac:dyDescent="0.25">
      <c r="A681" s="31" t="s">
        <v>620</v>
      </c>
      <c r="B681" s="42" t="s">
        <v>315</v>
      </c>
      <c r="C681" s="42" t="s">
        <v>270</v>
      </c>
      <c r="D681" s="42" t="s">
        <v>392</v>
      </c>
      <c r="E681" s="42" t="s">
        <v>189</v>
      </c>
      <c r="F681" s="7">
        <f>'Прил.№4 ведомств.'!G780</f>
        <v>5.2</v>
      </c>
      <c r="G681" s="7">
        <f>'Прил.№4 ведомств.'!I780</f>
        <v>5.2</v>
      </c>
      <c r="H681" s="7">
        <f>'Прил.№4 ведомств.'!J780</f>
        <v>5.2</v>
      </c>
      <c r="I681" s="7">
        <f>'Прил.№4 ведомств.'!K780</f>
        <v>5.2</v>
      </c>
      <c r="J681" s="7">
        <f>'Прил.№4 ведомств.'!L780</f>
        <v>5.2</v>
      </c>
      <c r="K681" s="7">
        <f>'Прил.№4 ведомств.'!M780</f>
        <v>15.399999999999999</v>
      </c>
      <c r="L681" s="7">
        <f>'Прил.№4 ведомств.'!N780</f>
        <v>2.2000000000000002</v>
      </c>
      <c r="M681" s="7">
        <f t="shared" si="381"/>
        <v>14.285714285714288</v>
      </c>
    </row>
    <row r="682" spans="1:17" ht="15.75" x14ac:dyDescent="0.25">
      <c r="A682" s="43" t="s">
        <v>349</v>
      </c>
      <c r="B682" s="8" t="s">
        <v>350</v>
      </c>
      <c r="C682" s="8"/>
      <c r="D682" s="8"/>
      <c r="E682" s="8"/>
      <c r="F682" s="4">
        <f>F683+F774</f>
        <v>61699.8</v>
      </c>
      <c r="G682" s="4">
        <f t="shared" ref="G682:K682" si="403">G683+G774</f>
        <v>62134.184313725498</v>
      </c>
      <c r="H682" s="4">
        <f t="shared" si="403"/>
        <v>72053.100000000006</v>
      </c>
      <c r="I682" s="4">
        <f t="shared" si="403"/>
        <v>73293.100000000006</v>
      </c>
      <c r="J682" s="4">
        <f t="shared" si="403"/>
        <v>74048.899999999994</v>
      </c>
      <c r="K682" s="4">
        <f t="shared" si="403"/>
        <v>59789</v>
      </c>
      <c r="L682" s="4">
        <f t="shared" ref="L682" si="404">L683+L774</f>
        <v>48414.899999999994</v>
      </c>
      <c r="M682" s="4">
        <f t="shared" si="381"/>
        <v>80.9762665373229</v>
      </c>
    </row>
    <row r="683" spans="1:17" ht="15.75" x14ac:dyDescent="0.25">
      <c r="A683" s="43" t="s">
        <v>351</v>
      </c>
      <c r="B683" s="8" t="s">
        <v>350</v>
      </c>
      <c r="C683" s="8" t="s">
        <v>169</v>
      </c>
      <c r="D683" s="8"/>
      <c r="E683" s="8"/>
      <c r="F683" s="4">
        <f>F684+F753+F749</f>
        <v>44421.000000000007</v>
      </c>
      <c r="G683" s="4">
        <f t="shared" ref="G683:K683" si="405">G684+G753+G749</f>
        <v>44421.000000000007</v>
      </c>
      <c r="H683" s="4">
        <f t="shared" si="405"/>
        <v>52460.700000000004</v>
      </c>
      <c r="I683" s="4">
        <f t="shared" si="405"/>
        <v>53585</v>
      </c>
      <c r="J683" s="4">
        <f t="shared" si="405"/>
        <v>54232.700000000004</v>
      </c>
      <c r="K683" s="4">
        <f t="shared" si="405"/>
        <v>43156.6</v>
      </c>
      <c r="L683" s="4">
        <f t="shared" ref="L683" si="406">L684+L753+L749</f>
        <v>34911.399999999994</v>
      </c>
      <c r="M683" s="4">
        <f t="shared" si="381"/>
        <v>80.894695133536914</v>
      </c>
      <c r="N683" s="23"/>
      <c r="O683" s="23"/>
    </row>
    <row r="684" spans="1:17" ht="31.5" x14ac:dyDescent="0.25">
      <c r="A684" s="31" t="s">
        <v>317</v>
      </c>
      <c r="B684" s="42" t="s">
        <v>350</v>
      </c>
      <c r="C684" s="42" t="s">
        <v>169</v>
      </c>
      <c r="D684" s="42" t="s">
        <v>318</v>
      </c>
      <c r="E684" s="42"/>
      <c r="F684" s="7">
        <f>F685+F716</f>
        <v>42083.100000000006</v>
      </c>
      <c r="G684" s="7">
        <f t="shared" ref="G684:K684" si="407">G685+G716</f>
        <v>42083.100000000006</v>
      </c>
      <c r="H684" s="7">
        <f t="shared" si="407"/>
        <v>50326.8</v>
      </c>
      <c r="I684" s="7">
        <f t="shared" si="407"/>
        <v>51451.1</v>
      </c>
      <c r="J684" s="7">
        <f t="shared" si="407"/>
        <v>52098.8</v>
      </c>
      <c r="K684" s="7">
        <f t="shared" si="407"/>
        <v>41053.5</v>
      </c>
      <c r="L684" s="7">
        <f t="shared" ref="L684" si="408">L685+L716</f>
        <v>33339.199999999997</v>
      </c>
      <c r="M684" s="7">
        <f t="shared" si="381"/>
        <v>81.20915390892371</v>
      </c>
    </row>
    <row r="685" spans="1:17" ht="47.25" x14ac:dyDescent="0.25">
      <c r="A685" s="31" t="s">
        <v>352</v>
      </c>
      <c r="B685" s="42" t="s">
        <v>350</v>
      </c>
      <c r="C685" s="42" t="s">
        <v>169</v>
      </c>
      <c r="D685" s="42" t="s">
        <v>353</v>
      </c>
      <c r="E685" s="42"/>
      <c r="F685" s="7">
        <f>F686+F689+F692+F695+F698+F701+F704+F707+F710+F713</f>
        <v>25422.5</v>
      </c>
      <c r="G685" s="7">
        <f t="shared" ref="G685:K685" si="409">G686+G689+G692+G695+G698+G701+G704+G707+G710+G713</f>
        <v>25422.5</v>
      </c>
      <c r="H685" s="7">
        <f t="shared" si="409"/>
        <v>30257.599999999999</v>
      </c>
      <c r="I685" s="7">
        <f t="shared" si="409"/>
        <v>31110.899999999998</v>
      </c>
      <c r="J685" s="7">
        <f t="shared" si="409"/>
        <v>31536.199999999997</v>
      </c>
      <c r="K685" s="7">
        <f t="shared" si="409"/>
        <v>23859.3</v>
      </c>
      <c r="L685" s="7">
        <f t="shared" ref="L685" si="410">L686+L689+L692+L695+L698+L701+L704+L707+L710+L713</f>
        <v>19307.499999999996</v>
      </c>
      <c r="M685" s="7">
        <f t="shared" si="381"/>
        <v>80.922323789884857</v>
      </c>
    </row>
    <row r="686" spans="1:17" ht="31.5" x14ac:dyDescent="0.25">
      <c r="A686" s="31" t="s">
        <v>354</v>
      </c>
      <c r="B686" s="42" t="s">
        <v>350</v>
      </c>
      <c r="C686" s="42" t="s">
        <v>169</v>
      </c>
      <c r="D686" s="42" t="s">
        <v>355</v>
      </c>
      <c r="E686" s="42"/>
      <c r="F686" s="7">
        <f>F687</f>
        <v>23654.800000000003</v>
      </c>
      <c r="G686" s="7">
        <f t="shared" ref="G686:L687" si="411">G687</f>
        <v>23654.800000000003</v>
      </c>
      <c r="H686" s="7">
        <f t="shared" si="411"/>
        <v>26579.5</v>
      </c>
      <c r="I686" s="7">
        <f t="shared" si="411"/>
        <v>27182.799999999999</v>
      </c>
      <c r="J686" s="7">
        <f t="shared" si="411"/>
        <v>27608.1</v>
      </c>
      <c r="K686" s="7">
        <f t="shared" si="411"/>
        <v>21919.9</v>
      </c>
      <c r="L686" s="7">
        <f t="shared" si="411"/>
        <v>18409.3</v>
      </c>
      <c r="M686" s="7">
        <f t="shared" si="381"/>
        <v>83.984415987299201</v>
      </c>
    </row>
    <row r="687" spans="1:17" ht="47.25" x14ac:dyDescent="0.25">
      <c r="A687" s="31" t="s">
        <v>323</v>
      </c>
      <c r="B687" s="42" t="s">
        <v>350</v>
      </c>
      <c r="C687" s="42" t="s">
        <v>169</v>
      </c>
      <c r="D687" s="42" t="s">
        <v>355</v>
      </c>
      <c r="E687" s="42" t="s">
        <v>324</v>
      </c>
      <c r="F687" s="7">
        <f>F688</f>
        <v>23654.800000000003</v>
      </c>
      <c r="G687" s="7">
        <f t="shared" si="411"/>
        <v>23654.800000000003</v>
      </c>
      <c r="H687" s="7">
        <f t="shared" si="411"/>
        <v>26579.5</v>
      </c>
      <c r="I687" s="7">
        <f t="shared" si="411"/>
        <v>27182.799999999999</v>
      </c>
      <c r="J687" s="7">
        <f t="shared" si="411"/>
        <v>27608.1</v>
      </c>
      <c r="K687" s="7">
        <f t="shared" si="411"/>
        <v>21919.9</v>
      </c>
      <c r="L687" s="7">
        <f t="shared" si="411"/>
        <v>18409.3</v>
      </c>
      <c r="M687" s="7">
        <f t="shared" si="381"/>
        <v>83.984415987299201</v>
      </c>
    </row>
    <row r="688" spans="1:17" ht="15.75" x14ac:dyDescent="0.25">
      <c r="A688" s="31" t="s">
        <v>325</v>
      </c>
      <c r="B688" s="42" t="s">
        <v>350</v>
      </c>
      <c r="C688" s="42" t="s">
        <v>169</v>
      </c>
      <c r="D688" s="42" t="s">
        <v>355</v>
      </c>
      <c r="E688" s="42" t="s">
        <v>326</v>
      </c>
      <c r="F688" s="7">
        <f>'Прил.№4 ведомств.'!G333</f>
        <v>23654.800000000003</v>
      </c>
      <c r="G688" s="7">
        <f>'Прил.№4 ведомств.'!I333</f>
        <v>23654.800000000003</v>
      </c>
      <c r="H688" s="7">
        <f>'Прил.№4 ведомств.'!J333</f>
        <v>26579.5</v>
      </c>
      <c r="I688" s="7">
        <f>'Прил.№4 ведомств.'!K333</f>
        <v>27182.799999999999</v>
      </c>
      <c r="J688" s="7">
        <f>'Прил.№4 ведомств.'!L333</f>
        <v>27608.1</v>
      </c>
      <c r="K688" s="7">
        <f>'Прил.№4 ведомств.'!M333</f>
        <v>21919.9</v>
      </c>
      <c r="L688" s="7">
        <f>'Прил.№4 ведомств.'!N333</f>
        <v>18409.3</v>
      </c>
      <c r="M688" s="7">
        <f t="shared" si="381"/>
        <v>83.984415987299201</v>
      </c>
      <c r="Q688" s="23"/>
    </row>
    <row r="689" spans="1:17" ht="47.25" x14ac:dyDescent="0.25">
      <c r="A689" s="31" t="s">
        <v>793</v>
      </c>
      <c r="B689" s="42" t="s">
        <v>350</v>
      </c>
      <c r="C689" s="42" t="s">
        <v>169</v>
      </c>
      <c r="D689" s="42" t="s">
        <v>356</v>
      </c>
      <c r="E689" s="42"/>
      <c r="F689" s="7">
        <f>F690</f>
        <v>96.1</v>
      </c>
      <c r="G689" s="7">
        <f t="shared" ref="G689:L690" si="412">G690</f>
        <v>96.1</v>
      </c>
      <c r="H689" s="7">
        <f t="shared" si="412"/>
        <v>650</v>
      </c>
      <c r="I689" s="7">
        <f t="shared" si="412"/>
        <v>800</v>
      </c>
      <c r="J689" s="7">
        <f t="shared" si="412"/>
        <v>900</v>
      </c>
      <c r="K689" s="7">
        <f t="shared" si="412"/>
        <v>1086.3</v>
      </c>
      <c r="L689" s="7">
        <f t="shared" si="412"/>
        <v>145.1</v>
      </c>
      <c r="M689" s="7">
        <f t="shared" si="381"/>
        <v>13.357267789745006</v>
      </c>
      <c r="Q689" s="23"/>
    </row>
    <row r="690" spans="1:17" ht="47.25" x14ac:dyDescent="0.25">
      <c r="A690" s="31" t="s">
        <v>323</v>
      </c>
      <c r="B690" s="42" t="s">
        <v>350</v>
      </c>
      <c r="C690" s="42" t="s">
        <v>169</v>
      </c>
      <c r="D690" s="42" t="s">
        <v>356</v>
      </c>
      <c r="E690" s="42" t="s">
        <v>324</v>
      </c>
      <c r="F690" s="7">
        <f>F691</f>
        <v>96.1</v>
      </c>
      <c r="G690" s="7">
        <f t="shared" si="412"/>
        <v>96.1</v>
      </c>
      <c r="H690" s="7">
        <f t="shared" si="412"/>
        <v>650</v>
      </c>
      <c r="I690" s="7">
        <f t="shared" si="412"/>
        <v>800</v>
      </c>
      <c r="J690" s="7">
        <f t="shared" si="412"/>
        <v>900</v>
      </c>
      <c r="K690" s="7">
        <f t="shared" si="412"/>
        <v>1086.3</v>
      </c>
      <c r="L690" s="7">
        <f t="shared" si="412"/>
        <v>145.1</v>
      </c>
      <c r="M690" s="7">
        <f t="shared" si="381"/>
        <v>13.357267789745006</v>
      </c>
    </row>
    <row r="691" spans="1:17" ht="15.75" x14ac:dyDescent="0.25">
      <c r="A691" s="31" t="s">
        <v>325</v>
      </c>
      <c r="B691" s="42" t="s">
        <v>350</v>
      </c>
      <c r="C691" s="42" t="s">
        <v>169</v>
      </c>
      <c r="D691" s="42" t="s">
        <v>356</v>
      </c>
      <c r="E691" s="42" t="s">
        <v>326</v>
      </c>
      <c r="F691" s="7">
        <f>'Прил.№4 ведомств.'!G336</f>
        <v>96.1</v>
      </c>
      <c r="G691" s="7">
        <f>'Прил.№4 ведомств.'!I336</f>
        <v>96.1</v>
      </c>
      <c r="H691" s="7">
        <f>'Прил.№4 ведомств.'!J336</f>
        <v>650</v>
      </c>
      <c r="I691" s="7">
        <f>'Прил.№4 ведомств.'!K336</f>
        <v>800</v>
      </c>
      <c r="J691" s="7">
        <f>'Прил.№4 ведомств.'!L336</f>
        <v>900</v>
      </c>
      <c r="K691" s="7">
        <f>'Прил.№4 ведомств.'!M336</f>
        <v>1086.3</v>
      </c>
      <c r="L691" s="7">
        <f>'Прил.№4 ведомств.'!N336</f>
        <v>145.1</v>
      </c>
      <c r="M691" s="7">
        <f t="shared" si="381"/>
        <v>13.357267789745006</v>
      </c>
    </row>
    <row r="692" spans="1:17" ht="31.5" hidden="1" customHeight="1" x14ac:dyDescent="0.25">
      <c r="A692" s="31" t="s">
        <v>329</v>
      </c>
      <c r="B692" s="42" t="s">
        <v>350</v>
      </c>
      <c r="C692" s="42" t="s">
        <v>169</v>
      </c>
      <c r="D692" s="42" t="s">
        <v>676</v>
      </c>
      <c r="E692" s="42"/>
      <c r="F692" s="7">
        <f>F693</f>
        <v>0</v>
      </c>
      <c r="G692" s="7">
        <f t="shared" ref="G692:L693" si="413">G693</f>
        <v>0</v>
      </c>
      <c r="H692" s="7">
        <f t="shared" si="413"/>
        <v>0</v>
      </c>
      <c r="I692" s="7">
        <f t="shared" si="413"/>
        <v>0</v>
      </c>
      <c r="J692" s="7">
        <f t="shared" si="413"/>
        <v>0</v>
      </c>
      <c r="K692" s="7">
        <f t="shared" si="413"/>
        <v>0</v>
      </c>
      <c r="L692" s="7">
        <f t="shared" si="413"/>
        <v>0</v>
      </c>
      <c r="M692" s="7" t="e">
        <f t="shared" si="381"/>
        <v>#DIV/0!</v>
      </c>
    </row>
    <row r="693" spans="1:17" ht="47.25" hidden="1" customHeight="1" x14ac:dyDescent="0.25">
      <c r="A693" s="31" t="s">
        <v>323</v>
      </c>
      <c r="B693" s="42" t="s">
        <v>350</v>
      </c>
      <c r="C693" s="42" t="s">
        <v>169</v>
      </c>
      <c r="D693" s="42" t="s">
        <v>676</v>
      </c>
      <c r="E693" s="42" t="s">
        <v>324</v>
      </c>
      <c r="F693" s="7">
        <f>F694</f>
        <v>0</v>
      </c>
      <c r="G693" s="7">
        <f t="shared" si="413"/>
        <v>0</v>
      </c>
      <c r="H693" s="7">
        <f t="shared" si="413"/>
        <v>0</v>
      </c>
      <c r="I693" s="7">
        <f t="shared" si="413"/>
        <v>0</v>
      </c>
      <c r="J693" s="7">
        <f t="shared" si="413"/>
        <v>0</v>
      </c>
      <c r="K693" s="7">
        <f t="shared" si="413"/>
        <v>0</v>
      </c>
      <c r="L693" s="7">
        <f t="shared" si="413"/>
        <v>0</v>
      </c>
      <c r="M693" s="7" t="e">
        <f t="shared" si="381"/>
        <v>#DIV/0!</v>
      </c>
    </row>
    <row r="694" spans="1:17" ht="15.75" hidden="1" customHeight="1" x14ac:dyDescent="0.25">
      <c r="A694" s="31" t="s">
        <v>325</v>
      </c>
      <c r="B694" s="42" t="s">
        <v>350</v>
      </c>
      <c r="C694" s="42" t="s">
        <v>169</v>
      </c>
      <c r="D694" s="42" t="s">
        <v>676</v>
      </c>
      <c r="E694" s="42" t="s">
        <v>326</v>
      </c>
      <c r="F694" s="7"/>
      <c r="G694" s="7"/>
      <c r="H694" s="7"/>
      <c r="I694" s="7"/>
      <c r="J694" s="7"/>
      <c r="K694" s="7"/>
      <c r="L694" s="7"/>
      <c r="M694" s="7" t="e">
        <f t="shared" si="381"/>
        <v>#DIV/0!</v>
      </c>
    </row>
    <row r="695" spans="1:17" ht="31.5" hidden="1" customHeight="1" x14ac:dyDescent="0.25">
      <c r="A695" s="31" t="s">
        <v>331</v>
      </c>
      <c r="B695" s="42" t="s">
        <v>350</v>
      </c>
      <c r="C695" s="42" t="s">
        <v>169</v>
      </c>
      <c r="D695" s="42" t="s">
        <v>677</v>
      </c>
      <c r="E695" s="42"/>
      <c r="F695" s="7">
        <f>F696</f>
        <v>0</v>
      </c>
      <c r="G695" s="7">
        <f t="shared" ref="G695:L696" si="414">G696</f>
        <v>0</v>
      </c>
      <c r="H695" s="7">
        <f t="shared" si="414"/>
        <v>0</v>
      </c>
      <c r="I695" s="7">
        <f t="shared" si="414"/>
        <v>0</v>
      </c>
      <c r="J695" s="7">
        <f t="shared" si="414"/>
        <v>0</v>
      </c>
      <c r="K695" s="7">
        <f t="shared" si="414"/>
        <v>0</v>
      </c>
      <c r="L695" s="7">
        <f t="shared" si="414"/>
        <v>0</v>
      </c>
      <c r="M695" s="7" t="e">
        <f t="shared" si="381"/>
        <v>#DIV/0!</v>
      </c>
    </row>
    <row r="696" spans="1:17" ht="47.25" hidden="1" customHeight="1" x14ac:dyDescent="0.25">
      <c r="A696" s="31" t="s">
        <v>323</v>
      </c>
      <c r="B696" s="42" t="s">
        <v>350</v>
      </c>
      <c r="C696" s="42" t="s">
        <v>169</v>
      </c>
      <c r="D696" s="42" t="s">
        <v>677</v>
      </c>
      <c r="E696" s="42" t="s">
        <v>324</v>
      </c>
      <c r="F696" s="7">
        <f>F697</f>
        <v>0</v>
      </c>
      <c r="G696" s="7">
        <f t="shared" si="414"/>
        <v>0</v>
      </c>
      <c r="H696" s="7">
        <f t="shared" si="414"/>
        <v>0</v>
      </c>
      <c r="I696" s="7">
        <f t="shared" si="414"/>
        <v>0</v>
      </c>
      <c r="J696" s="7">
        <f t="shared" si="414"/>
        <v>0</v>
      </c>
      <c r="K696" s="7">
        <f t="shared" si="414"/>
        <v>0</v>
      </c>
      <c r="L696" s="7">
        <f t="shared" si="414"/>
        <v>0</v>
      </c>
      <c r="M696" s="7" t="e">
        <f t="shared" si="381"/>
        <v>#DIV/0!</v>
      </c>
    </row>
    <row r="697" spans="1:17" ht="15.75" hidden="1" customHeight="1" x14ac:dyDescent="0.25">
      <c r="A697" s="31" t="s">
        <v>325</v>
      </c>
      <c r="B697" s="42" t="s">
        <v>350</v>
      </c>
      <c r="C697" s="42" t="s">
        <v>169</v>
      </c>
      <c r="D697" s="42" t="s">
        <v>677</v>
      </c>
      <c r="E697" s="42" t="s">
        <v>326</v>
      </c>
      <c r="F697" s="7"/>
      <c r="G697" s="7"/>
      <c r="H697" s="7"/>
      <c r="I697" s="7"/>
      <c r="J697" s="7"/>
      <c r="K697" s="7"/>
      <c r="L697" s="7"/>
      <c r="M697" s="7" t="e">
        <f t="shared" si="381"/>
        <v>#DIV/0!</v>
      </c>
    </row>
    <row r="698" spans="1:17" ht="31.5" hidden="1" customHeight="1" x14ac:dyDescent="0.25">
      <c r="A698" s="31" t="s">
        <v>335</v>
      </c>
      <c r="B698" s="42" t="s">
        <v>350</v>
      </c>
      <c r="C698" s="42" t="s">
        <v>169</v>
      </c>
      <c r="D698" s="42" t="s">
        <v>678</v>
      </c>
      <c r="E698" s="42"/>
      <c r="F698" s="7">
        <f>F699</f>
        <v>0</v>
      </c>
      <c r="G698" s="7">
        <f t="shared" ref="G698:L699" si="415">G699</f>
        <v>0</v>
      </c>
      <c r="H698" s="7">
        <f t="shared" si="415"/>
        <v>0</v>
      </c>
      <c r="I698" s="7">
        <f t="shared" si="415"/>
        <v>0</v>
      </c>
      <c r="J698" s="7">
        <f t="shared" si="415"/>
        <v>0</v>
      </c>
      <c r="K698" s="7">
        <f t="shared" si="415"/>
        <v>0</v>
      </c>
      <c r="L698" s="7">
        <f t="shared" si="415"/>
        <v>0</v>
      </c>
      <c r="M698" s="7" t="e">
        <f t="shared" si="381"/>
        <v>#DIV/0!</v>
      </c>
    </row>
    <row r="699" spans="1:17" ht="47.25" hidden="1" customHeight="1" x14ac:dyDescent="0.25">
      <c r="A699" s="31" t="s">
        <v>323</v>
      </c>
      <c r="B699" s="42" t="s">
        <v>350</v>
      </c>
      <c r="C699" s="42" t="s">
        <v>169</v>
      </c>
      <c r="D699" s="42" t="s">
        <v>678</v>
      </c>
      <c r="E699" s="42" t="s">
        <v>324</v>
      </c>
      <c r="F699" s="7">
        <f>F700</f>
        <v>0</v>
      </c>
      <c r="G699" s="7">
        <f t="shared" si="415"/>
        <v>0</v>
      </c>
      <c r="H699" s="7">
        <f t="shared" si="415"/>
        <v>0</v>
      </c>
      <c r="I699" s="7">
        <f t="shared" si="415"/>
        <v>0</v>
      </c>
      <c r="J699" s="7">
        <f t="shared" si="415"/>
        <v>0</v>
      </c>
      <c r="K699" s="7">
        <f t="shared" si="415"/>
        <v>0</v>
      </c>
      <c r="L699" s="7">
        <f t="shared" si="415"/>
        <v>0</v>
      </c>
      <c r="M699" s="7" t="e">
        <f t="shared" si="381"/>
        <v>#DIV/0!</v>
      </c>
    </row>
    <row r="700" spans="1:17" ht="15.75" hidden="1" customHeight="1" x14ac:dyDescent="0.25">
      <c r="A700" s="31" t="s">
        <v>325</v>
      </c>
      <c r="B700" s="42" t="s">
        <v>350</v>
      </c>
      <c r="C700" s="42" t="s">
        <v>169</v>
      </c>
      <c r="D700" s="42" t="s">
        <v>678</v>
      </c>
      <c r="E700" s="42" t="s">
        <v>326</v>
      </c>
      <c r="F700" s="7"/>
      <c r="G700" s="7"/>
      <c r="H700" s="7"/>
      <c r="I700" s="7"/>
      <c r="J700" s="7"/>
      <c r="K700" s="7"/>
      <c r="L700" s="7"/>
      <c r="M700" s="7" t="e">
        <f t="shared" si="381"/>
        <v>#DIV/0!</v>
      </c>
    </row>
    <row r="701" spans="1:17" ht="31.5" hidden="1" x14ac:dyDescent="0.25">
      <c r="A701" s="31" t="s">
        <v>679</v>
      </c>
      <c r="B701" s="42" t="s">
        <v>350</v>
      </c>
      <c r="C701" s="42" t="s">
        <v>169</v>
      </c>
      <c r="D701" s="42" t="s">
        <v>357</v>
      </c>
      <c r="E701" s="42"/>
      <c r="F701" s="7">
        <f>F702</f>
        <v>142.1</v>
      </c>
      <c r="G701" s="7">
        <f t="shared" ref="G701:L702" si="416">G702</f>
        <v>142.1</v>
      </c>
      <c r="H701" s="7">
        <f t="shared" si="416"/>
        <v>2000</v>
      </c>
      <c r="I701" s="7">
        <f t="shared" si="416"/>
        <v>1500</v>
      </c>
      <c r="J701" s="7">
        <f t="shared" si="416"/>
        <v>2000</v>
      </c>
      <c r="K701" s="7">
        <f t="shared" si="416"/>
        <v>0</v>
      </c>
      <c r="L701" s="7">
        <f t="shared" si="416"/>
        <v>0</v>
      </c>
      <c r="M701" s="7" t="e">
        <f t="shared" si="381"/>
        <v>#DIV/0!</v>
      </c>
    </row>
    <row r="702" spans="1:17" ht="47.25" hidden="1" x14ac:dyDescent="0.25">
      <c r="A702" s="31" t="s">
        <v>323</v>
      </c>
      <c r="B702" s="42" t="s">
        <v>350</v>
      </c>
      <c r="C702" s="42" t="s">
        <v>169</v>
      </c>
      <c r="D702" s="42" t="s">
        <v>357</v>
      </c>
      <c r="E702" s="42" t="s">
        <v>324</v>
      </c>
      <c r="F702" s="7">
        <f>F703</f>
        <v>142.1</v>
      </c>
      <c r="G702" s="7">
        <f t="shared" si="416"/>
        <v>142.1</v>
      </c>
      <c r="H702" s="7">
        <f t="shared" si="416"/>
        <v>2000</v>
      </c>
      <c r="I702" s="7">
        <f t="shared" si="416"/>
        <v>1500</v>
      </c>
      <c r="J702" s="7">
        <f t="shared" si="416"/>
        <v>2000</v>
      </c>
      <c r="K702" s="7">
        <f t="shared" si="416"/>
        <v>0</v>
      </c>
      <c r="L702" s="7">
        <f t="shared" si="416"/>
        <v>0</v>
      </c>
      <c r="M702" s="7" t="e">
        <f t="shared" si="381"/>
        <v>#DIV/0!</v>
      </c>
    </row>
    <row r="703" spans="1:17" ht="15.75" hidden="1" x14ac:dyDescent="0.25">
      <c r="A703" s="31" t="s">
        <v>325</v>
      </c>
      <c r="B703" s="42" t="s">
        <v>350</v>
      </c>
      <c r="C703" s="42" t="s">
        <v>169</v>
      </c>
      <c r="D703" s="42" t="s">
        <v>357</v>
      </c>
      <c r="E703" s="42" t="s">
        <v>326</v>
      </c>
      <c r="F703" s="7">
        <f>'Прил.№4 ведомств.'!G339</f>
        <v>142.1</v>
      </c>
      <c r="G703" s="7">
        <f>'Прил.№4 ведомств.'!I339</f>
        <v>142.1</v>
      </c>
      <c r="H703" s="7">
        <f>'Прил.№4 ведомств.'!J339</f>
        <v>2000</v>
      </c>
      <c r="I703" s="7">
        <f>'Прил.№4 ведомств.'!K339</f>
        <v>1500</v>
      </c>
      <c r="J703" s="7">
        <f>'Прил.№4 ведомств.'!L339</f>
        <v>2000</v>
      </c>
      <c r="K703" s="7">
        <f>'Прил.№4 ведомств.'!M339</f>
        <v>0</v>
      </c>
      <c r="L703" s="7">
        <f>'Прил.№4 ведомств.'!N339</f>
        <v>0</v>
      </c>
      <c r="M703" s="7" t="e">
        <f t="shared" si="381"/>
        <v>#DIV/0!</v>
      </c>
    </row>
    <row r="704" spans="1:17" ht="15.75" x14ac:dyDescent="0.25">
      <c r="A704" s="31" t="s">
        <v>358</v>
      </c>
      <c r="B704" s="42" t="s">
        <v>350</v>
      </c>
      <c r="C704" s="42" t="s">
        <v>169</v>
      </c>
      <c r="D704" s="42" t="s">
        <v>359</v>
      </c>
      <c r="E704" s="42"/>
      <c r="F704" s="7">
        <f>F705</f>
        <v>1529.5</v>
      </c>
      <c r="G704" s="7">
        <f t="shared" ref="G704:L705" si="417">G705</f>
        <v>1529.5</v>
      </c>
      <c r="H704" s="7">
        <f t="shared" si="417"/>
        <v>0</v>
      </c>
      <c r="I704" s="7">
        <f t="shared" si="417"/>
        <v>0</v>
      </c>
      <c r="J704" s="7">
        <f t="shared" si="417"/>
        <v>0</v>
      </c>
      <c r="K704" s="7">
        <f t="shared" si="417"/>
        <v>100</v>
      </c>
      <c r="L704" s="7">
        <f t="shared" si="417"/>
        <v>0</v>
      </c>
      <c r="M704" s="7">
        <f t="shared" si="381"/>
        <v>0</v>
      </c>
    </row>
    <row r="705" spans="1:13" ht="47.25" x14ac:dyDescent="0.25">
      <c r="A705" s="31" t="s">
        <v>323</v>
      </c>
      <c r="B705" s="42" t="s">
        <v>350</v>
      </c>
      <c r="C705" s="42" t="s">
        <v>169</v>
      </c>
      <c r="D705" s="42" t="s">
        <v>359</v>
      </c>
      <c r="E705" s="42" t="s">
        <v>324</v>
      </c>
      <c r="F705" s="7">
        <f>F706</f>
        <v>1529.5</v>
      </c>
      <c r="G705" s="7">
        <f t="shared" si="417"/>
        <v>1529.5</v>
      </c>
      <c r="H705" s="7">
        <f t="shared" si="417"/>
        <v>0</v>
      </c>
      <c r="I705" s="7">
        <f t="shared" si="417"/>
        <v>0</v>
      </c>
      <c r="J705" s="7">
        <f t="shared" si="417"/>
        <v>0</v>
      </c>
      <c r="K705" s="7">
        <f t="shared" si="417"/>
        <v>100</v>
      </c>
      <c r="L705" s="7">
        <f t="shared" si="417"/>
        <v>0</v>
      </c>
      <c r="M705" s="7">
        <f t="shared" si="381"/>
        <v>0</v>
      </c>
    </row>
    <row r="706" spans="1:13" ht="15.75" x14ac:dyDescent="0.25">
      <c r="A706" s="31" t="s">
        <v>325</v>
      </c>
      <c r="B706" s="42" t="s">
        <v>350</v>
      </c>
      <c r="C706" s="42" t="s">
        <v>169</v>
      </c>
      <c r="D706" s="42" t="s">
        <v>359</v>
      </c>
      <c r="E706" s="42" t="s">
        <v>326</v>
      </c>
      <c r="F706" s="7">
        <f>'Прил.№4 ведомств.'!G342</f>
        <v>1529.5</v>
      </c>
      <c r="G706" s="7">
        <f>'Прил.№4 ведомств.'!I342</f>
        <v>1529.5</v>
      </c>
      <c r="H706" s="7">
        <f>'Прил.№4 ведомств.'!J342</f>
        <v>0</v>
      </c>
      <c r="I706" s="7">
        <f>'Прил.№4 ведомств.'!K342</f>
        <v>0</v>
      </c>
      <c r="J706" s="7">
        <f>'Прил.№4 ведомств.'!L342</f>
        <v>0</v>
      </c>
      <c r="K706" s="7">
        <f>'Прил.№4 ведомств.'!M342</f>
        <v>100</v>
      </c>
      <c r="L706" s="7">
        <f>'Прил.№4 ведомств.'!N342</f>
        <v>0</v>
      </c>
      <c r="M706" s="7">
        <f t="shared" si="381"/>
        <v>0</v>
      </c>
    </row>
    <row r="707" spans="1:13" ht="31.5" hidden="1" x14ac:dyDescent="0.25">
      <c r="A707" s="26" t="s">
        <v>335</v>
      </c>
      <c r="B707" s="21" t="s">
        <v>350</v>
      </c>
      <c r="C707" s="21" t="s">
        <v>169</v>
      </c>
      <c r="D707" s="21" t="s">
        <v>336</v>
      </c>
      <c r="E707" s="21"/>
      <c r="F707" s="7">
        <f>F708</f>
        <v>0</v>
      </c>
      <c r="G707" s="7">
        <f t="shared" ref="G707:L708" si="418">G708</f>
        <v>0</v>
      </c>
      <c r="H707" s="7">
        <f t="shared" si="418"/>
        <v>275</v>
      </c>
      <c r="I707" s="7">
        <f t="shared" si="418"/>
        <v>275</v>
      </c>
      <c r="J707" s="7">
        <f t="shared" si="418"/>
        <v>275</v>
      </c>
      <c r="K707" s="7">
        <f t="shared" si="418"/>
        <v>0</v>
      </c>
      <c r="L707" s="7">
        <f t="shared" si="418"/>
        <v>0</v>
      </c>
      <c r="M707" s="7" t="e">
        <f t="shared" si="381"/>
        <v>#DIV/0!</v>
      </c>
    </row>
    <row r="708" spans="1:13" ht="47.25" hidden="1" x14ac:dyDescent="0.25">
      <c r="A708" s="26" t="s">
        <v>323</v>
      </c>
      <c r="B708" s="21" t="s">
        <v>350</v>
      </c>
      <c r="C708" s="21" t="s">
        <v>169</v>
      </c>
      <c r="D708" s="21" t="s">
        <v>336</v>
      </c>
      <c r="E708" s="21" t="s">
        <v>324</v>
      </c>
      <c r="F708" s="7">
        <f>F709</f>
        <v>0</v>
      </c>
      <c r="G708" s="7">
        <f t="shared" si="418"/>
        <v>0</v>
      </c>
      <c r="H708" s="7">
        <f t="shared" si="418"/>
        <v>275</v>
      </c>
      <c r="I708" s="7">
        <f t="shared" si="418"/>
        <v>275</v>
      </c>
      <c r="J708" s="7">
        <f t="shared" si="418"/>
        <v>275</v>
      </c>
      <c r="K708" s="7">
        <f t="shared" si="418"/>
        <v>0</v>
      </c>
      <c r="L708" s="7">
        <f t="shared" si="418"/>
        <v>0</v>
      </c>
      <c r="M708" s="7" t="e">
        <f t="shared" si="381"/>
        <v>#DIV/0!</v>
      </c>
    </row>
    <row r="709" spans="1:13" ht="15.75" hidden="1" x14ac:dyDescent="0.25">
      <c r="A709" s="26" t="s">
        <v>325</v>
      </c>
      <c r="B709" s="21" t="s">
        <v>350</v>
      </c>
      <c r="C709" s="21" t="s">
        <v>169</v>
      </c>
      <c r="D709" s="21" t="s">
        <v>336</v>
      </c>
      <c r="E709" s="21" t="s">
        <v>326</v>
      </c>
      <c r="F709" s="7">
        <f>'Прил.№4 ведомств.'!G345</f>
        <v>0</v>
      </c>
      <c r="G709" s="7">
        <f>'Прил.№4 ведомств.'!I345</f>
        <v>0</v>
      </c>
      <c r="H709" s="7">
        <f>'Прил.№4 ведомств.'!J345</f>
        <v>275</v>
      </c>
      <c r="I709" s="7">
        <f>'Прил.№4 ведомств.'!K345</f>
        <v>275</v>
      </c>
      <c r="J709" s="7">
        <f>'Прил.№4 ведомств.'!L345</f>
        <v>275</v>
      </c>
      <c r="K709" s="7">
        <f>'Прил.№4 ведомств.'!M345</f>
        <v>0</v>
      </c>
      <c r="L709" s="7">
        <f>'Прил.№4 ведомств.'!N345</f>
        <v>0</v>
      </c>
      <c r="M709" s="7" t="e">
        <f t="shared" si="381"/>
        <v>#DIV/0!</v>
      </c>
    </row>
    <row r="710" spans="1:13" ht="31.5" hidden="1" x14ac:dyDescent="0.25">
      <c r="A710" s="37" t="s">
        <v>338</v>
      </c>
      <c r="B710" s="21" t="s">
        <v>350</v>
      </c>
      <c r="C710" s="21" t="s">
        <v>169</v>
      </c>
      <c r="D710" s="21" t="s">
        <v>360</v>
      </c>
      <c r="E710" s="21"/>
      <c r="F710" s="7">
        <f>F711</f>
        <v>0</v>
      </c>
      <c r="G710" s="7">
        <f t="shared" ref="G710:L711" si="419">G711</f>
        <v>0</v>
      </c>
      <c r="H710" s="7">
        <f t="shared" si="419"/>
        <v>0</v>
      </c>
      <c r="I710" s="7">
        <f t="shared" si="419"/>
        <v>600</v>
      </c>
      <c r="J710" s="7">
        <f t="shared" si="419"/>
        <v>0</v>
      </c>
      <c r="K710" s="7">
        <f t="shared" si="419"/>
        <v>0</v>
      </c>
      <c r="L710" s="7">
        <f t="shared" si="419"/>
        <v>0</v>
      </c>
      <c r="M710" s="7" t="e">
        <f t="shared" si="381"/>
        <v>#DIV/0!</v>
      </c>
    </row>
    <row r="711" spans="1:13" ht="47.25" hidden="1" x14ac:dyDescent="0.25">
      <c r="A711" s="26" t="s">
        <v>323</v>
      </c>
      <c r="B711" s="21" t="s">
        <v>350</v>
      </c>
      <c r="C711" s="21" t="s">
        <v>169</v>
      </c>
      <c r="D711" s="21" t="s">
        <v>360</v>
      </c>
      <c r="E711" s="21" t="s">
        <v>324</v>
      </c>
      <c r="F711" s="7">
        <f>F712</f>
        <v>0</v>
      </c>
      <c r="G711" s="7">
        <f t="shared" si="419"/>
        <v>0</v>
      </c>
      <c r="H711" s="7">
        <f t="shared" si="419"/>
        <v>0</v>
      </c>
      <c r="I711" s="7">
        <f t="shared" si="419"/>
        <v>600</v>
      </c>
      <c r="J711" s="7">
        <f t="shared" si="419"/>
        <v>0</v>
      </c>
      <c r="K711" s="7">
        <f t="shared" si="419"/>
        <v>0</v>
      </c>
      <c r="L711" s="7">
        <f t="shared" si="419"/>
        <v>0</v>
      </c>
      <c r="M711" s="7" t="e">
        <f t="shared" si="381"/>
        <v>#DIV/0!</v>
      </c>
    </row>
    <row r="712" spans="1:13" ht="15.75" hidden="1" x14ac:dyDescent="0.25">
      <c r="A712" s="26" t="s">
        <v>325</v>
      </c>
      <c r="B712" s="21" t="s">
        <v>350</v>
      </c>
      <c r="C712" s="21" t="s">
        <v>169</v>
      </c>
      <c r="D712" s="21" t="s">
        <v>360</v>
      </c>
      <c r="E712" s="21" t="s">
        <v>326</v>
      </c>
      <c r="F712" s="7">
        <f>'Прил.№4 ведомств.'!G348</f>
        <v>0</v>
      </c>
      <c r="G712" s="7">
        <f>'Прил.№4 ведомств.'!I348</f>
        <v>0</v>
      </c>
      <c r="H712" s="7">
        <f>'Прил.№4 ведомств.'!J348</f>
        <v>0</v>
      </c>
      <c r="I712" s="7">
        <f>'Прил.№4 ведомств.'!K348</f>
        <v>600</v>
      </c>
      <c r="J712" s="7">
        <f>'Прил.№4 ведомств.'!L348</f>
        <v>0</v>
      </c>
      <c r="K712" s="7">
        <f>'Прил.№4 ведомств.'!M348</f>
        <v>0</v>
      </c>
      <c r="L712" s="7">
        <f>'Прил.№4 ведомств.'!N348</f>
        <v>0</v>
      </c>
      <c r="M712" s="7" t="e">
        <f t="shared" si="381"/>
        <v>#DIV/0!</v>
      </c>
    </row>
    <row r="713" spans="1:13" ht="31.5" x14ac:dyDescent="0.25">
      <c r="A713" s="213" t="s">
        <v>861</v>
      </c>
      <c r="B713" s="21" t="s">
        <v>350</v>
      </c>
      <c r="C713" s="21" t="s">
        <v>169</v>
      </c>
      <c r="D713" s="21" t="s">
        <v>866</v>
      </c>
      <c r="E713" s="21"/>
      <c r="F713" s="7">
        <f>F714</f>
        <v>0</v>
      </c>
      <c r="G713" s="7">
        <f t="shared" ref="G713:L714" si="420">G714</f>
        <v>0</v>
      </c>
      <c r="H713" s="7">
        <f t="shared" si="420"/>
        <v>753.1</v>
      </c>
      <c r="I713" s="7">
        <f t="shared" si="420"/>
        <v>753.1</v>
      </c>
      <c r="J713" s="7">
        <f t="shared" si="420"/>
        <v>753.1</v>
      </c>
      <c r="K713" s="7">
        <f t="shared" si="420"/>
        <v>753.1</v>
      </c>
      <c r="L713" s="7">
        <f t="shared" si="420"/>
        <v>753.1</v>
      </c>
      <c r="M713" s="7">
        <f t="shared" si="381"/>
        <v>100</v>
      </c>
    </row>
    <row r="714" spans="1:13" ht="47.25" x14ac:dyDescent="0.25">
      <c r="A714" s="112" t="s">
        <v>323</v>
      </c>
      <c r="B714" s="21" t="s">
        <v>350</v>
      </c>
      <c r="C714" s="21" t="s">
        <v>169</v>
      </c>
      <c r="D714" s="21" t="s">
        <v>866</v>
      </c>
      <c r="E714" s="21" t="s">
        <v>324</v>
      </c>
      <c r="F714" s="7">
        <f>F715</f>
        <v>0</v>
      </c>
      <c r="G714" s="7">
        <f t="shared" si="420"/>
        <v>0</v>
      </c>
      <c r="H714" s="7">
        <f t="shared" si="420"/>
        <v>753.1</v>
      </c>
      <c r="I714" s="7">
        <f t="shared" si="420"/>
        <v>753.1</v>
      </c>
      <c r="J714" s="7">
        <f t="shared" si="420"/>
        <v>753.1</v>
      </c>
      <c r="K714" s="7">
        <f t="shared" si="420"/>
        <v>753.1</v>
      </c>
      <c r="L714" s="7">
        <f t="shared" si="420"/>
        <v>753.1</v>
      </c>
      <c r="M714" s="7">
        <f t="shared" si="381"/>
        <v>100</v>
      </c>
    </row>
    <row r="715" spans="1:13" ht="15.75" x14ac:dyDescent="0.25">
      <c r="A715" s="214" t="s">
        <v>325</v>
      </c>
      <c r="B715" s="21" t="s">
        <v>350</v>
      </c>
      <c r="C715" s="21" t="s">
        <v>169</v>
      </c>
      <c r="D715" s="21" t="s">
        <v>866</v>
      </c>
      <c r="E715" s="21" t="s">
        <v>326</v>
      </c>
      <c r="F715" s="7">
        <f>'Прил.№4 ведомств.'!G351</f>
        <v>0</v>
      </c>
      <c r="G715" s="7">
        <f>'Прил.№4 ведомств.'!I351</f>
        <v>0</v>
      </c>
      <c r="H715" s="7">
        <f>'Прил.№4 ведомств.'!J351</f>
        <v>753.1</v>
      </c>
      <c r="I715" s="7">
        <f>'Прил.№4 ведомств.'!K351</f>
        <v>753.1</v>
      </c>
      <c r="J715" s="7">
        <f>'Прил.№4 ведомств.'!L351</f>
        <v>753.1</v>
      </c>
      <c r="K715" s="7">
        <f>'Прил.№4 ведомств.'!M351</f>
        <v>753.1</v>
      </c>
      <c r="L715" s="7">
        <f>'Прил.№4 ведомств.'!N351</f>
        <v>753.1</v>
      </c>
      <c r="M715" s="7">
        <f t="shared" si="381"/>
        <v>100</v>
      </c>
    </row>
    <row r="716" spans="1:13" ht="31.5" x14ac:dyDescent="0.25">
      <c r="A716" s="31" t="s">
        <v>363</v>
      </c>
      <c r="B716" s="42" t="s">
        <v>350</v>
      </c>
      <c r="C716" s="42" t="s">
        <v>169</v>
      </c>
      <c r="D716" s="42" t="s">
        <v>364</v>
      </c>
      <c r="E716" s="42"/>
      <c r="F716" s="7">
        <f>F717+F720+F725+F728+F731+F734+F736+F740+F746</f>
        <v>16660.600000000002</v>
      </c>
      <c r="G716" s="7">
        <f t="shared" ref="G716:J716" si="421">G717+G720+G725+G728+G731+G734+G736+G740+G746</f>
        <v>16660.600000000002</v>
      </c>
      <c r="H716" s="7">
        <f t="shared" si="421"/>
        <v>20069.2</v>
      </c>
      <c r="I716" s="7">
        <f t="shared" si="421"/>
        <v>20340.2</v>
      </c>
      <c r="J716" s="7">
        <f t="shared" si="421"/>
        <v>20562.600000000002</v>
      </c>
      <c r="K716" s="7">
        <f>K717+K720+K725+K728+K731+K734+K736+K740+K746+K743</f>
        <v>17194.199999999997</v>
      </c>
      <c r="L716" s="7">
        <f t="shared" ref="L716" si="422">L717+L720+L725+L728+L731+L734+L736+L740+L746+L743</f>
        <v>14031.7</v>
      </c>
      <c r="M716" s="7">
        <f t="shared" si="381"/>
        <v>81.607169859603829</v>
      </c>
    </row>
    <row r="717" spans="1:13" ht="31.5" x14ac:dyDescent="0.25">
      <c r="A717" s="31" t="s">
        <v>354</v>
      </c>
      <c r="B717" s="42" t="s">
        <v>350</v>
      </c>
      <c r="C717" s="42" t="s">
        <v>169</v>
      </c>
      <c r="D717" s="42" t="s">
        <v>365</v>
      </c>
      <c r="E717" s="42"/>
      <c r="F717" s="7">
        <f>F718</f>
        <v>16655.2</v>
      </c>
      <c r="G717" s="7">
        <f t="shared" ref="G717:L718" si="423">G718</f>
        <v>16655.2</v>
      </c>
      <c r="H717" s="7">
        <f t="shared" si="423"/>
        <v>19144</v>
      </c>
      <c r="I717" s="7">
        <f t="shared" si="423"/>
        <v>19415</v>
      </c>
      <c r="J717" s="7">
        <f t="shared" si="423"/>
        <v>19637.400000000001</v>
      </c>
      <c r="K717" s="7">
        <f t="shared" si="423"/>
        <v>16358.499999999998</v>
      </c>
      <c r="L717" s="7">
        <f t="shared" si="423"/>
        <v>13381.5</v>
      </c>
      <c r="M717" s="7">
        <f t="shared" ref="M717:M780" si="424">L717/K717*100</f>
        <v>81.801509918391062</v>
      </c>
    </row>
    <row r="718" spans="1:13" ht="47.25" x14ac:dyDescent="0.25">
      <c r="A718" s="31" t="s">
        <v>323</v>
      </c>
      <c r="B718" s="42" t="s">
        <v>350</v>
      </c>
      <c r="C718" s="42" t="s">
        <v>169</v>
      </c>
      <c r="D718" s="42" t="s">
        <v>365</v>
      </c>
      <c r="E718" s="42" t="s">
        <v>324</v>
      </c>
      <c r="F718" s="7">
        <f>F719</f>
        <v>16655.2</v>
      </c>
      <c r="G718" s="7">
        <f t="shared" si="423"/>
        <v>16655.2</v>
      </c>
      <c r="H718" s="7">
        <f t="shared" si="423"/>
        <v>19144</v>
      </c>
      <c r="I718" s="7">
        <f t="shared" si="423"/>
        <v>19415</v>
      </c>
      <c r="J718" s="7">
        <f t="shared" si="423"/>
        <v>19637.400000000001</v>
      </c>
      <c r="K718" s="7">
        <f t="shared" si="423"/>
        <v>16358.499999999998</v>
      </c>
      <c r="L718" s="7">
        <f t="shared" si="423"/>
        <v>13381.5</v>
      </c>
      <c r="M718" s="7">
        <f t="shared" si="424"/>
        <v>81.801509918391062</v>
      </c>
    </row>
    <row r="719" spans="1:13" ht="15.75" x14ac:dyDescent="0.25">
      <c r="A719" s="31" t="s">
        <v>325</v>
      </c>
      <c r="B719" s="42" t="s">
        <v>350</v>
      </c>
      <c r="C719" s="42" t="s">
        <v>169</v>
      </c>
      <c r="D719" s="42" t="s">
        <v>365</v>
      </c>
      <c r="E719" s="42" t="s">
        <v>326</v>
      </c>
      <c r="F719" s="7">
        <f>'Прил.№4 ведомств.'!G362</f>
        <v>16655.2</v>
      </c>
      <c r="G719" s="7">
        <f>'Прил.№4 ведомств.'!I362</f>
        <v>16655.2</v>
      </c>
      <c r="H719" s="7">
        <f>'Прил.№4 ведомств.'!J362</f>
        <v>19144</v>
      </c>
      <c r="I719" s="7">
        <f>'Прил.№4 ведомств.'!K362</f>
        <v>19415</v>
      </c>
      <c r="J719" s="7">
        <f>'Прил.№4 ведомств.'!L362</f>
        <v>19637.400000000001</v>
      </c>
      <c r="K719" s="7">
        <f>'Прил.№4 ведомств.'!M362</f>
        <v>16358.499999999998</v>
      </c>
      <c r="L719" s="7">
        <f>'Прил.№4 ведомств.'!N362</f>
        <v>13381.5</v>
      </c>
      <c r="M719" s="7">
        <f t="shared" si="424"/>
        <v>81.801509918391062</v>
      </c>
    </row>
    <row r="720" spans="1:13" ht="26.25" customHeight="1" x14ac:dyDescent="0.25">
      <c r="A720" s="31" t="s">
        <v>366</v>
      </c>
      <c r="B720" s="42" t="s">
        <v>350</v>
      </c>
      <c r="C720" s="42" t="s">
        <v>169</v>
      </c>
      <c r="D720" s="42" t="s">
        <v>680</v>
      </c>
      <c r="E720" s="42"/>
      <c r="F720" s="7">
        <f>F721+F723</f>
        <v>5</v>
      </c>
      <c r="G720" s="7">
        <f t="shared" ref="G720:K720" si="425">G721+G723</f>
        <v>5</v>
      </c>
      <c r="H720" s="7">
        <f t="shared" si="425"/>
        <v>0</v>
      </c>
      <c r="I720" s="7">
        <f t="shared" si="425"/>
        <v>0</v>
      </c>
      <c r="J720" s="7">
        <f t="shared" si="425"/>
        <v>0</v>
      </c>
      <c r="K720" s="7">
        <f t="shared" si="425"/>
        <v>5</v>
      </c>
      <c r="L720" s="7">
        <f t="shared" ref="L720" si="426">L721+L723</f>
        <v>0</v>
      </c>
      <c r="M720" s="7">
        <f t="shared" si="424"/>
        <v>0</v>
      </c>
    </row>
    <row r="721" spans="1:13" ht="31.5" hidden="1" customHeight="1" x14ac:dyDescent="0.25">
      <c r="A721" s="31" t="s">
        <v>182</v>
      </c>
      <c r="B721" s="42" t="s">
        <v>350</v>
      </c>
      <c r="C721" s="42" t="s">
        <v>169</v>
      </c>
      <c r="D721" s="42" t="s">
        <v>680</v>
      </c>
      <c r="E721" s="42" t="s">
        <v>183</v>
      </c>
      <c r="F721" s="7">
        <f>F722</f>
        <v>0</v>
      </c>
      <c r="G721" s="7">
        <f t="shared" ref="G721:L721" si="427">G722</f>
        <v>0</v>
      </c>
      <c r="H721" s="7">
        <f t="shared" si="427"/>
        <v>0</v>
      </c>
      <c r="I721" s="7">
        <f t="shared" si="427"/>
        <v>0</v>
      </c>
      <c r="J721" s="7">
        <f t="shared" si="427"/>
        <v>0</v>
      </c>
      <c r="K721" s="7">
        <f t="shared" si="427"/>
        <v>0</v>
      </c>
      <c r="L721" s="7">
        <f t="shared" si="427"/>
        <v>0</v>
      </c>
      <c r="M721" s="7" t="e">
        <f t="shared" si="424"/>
        <v>#DIV/0!</v>
      </c>
    </row>
    <row r="722" spans="1:13" ht="47.25" hidden="1" customHeight="1" x14ac:dyDescent="0.25">
      <c r="A722" s="31" t="s">
        <v>184</v>
      </c>
      <c r="B722" s="42" t="s">
        <v>350</v>
      </c>
      <c r="C722" s="42" t="s">
        <v>169</v>
      </c>
      <c r="D722" s="42" t="s">
        <v>680</v>
      </c>
      <c r="E722" s="42" t="s">
        <v>185</v>
      </c>
      <c r="F722" s="7"/>
      <c r="G722" s="7"/>
      <c r="H722" s="7"/>
      <c r="I722" s="7"/>
      <c r="J722" s="7"/>
      <c r="K722" s="7"/>
      <c r="L722" s="7"/>
      <c r="M722" s="7" t="e">
        <f t="shared" si="424"/>
        <v>#DIV/0!</v>
      </c>
    </row>
    <row r="723" spans="1:13" ht="47.25" x14ac:dyDescent="0.25">
      <c r="A723" s="31" t="s">
        <v>323</v>
      </c>
      <c r="B723" s="42" t="s">
        <v>350</v>
      </c>
      <c r="C723" s="42" t="s">
        <v>169</v>
      </c>
      <c r="D723" s="42" t="s">
        <v>680</v>
      </c>
      <c r="E723" s="42" t="s">
        <v>324</v>
      </c>
      <c r="F723" s="7">
        <f>F724</f>
        <v>5</v>
      </c>
      <c r="G723" s="7">
        <f t="shared" ref="G723:L723" si="428">G724</f>
        <v>5</v>
      </c>
      <c r="H723" s="7">
        <f t="shared" si="428"/>
        <v>0</v>
      </c>
      <c r="I723" s="7">
        <f t="shared" si="428"/>
        <v>0</v>
      </c>
      <c r="J723" s="7">
        <f t="shared" si="428"/>
        <v>0</v>
      </c>
      <c r="K723" s="7">
        <f t="shared" si="428"/>
        <v>5</v>
      </c>
      <c r="L723" s="7">
        <f t="shared" si="428"/>
        <v>0</v>
      </c>
      <c r="M723" s="7">
        <f t="shared" si="424"/>
        <v>0</v>
      </c>
    </row>
    <row r="724" spans="1:13" ht="15.75" x14ac:dyDescent="0.25">
      <c r="A724" s="31" t="s">
        <v>325</v>
      </c>
      <c r="B724" s="42" t="s">
        <v>350</v>
      </c>
      <c r="C724" s="42" t="s">
        <v>169</v>
      </c>
      <c r="D724" s="42" t="s">
        <v>680</v>
      </c>
      <c r="E724" s="42" t="s">
        <v>326</v>
      </c>
      <c r="F724" s="7">
        <f>'Прил.№4 ведомств.'!G367</f>
        <v>5</v>
      </c>
      <c r="G724" s="7">
        <f>'Прил.№4 ведомств.'!I367</f>
        <v>5</v>
      </c>
      <c r="H724" s="7">
        <f>'Прил.№4 ведомств.'!J367</f>
        <v>0</v>
      </c>
      <c r="I724" s="7">
        <f>'Прил.№4 ведомств.'!K367</f>
        <v>0</v>
      </c>
      <c r="J724" s="7">
        <f>'Прил.№4 ведомств.'!L367</f>
        <v>0</v>
      </c>
      <c r="K724" s="7">
        <f>'Прил.№4 ведомств.'!M367</f>
        <v>5</v>
      </c>
      <c r="L724" s="7">
        <f>'Прил.№4 ведомств.'!N367</f>
        <v>0</v>
      </c>
      <c r="M724" s="7">
        <f t="shared" si="424"/>
        <v>0</v>
      </c>
    </row>
    <row r="725" spans="1:13" ht="31.5" hidden="1" customHeight="1" x14ac:dyDescent="0.25">
      <c r="A725" s="31" t="s">
        <v>329</v>
      </c>
      <c r="B725" s="42" t="s">
        <v>350</v>
      </c>
      <c r="C725" s="42" t="s">
        <v>169</v>
      </c>
      <c r="D725" s="42" t="s">
        <v>681</v>
      </c>
      <c r="E725" s="42"/>
      <c r="F725" s="7">
        <f>F726</f>
        <v>0</v>
      </c>
      <c r="G725" s="7">
        <f t="shared" ref="G725:L726" si="429">G726</f>
        <v>0</v>
      </c>
      <c r="H725" s="7">
        <f t="shared" si="429"/>
        <v>0</v>
      </c>
      <c r="I725" s="7">
        <f t="shared" si="429"/>
        <v>0</v>
      </c>
      <c r="J725" s="7">
        <f t="shared" si="429"/>
        <v>0</v>
      </c>
      <c r="K725" s="7">
        <f t="shared" si="429"/>
        <v>0</v>
      </c>
      <c r="L725" s="7">
        <f t="shared" si="429"/>
        <v>0</v>
      </c>
      <c r="M725" s="7" t="e">
        <f t="shared" si="424"/>
        <v>#DIV/0!</v>
      </c>
    </row>
    <row r="726" spans="1:13" ht="47.25" hidden="1" customHeight="1" x14ac:dyDescent="0.25">
      <c r="A726" s="31" t="s">
        <v>323</v>
      </c>
      <c r="B726" s="42" t="s">
        <v>350</v>
      </c>
      <c r="C726" s="42" t="s">
        <v>169</v>
      </c>
      <c r="D726" s="42" t="s">
        <v>681</v>
      </c>
      <c r="E726" s="42" t="s">
        <v>324</v>
      </c>
      <c r="F726" s="7">
        <f>F727</f>
        <v>0</v>
      </c>
      <c r="G726" s="7">
        <f t="shared" si="429"/>
        <v>0</v>
      </c>
      <c r="H726" s="7">
        <f t="shared" si="429"/>
        <v>0</v>
      </c>
      <c r="I726" s="7">
        <f t="shared" si="429"/>
        <v>0</v>
      </c>
      <c r="J726" s="7">
        <f t="shared" si="429"/>
        <v>0</v>
      </c>
      <c r="K726" s="7">
        <f t="shared" si="429"/>
        <v>0</v>
      </c>
      <c r="L726" s="7">
        <f t="shared" si="429"/>
        <v>0</v>
      </c>
      <c r="M726" s="7" t="e">
        <f t="shared" si="424"/>
        <v>#DIV/0!</v>
      </c>
    </row>
    <row r="727" spans="1:13" ht="15.75" hidden="1" customHeight="1" x14ac:dyDescent="0.25">
      <c r="A727" s="31" t="s">
        <v>325</v>
      </c>
      <c r="B727" s="42" t="s">
        <v>350</v>
      </c>
      <c r="C727" s="42" t="s">
        <v>169</v>
      </c>
      <c r="D727" s="42" t="s">
        <v>681</v>
      </c>
      <c r="E727" s="42" t="s">
        <v>326</v>
      </c>
      <c r="F727" s="7"/>
      <c r="G727" s="7"/>
      <c r="H727" s="7"/>
      <c r="I727" s="7"/>
      <c r="J727" s="7"/>
      <c r="K727" s="7"/>
      <c r="L727" s="7"/>
      <c r="M727" s="7" t="e">
        <f t="shared" si="424"/>
        <v>#DIV/0!</v>
      </c>
    </row>
    <row r="728" spans="1:13" ht="31.5" hidden="1" customHeight="1" x14ac:dyDescent="0.25">
      <c r="A728" s="31" t="s">
        <v>331</v>
      </c>
      <c r="B728" s="42" t="s">
        <v>350</v>
      </c>
      <c r="C728" s="42" t="s">
        <v>169</v>
      </c>
      <c r="D728" s="42" t="s">
        <v>682</v>
      </c>
      <c r="E728" s="42"/>
      <c r="F728" s="7">
        <f>F729</f>
        <v>0</v>
      </c>
      <c r="G728" s="7">
        <f t="shared" ref="G728:L729" si="430">G729</f>
        <v>0</v>
      </c>
      <c r="H728" s="7">
        <f t="shared" si="430"/>
        <v>0</v>
      </c>
      <c r="I728" s="7">
        <f t="shared" si="430"/>
        <v>0</v>
      </c>
      <c r="J728" s="7">
        <f t="shared" si="430"/>
        <v>0</v>
      </c>
      <c r="K728" s="7">
        <f t="shared" si="430"/>
        <v>0</v>
      </c>
      <c r="L728" s="7">
        <f t="shared" si="430"/>
        <v>0</v>
      </c>
      <c r="M728" s="7" t="e">
        <f t="shared" si="424"/>
        <v>#DIV/0!</v>
      </c>
    </row>
    <row r="729" spans="1:13" ht="47.25" hidden="1" customHeight="1" x14ac:dyDescent="0.25">
      <c r="A729" s="31" t="s">
        <v>323</v>
      </c>
      <c r="B729" s="42" t="s">
        <v>350</v>
      </c>
      <c r="C729" s="42" t="s">
        <v>169</v>
      </c>
      <c r="D729" s="42" t="s">
        <v>682</v>
      </c>
      <c r="E729" s="42" t="s">
        <v>324</v>
      </c>
      <c r="F729" s="7">
        <f>F730</f>
        <v>0</v>
      </c>
      <c r="G729" s="7">
        <f t="shared" si="430"/>
        <v>0</v>
      </c>
      <c r="H729" s="7">
        <f t="shared" si="430"/>
        <v>0</v>
      </c>
      <c r="I729" s="7">
        <f t="shared" si="430"/>
        <v>0</v>
      </c>
      <c r="J729" s="7">
        <f t="shared" si="430"/>
        <v>0</v>
      </c>
      <c r="K729" s="7">
        <f t="shared" si="430"/>
        <v>0</v>
      </c>
      <c r="L729" s="7">
        <f t="shared" si="430"/>
        <v>0</v>
      </c>
      <c r="M729" s="7" t="e">
        <f t="shared" si="424"/>
        <v>#DIV/0!</v>
      </c>
    </row>
    <row r="730" spans="1:13" ht="15.75" hidden="1" customHeight="1" x14ac:dyDescent="0.25">
      <c r="A730" s="31" t="s">
        <v>325</v>
      </c>
      <c r="B730" s="42" t="s">
        <v>350</v>
      </c>
      <c r="C730" s="42" t="s">
        <v>169</v>
      </c>
      <c r="D730" s="42" t="s">
        <v>682</v>
      </c>
      <c r="E730" s="42" t="s">
        <v>326</v>
      </c>
      <c r="F730" s="7"/>
      <c r="G730" s="7"/>
      <c r="H730" s="7"/>
      <c r="I730" s="7"/>
      <c r="J730" s="7"/>
      <c r="K730" s="7"/>
      <c r="L730" s="7"/>
      <c r="M730" s="7" t="e">
        <f t="shared" si="424"/>
        <v>#DIV/0!</v>
      </c>
    </row>
    <row r="731" spans="1:13" ht="31.5" hidden="1" customHeight="1" x14ac:dyDescent="0.25">
      <c r="A731" s="31" t="s">
        <v>335</v>
      </c>
      <c r="B731" s="42" t="s">
        <v>350</v>
      </c>
      <c r="C731" s="42" t="s">
        <v>169</v>
      </c>
      <c r="D731" s="42" t="s">
        <v>683</v>
      </c>
      <c r="E731" s="42"/>
      <c r="F731" s="7">
        <f>F732</f>
        <v>0</v>
      </c>
      <c r="G731" s="7">
        <f t="shared" ref="G731:L732" si="431">G732</f>
        <v>0</v>
      </c>
      <c r="H731" s="7">
        <f t="shared" si="431"/>
        <v>0</v>
      </c>
      <c r="I731" s="7">
        <f t="shared" si="431"/>
        <v>0</v>
      </c>
      <c r="J731" s="7">
        <f t="shared" si="431"/>
        <v>0</v>
      </c>
      <c r="K731" s="7">
        <f t="shared" si="431"/>
        <v>0</v>
      </c>
      <c r="L731" s="7">
        <f t="shared" si="431"/>
        <v>0</v>
      </c>
      <c r="M731" s="7" t="e">
        <f t="shared" si="424"/>
        <v>#DIV/0!</v>
      </c>
    </row>
    <row r="732" spans="1:13" ht="47.25" hidden="1" customHeight="1" x14ac:dyDescent="0.25">
      <c r="A732" s="31" t="s">
        <v>323</v>
      </c>
      <c r="B732" s="42" t="s">
        <v>350</v>
      </c>
      <c r="C732" s="42" t="s">
        <v>169</v>
      </c>
      <c r="D732" s="42" t="s">
        <v>683</v>
      </c>
      <c r="E732" s="42" t="s">
        <v>324</v>
      </c>
      <c r="F732" s="7">
        <f>F733</f>
        <v>0</v>
      </c>
      <c r="G732" s="7">
        <f t="shared" si="431"/>
        <v>0</v>
      </c>
      <c r="H732" s="7">
        <f t="shared" si="431"/>
        <v>0</v>
      </c>
      <c r="I732" s="7">
        <f t="shared" si="431"/>
        <v>0</v>
      </c>
      <c r="J732" s="7">
        <f t="shared" si="431"/>
        <v>0</v>
      </c>
      <c r="K732" s="7">
        <f t="shared" si="431"/>
        <v>0</v>
      </c>
      <c r="L732" s="7">
        <f t="shared" si="431"/>
        <v>0</v>
      </c>
      <c r="M732" s="7" t="e">
        <f t="shared" si="424"/>
        <v>#DIV/0!</v>
      </c>
    </row>
    <row r="733" spans="1:13" ht="15.75" hidden="1" customHeight="1" x14ac:dyDescent="0.25">
      <c r="A733" s="31" t="s">
        <v>325</v>
      </c>
      <c r="B733" s="42" t="s">
        <v>350</v>
      </c>
      <c r="C733" s="42" t="s">
        <v>169</v>
      </c>
      <c r="D733" s="42" t="s">
        <v>683</v>
      </c>
      <c r="E733" s="42" t="s">
        <v>326</v>
      </c>
      <c r="F733" s="7"/>
      <c r="G733" s="7"/>
      <c r="H733" s="7"/>
      <c r="I733" s="7"/>
      <c r="J733" s="7"/>
      <c r="K733" s="7"/>
      <c r="L733" s="7"/>
      <c r="M733" s="7" t="e">
        <f t="shared" si="424"/>
        <v>#DIV/0!</v>
      </c>
    </row>
    <row r="734" spans="1:13" ht="31.5" hidden="1" customHeight="1" x14ac:dyDescent="0.25">
      <c r="A734" s="70" t="s">
        <v>372</v>
      </c>
      <c r="B734" s="42" t="s">
        <v>350</v>
      </c>
      <c r="C734" s="42" t="s">
        <v>169</v>
      </c>
      <c r="D734" s="42" t="s">
        <v>373</v>
      </c>
      <c r="E734" s="42"/>
      <c r="F734" s="7">
        <f>F735</f>
        <v>0</v>
      </c>
      <c r="G734" s="7">
        <f t="shared" ref="G734:L734" si="432">G735</f>
        <v>0</v>
      </c>
      <c r="H734" s="7">
        <f t="shared" si="432"/>
        <v>0</v>
      </c>
      <c r="I734" s="7">
        <f t="shared" si="432"/>
        <v>0</v>
      </c>
      <c r="J734" s="7">
        <f t="shared" si="432"/>
        <v>0</v>
      </c>
      <c r="K734" s="7">
        <f t="shared" si="432"/>
        <v>0</v>
      </c>
      <c r="L734" s="7">
        <f t="shared" si="432"/>
        <v>0</v>
      </c>
      <c r="M734" s="7" t="e">
        <f t="shared" si="424"/>
        <v>#DIV/0!</v>
      </c>
    </row>
    <row r="735" spans="1:13" ht="47.25" hidden="1" customHeight="1" x14ac:dyDescent="0.25">
      <c r="A735" s="31" t="s">
        <v>323</v>
      </c>
      <c r="B735" s="42" t="s">
        <v>350</v>
      </c>
      <c r="C735" s="42" t="s">
        <v>169</v>
      </c>
      <c r="D735" s="42" t="s">
        <v>373</v>
      </c>
      <c r="E735" s="42" t="s">
        <v>324</v>
      </c>
      <c r="F735" s="7">
        <f>F739</f>
        <v>0</v>
      </c>
      <c r="G735" s="7">
        <f t="shared" ref="G735:K735" si="433">G739</f>
        <v>0</v>
      </c>
      <c r="H735" s="7">
        <f t="shared" si="433"/>
        <v>0</v>
      </c>
      <c r="I735" s="7">
        <f t="shared" si="433"/>
        <v>0</v>
      </c>
      <c r="J735" s="7">
        <f t="shared" si="433"/>
        <v>0</v>
      </c>
      <c r="K735" s="7">
        <f t="shared" si="433"/>
        <v>0</v>
      </c>
      <c r="L735" s="7">
        <f t="shared" ref="L735" si="434">L739</f>
        <v>0</v>
      </c>
      <c r="M735" s="7" t="e">
        <f t="shared" si="424"/>
        <v>#DIV/0!</v>
      </c>
    </row>
    <row r="736" spans="1:13" ht="15.75" x14ac:dyDescent="0.25">
      <c r="A736" s="26" t="s">
        <v>764</v>
      </c>
      <c r="B736" s="42" t="s">
        <v>350</v>
      </c>
      <c r="C736" s="42" t="s">
        <v>169</v>
      </c>
      <c r="D736" s="21" t="s">
        <v>765</v>
      </c>
      <c r="E736" s="42"/>
      <c r="F736" s="7">
        <f>F737</f>
        <v>0.4</v>
      </c>
      <c r="G736" s="7">
        <f t="shared" ref="G736:L737" si="435">G737</f>
        <v>0.4</v>
      </c>
      <c r="H736" s="7">
        <f t="shared" si="435"/>
        <v>0</v>
      </c>
      <c r="I736" s="7">
        <f t="shared" si="435"/>
        <v>0</v>
      </c>
      <c r="J736" s="7">
        <f t="shared" si="435"/>
        <v>0</v>
      </c>
      <c r="K736" s="7">
        <f t="shared" si="435"/>
        <v>0.5</v>
      </c>
      <c r="L736" s="7">
        <f t="shared" si="435"/>
        <v>0</v>
      </c>
      <c r="M736" s="7">
        <f t="shared" si="424"/>
        <v>0</v>
      </c>
    </row>
    <row r="737" spans="1:13" ht="47.25" x14ac:dyDescent="0.25">
      <c r="A737" s="26" t="s">
        <v>323</v>
      </c>
      <c r="B737" s="42" t="s">
        <v>350</v>
      </c>
      <c r="C737" s="42" t="s">
        <v>169</v>
      </c>
      <c r="D737" s="21" t="s">
        <v>765</v>
      </c>
      <c r="E737" s="42" t="s">
        <v>324</v>
      </c>
      <c r="F737" s="7">
        <f>F738</f>
        <v>0.4</v>
      </c>
      <c r="G737" s="7">
        <f t="shared" si="435"/>
        <v>0.4</v>
      </c>
      <c r="H737" s="7">
        <f t="shared" si="435"/>
        <v>0</v>
      </c>
      <c r="I737" s="7">
        <f t="shared" si="435"/>
        <v>0</v>
      </c>
      <c r="J737" s="7">
        <f t="shared" si="435"/>
        <v>0</v>
      </c>
      <c r="K737" s="7">
        <f t="shared" si="435"/>
        <v>0.5</v>
      </c>
      <c r="L737" s="7">
        <f t="shared" si="435"/>
        <v>0</v>
      </c>
      <c r="M737" s="7">
        <f t="shared" si="424"/>
        <v>0</v>
      </c>
    </row>
    <row r="738" spans="1:13" ht="15.75" x14ac:dyDescent="0.25">
      <c r="A738" s="26" t="s">
        <v>325</v>
      </c>
      <c r="B738" s="42" t="s">
        <v>350</v>
      </c>
      <c r="C738" s="42" t="s">
        <v>169</v>
      </c>
      <c r="D738" s="21" t="s">
        <v>765</v>
      </c>
      <c r="E738" s="42" t="s">
        <v>326</v>
      </c>
      <c r="F738" s="7">
        <f>'Прил.№4 ведомств.'!G370</f>
        <v>0.4</v>
      </c>
      <c r="G738" s="7">
        <f>'Прил.№4 ведомств.'!I370</f>
        <v>0.4</v>
      </c>
      <c r="H738" s="7">
        <f>'Прил.№4 ведомств.'!J370</f>
        <v>0</v>
      </c>
      <c r="I738" s="7">
        <f>'Прил.№4 ведомств.'!K370</f>
        <v>0</v>
      </c>
      <c r="J738" s="7">
        <f>'Прил.№4 ведомств.'!L370</f>
        <v>0</v>
      </c>
      <c r="K738" s="7">
        <f>'Прил.№4 ведомств.'!M370</f>
        <v>0.5</v>
      </c>
      <c r="L738" s="7">
        <f>'Прил.№4 ведомств.'!N370</f>
        <v>0</v>
      </c>
      <c r="M738" s="7">
        <f t="shared" si="424"/>
        <v>0</v>
      </c>
    </row>
    <row r="739" spans="1:13" ht="15.75" hidden="1" x14ac:dyDescent="0.25">
      <c r="A739" s="31" t="s">
        <v>325</v>
      </c>
      <c r="B739" s="42" t="s">
        <v>350</v>
      </c>
      <c r="C739" s="42" t="s">
        <v>169</v>
      </c>
      <c r="D739" s="42" t="s">
        <v>373</v>
      </c>
      <c r="E739" s="42" t="s">
        <v>326</v>
      </c>
      <c r="F739" s="7">
        <v>0</v>
      </c>
      <c r="G739" s="7">
        <v>0</v>
      </c>
      <c r="H739" s="7">
        <v>0</v>
      </c>
      <c r="I739" s="7">
        <v>0</v>
      </c>
      <c r="J739" s="7">
        <v>0</v>
      </c>
      <c r="K739" s="7">
        <v>0</v>
      </c>
      <c r="L739" s="7">
        <v>0</v>
      </c>
      <c r="M739" s="7" t="e">
        <f t="shared" si="424"/>
        <v>#DIV/0!</v>
      </c>
    </row>
    <row r="740" spans="1:13" ht="31.5" hidden="1" x14ac:dyDescent="0.25">
      <c r="A740" s="26" t="s">
        <v>335</v>
      </c>
      <c r="B740" s="21" t="s">
        <v>350</v>
      </c>
      <c r="C740" s="21" t="s">
        <v>169</v>
      </c>
      <c r="D740" s="21" t="s">
        <v>371</v>
      </c>
      <c r="E740" s="21"/>
      <c r="F740" s="7">
        <f>F741</f>
        <v>0</v>
      </c>
      <c r="G740" s="7">
        <f t="shared" ref="G740:L741" si="436">G741</f>
        <v>0</v>
      </c>
      <c r="H740" s="7">
        <f t="shared" si="436"/>
        <v>275</v>
      </c>
      <c r="I740" s="7">
        <f t="shared" si="436"/>
        <v>275</v>
      </c>
      <c r="J740" s="7">
        <f t="shared" si="436"/>
        <v>275</v>
      </c>
      <c r="K740" s="7">
        <f t="shared" si="436"/>
        <v>0</v>
      </c>
      <c r="L740" s="7">
        <f t="shared" si="436"/>
        <v>0</v>
      </c>
      <c r="M740" s="7" t="e">
        <f t="shared" si="424"/>
        <v>#DIV/0!</v>
      </c>
    </row>
    <row r="741" spans="1:13" ht="47.25" hidden="1" x14ac:dyDescent="0.25">
      <c r="A741" s="26" t="s">
        <v>323</v>
      </c>
      <c r="B741" s="21" t="s">
        <v>350</v>
      </c>
      <c r="C741" s="21" t="s">
        <v>169</v>
      </c>
      <c r="D741" s="21" t="s">
        <v>371</v>
      </c>
      <c r="E741" s="21" t="s">
        <v>324</v>
      </c>
      <c r="F741" s="7">
        <f>F742</f>
        <v>0</v>
      </c>
      <c r="G741" s="7">
        <f t="shared" si="436"/>
        <v>0</v>
      </c>
      <c r="H741" s="7">
        <f t="shared" si="436"/>
        <v>275</v>
      </c>
      <c r="I741" s="7">
        <f t="shared" si="436"/>
        <v>275</v>
      </c>
      <c r="J741" s="7">
        <f t="shared" si="436"/>
        <v>275</v>
      </c>
      <c r="K741" s="7">
        <f t="shared" si="436"/>
        <v>0</v>
      </c>
      <c r="L741" s="7">
        <f t="shared" si="436"/>
        <v>0</v>
      </c>
      <c r="M741" s="7" t="e">
        <f t="shared" si="424"/>
        <v>#DIV/0!</v>
      </c>
    </row>
    <row r="742" spans="1:13" ht="15.75" hidden="1" x14ac:dyDescent="0.25">
      <c r="A742" s="26" t="s">
        <v>325</v>
      </c>
      <c r="B742" s="21" t="s">
        <v>350</v>
      </c>
      <c r="C742" s="21" t="s">
        <v>169</v>
      </c>
      <c r="D742" s="21" t="s">
        <v>371</v>
      </c>
      <c r="E742" s="21" t="s">
        <v>326</v>
      </c>
      <c r="F742" s="7">
        <f>'Прил.№4 ведомств.'!G382</f>
        <v>0</v>
      </c>
      <c r="G742" s="7">
        <f>'Прил.№4 ведомств.'!I382</f>
        <v>0</v>
      </c>
      <c r="H742" s="7">
        <f>'Прил.№4 ведомств.'!J382</f>
        <v>275</v>
      </c>
      <c r="I742" s="7">
        <f>'Прил.№4 ведомств.'!K382</f>
        <v>275</v>
      </c>
      <c r="J742" s="7">
        <f>'Прил.№4 ведомств.'!L382</f>
        <v>275</v>
      </c>
      <c r="K742" s="7">
        <f>'Прил.№4 ведомств.'!M382</f>
        <v>0</v>
      </c>
      <c r="L742" s="7">
        <f>'Прил.№4 ведомств.'!N382</f>
        <v>0</v>
      </c>
      <c r="M742" s="7" t="e">
        <f t="shared" si="424"/>
        <v>#DIV/0!</v>
      </c>
    </row>
    <row r="743" spans="1:13" ht="31.5" x14ac:dyDescent="0.25">
      <c r="A743" s="37" t="s">
        <v>372</v>
      </c>
      <c r="B743" s="21" t="s">
        <v>350</v>
      </c>
      <c r="C743" s="21" t="s">
        <v>169</v>
      </c>
      <c r="D743" s="21" t="s">
        <v>373</v>
      </c>
      <c r="E743" s="21"/>
      <c r="F743" s="7"/>
      <c r="G743" s="7"/>
      <c r="H743" s="7"/>
      <c r="I743" s="7"/>
      <c r="J743" s="7"/>
      <c r="K743" s="7">
        <f>K744</f>
        <v>180</v>
      </c>
      <c r="L743" s="7">
        <f t="shared" ref="L743:L744" si="437">L744</f>
        <v>0</v>
      </c>
      <c r="M743" s="7">
        <f t="shared" si="424"/>
        <v>0</v>
      </c>
    </row>
    <row r="744" spans="1:13" ht="47.25" x14ac:dyDescent="0.25">
      <c r="A744" s="26" t="s">
        <v>323</v>
      </c>
      <c r="B744" s="21" t="s">
        <v>350</v>
      </c>
      <c r="C744" s="21" t="s">
        <v>169</v>
      </c>
      <c r="D744" s="21" t="s">
        <v>373</v>
      </c>
      <c r="E744" s="21" t="s">
        <v>324</v>
      </c>
      <c r="F744" s="7"/>
      <c r="G744" s="7"/>
      <c r="H744" s="7"/>
      <c r="I744" s="7"/>
      <c r="J744" s="7"/>
      <c r="K744" s="7">
        <f>K745</f>
        <v>180</v>
      </c>
      <c r="L744" s="7">
        <f t="shared" si="437"/>
        <v>0</v>
      </c>
      <c r="M744" s="7">
        <f t="shared" si="424"/>
        <v>0</v>
      </c>
    </row>
    <row r="745" spans="1:13" ht="15.75" x14ac:dyDescent="0.25">
      <c r="A745" s="26" t="s">
        <v>325</v>
      </c>
      <c r="B745" s="21" t="s">
        <v>350</v>
      </c>
      <c r="C745" s="21" t="s">
        <v>169</v>
      </c>
      <c r="D745" s="21" t="s">
        <v>373</v>
      </c>
      <c r="E745" s="21" t="s">
        <v>326</v>
      </c>
      <c r="F745" s="7"/>
      <c r="G745" s="7"/>
      <c r="H745" s="7"/>
      <c r="I745" s="7"/>
      <c r="J745" s="7"/>
      <c r="K745" s="7">
        <f>'Прил.№4 ведомств.'!M385</f>
        <v>180</v>
      </c>
      <c r="L745" s="7">
        <f>'Прил.№4 ведомств.'!N385</f>
        <v>0</v>
      </c>
      <c r="M745" s="7">
        <f t="shared" si="424"/>
        <v>0</v>
      </c>
    </row>
    <row r="746" spans="1:13" ht="31.5" x14ac:dyDescent="0.25">
      <c r="A746" s="213" t="s">
        <v>861</v>
      </c>
      <c r="B746" s="21" t="s">
        <v>350</v>
      </c>
      <c r="C746" s="21" t="s">
        <v>169</v>
      </c>
      <c r="D746" s="21" t="s">
        <v>874</v>
      </c>
      <c r="E746" s="21"/>
      <c r="F746" s="7">
        <f>F747</f>
        <v>0</v>
      </c>
      <c r="G746" s="7">
        <f t="shared" ref="G746:L747" si="438">G747</f>
        <v>0</v>
      </c>
      <c r="H746" s="7">
        <f t="shared" si="438"/>
        <v>650.20000000000005</v>
      </c>
      <c r="I746" s="7">
        <f t="shared" si="438"/>
        <v>650.20000000000005</v>
      </c>
      <c r="J746" s="7">
        <f t="shared" si="438"/>
        <v>650.20000000000005</v>
      </c>
      <c r="K746" s="7">
        <f t="shared" si="438"/>
        <v>650.20000000000005</v>
      </c>
      <c r="L746" s="7">
        <f t="shared" si="438"/>
        <v>650.20000000000005</v>
      </c>
      <c r="M746" s="7">
        <f t="shared" si="424"/>
        <v>100</v>
      </c>
    </row>
    <row r="747" spans="1:13" ht="47.25" x14ac:dyDescent="0.25">
      <c r="A747" s="112" t="s">
        <v>323</v>
      </c>
      <c r="B747" s="21" t="s">
        <v>350</v>
      </c>
      <c r="C747" s="21" t="s">
        <v>169</v>
      </c>
      <c r="D747" s="21" t="s">
        <v>874</v>
      </c>
      <c r="E747" s="21" t="s">
        <v>324</v>
      </c>
      <c r="F747" s="7">
        <f>F748</f>
        <v>0</v>
      </c>
      <c r="G747" s="7">
        <f t="shared" si="438"/>
        <v>0</v>
      </c>
      <c r="H747" s="7">
        <f t="shared" si="438"/>
        <v>650.20000000000005</v>
      </c>
      <c r="I747" s="7">
        <f t="shared" si="438"/>
        <v>650.20000000000005</v>
      </c>
      <c r="J747" s="7">
        <f t="shared" si="438"/>
        <v>650.20000000000005</v>
      </c>
      <c r="K747" s="7">
        <f t="shared" si="438"/>
        <v>650.20000000000005</v>
      </c>
      <c r="L747" s="7">
        <f t="shared" si="438"/>
        <v>650.20000000000005</v>
      </c>
      <c r="M747" s="7">
        <f t="shared" si="424"/>
        <v>100</v>
      </c>
    </row>
    <row r="748" spans="1:13" ht="15.75" x14ac:dyDescent="0.25">
      <c r="A748" s="214" t="s">
        <v>325</v>
      </c>
      <c r="B748" s="21" t="s">
        <v>350</v>
      </c>
      <c r="C748" s="21" t="s">
        <v>169</v>
      </c>
      <c r="D748" s="21" t="s">
        <v>874</v>
      </c>
      <c r="E748" s="21" t="s">
        <v>326</v>
      </c>
      <c r="F748" s="7">
        <f>'Прил.№4 ведомств.'!G388</f>
        <v>0</v>
      </c>
      <c r="G748" s="7">
        <f>'Прил.№4 ведомств.'!I388</f>
        <v>0</v>
      </c>
      <c r="H748" s="7">
        <f>'Прил.№4 ведомств.'!J388</f>
        <v>650.20000000000005</v>
      </c>
      <c r="I748" s="7">
        <f>'Прил.№4 ведомств.'!K388</f>
        <v>650.20000000000005</v>
      </c>
      <c r="J748" s="7">
        <f>'Прил.№4 ведомств.'!L388</f>
        <v>650.20000000000005</v>
      </c>
      <c r="K748" s="7">
        <f>'Прил.№4 ведомств.'!M388</f>
        <v>650.20000000000005</v>
      </c>
      <c r="L748" s="7">
        <f>'Прил.№4 ведомств.'!N388</f>
        <v>650.20000000000005</v>
      </c>
      <c r="M748" s="7">
        <f t="shared" si="424"/>
        <v>100</v>
      </c>
    </row>
    <row r="749" spans="1:13" ht="63" hidden="1" x14ac:dyDescent="0.25">
      <c r="A749" s="31" t="s">
        <v>374</v>
      </c>
      <c r="B749" s="42" t="s">
        <v>350</v>
      </c>
      <c r="C749" s="42" t="s">
        <v>169</v>
      </c>
      <c r="D749" s="42" t="s">
        <v>375</v>
      </c>
      <c r="E749" s="21"/>
      <c r="F749" s="7">
        <f>F750</f>
        <v>200</v>
      </c>
      <c r="G749" s="7">
        <f t="shared" ref="G749:L751" si="439">G750</f>
        <v>200</v>
      </c>
      <c r="H749" s="7">
        <f t="shared" si="439"/>
        <v>0</v>
      </c>
      <c r="I749" s="7">
        <f t="shared" si="439"/>
        <v>0</v>
      </c>
      <c r="J749" s="7">
        <f t="shared" si="439"/>
        <v>0</v>
      </c>
      <c r="K749" s="7">
        <f t="shared" si="439"/>
        <v>0</v>
      </c>
      <c r="L749" s="7">
        <f t="shared" si="439"/>
        <v>0</v>
      </c>
      <c r="M749" s="7" t="e">
        <f t="shared" si="424"/>
        <v>#DIV/0!</v>
      </c>
    </row>
    <row r="750" spans="1:13" ht="47.25" hidden="1" x14ac:dyDescent="0.25">
      <c r="A750" s="26" t="s">
        <v>684</v>
      </c>
      <c r="B750" s="42" t="s">
        <v>350</v>
      </c>
      <c r="C750" s="42" t="s">
        <v>169</v>
      </c>
      <c r="D750" s="42" t="s">
        <v>377</v>
      </c>
      <c r="E750" s="21"/>
      <c r="F750" s="7">
        <f>F751</f>
        <v>200</v>
      </c>
      <c r="G750" s="7">
        <f t="shared" si="439"/>
        <v>200</v>
      </c>
      <c r="H750" s="7">
        <f t="shared" si="439"/>
        <v>0</v>
      </c>
      <c r="I750" s="7">
        <f t="shared" si="439"/>
        <v>0</v>
      </c>
      <c r="J750" s="7">
        <f t="shared" si="439"/>
        <v>0</v>
      </c>
      <c r="K750" s="7">
        <f t="shared" si="439"/>
        <v>0</v>
      </c>
      <c r="L750" s="7">
        <f t="shared" si="439"/>
        <v>0</v>
      </c>
      <c r="M750" s="7" t="e">
        <f t="shared" si="424"/>
        <v>#DIV/0!</v>
      </c>
    </row>
    <row r="751" spans="1:13" ht="47.25" hidden="1" x14ac:dyDescent="0.25">
      <c r="A751" s="31" t="s">
        <v>323</v>
      </c>
      <c r="B751" s="42" t="s">
        <v>350</v>
      </c>
      <c r="C751" s="42" t="s">
        <v>169</v>
      </c>
      <c r="D751" s="42" t="s">
        <v>377</v>
      </c>
      <c r="E751" s="21" t="s">
        <v>324</v>
      </c>
      <c r="F751" s="7">
        <f>F752</f>
        <v>200</v>
      </c>
      <c r="G751" s="7">
        <f t="shared" si="439"/>
        <v>200</v>
      </c>
      <c r="H751" s="7">
        <f t="shared" si="439"/>
        <v>0</v>
      </c>
      <c r="I751" s="7">
        <f t="shared" si="439"/>
        <v>0</v>
      </c>
      <c r="J751" s="7">
        <f t="shared" si="439"/>
        <v>0</v>
      </c>
      <c r="K751" s="7">
        <f t="shared" si="439"/>
        <v>0</v>
      </c>
      <c r="L751" s="7">
        <f t="shared" si="439"/>
        <v>0</v>
      </c>
      <c r="M751" s="7" t="e">
        <f t="shared" si="424"/>
        <v>#DIV/0!</v>
      </c>
    </row>
    <row r="752" spans="1:13" ht="15.75" hidden="1" x14ac:dyDescent="0.25">
      <c r="A752" s="31" t="s">
        <v>325</v>
      </c>
      <c r="B752" s="42" t="s">
        <v>350</v>
      </c>
      <c r="C752" s="42" t="s">
        <v>169</v>
      </c>
      <c r="D752" s="42" t="s">
        <v>377</v>
      </c>
      <c r="E752" s="21" t="s">
        <v>326</v>
      </c>
      <c r="F752" s="7">
        <f>'Прил.№4 ведомств.'!G392</f>
        <v>200</v>
      </c>
      <c r="G752" s="7">
        <f>'Прил.№4 ведомств.'!I392</f>
        <v>200</v>
      </c>
      <c r="H752" s="7">
        <f>'Прил.№4 ведомств.'!J392</f>
        <v>0</v>
      </c>
      <c r="I752" s="7">
        <f>'Прил.№4 ведомств.'!K392</f>
        <v>0</v>
      </c>
      <c r="J752" s="7">
        <f>'Прил.№4 ведомств.'!L392</f>
        <v>0</v>
      </c>
      <c r="K752" s="7">
        <f>'Прил.№4 ведомств.'!M392</f>
        <v>0</v>
      </c>
      <c r="L752" s="7">
        <f>'Прил.№4 ведомств.'!N392</f>
        <v>0</v>
      </c>
      <c r="M752" s="7" t="e">
        <f t="shared" si="424"/>
        <v>#DIV/0!</v>
      </c>
    </row>
    <row r="753" spans="1:13" ht="15.75" x14ac:dyDescent="0.25">
      <c r="A753" s="31" t="s">
        <v>172</v>
      </c>
      <c r="B753" s="42" t="s">
        <v>350</v>
      </c>
      <c r="C753" s="42" t="s">
        <v>169</v>
      </c>
      <c r="D753" s="42" t="s">
        <v>173</v>
      </c>
      <c r="E753" s="42"/>
      <c r="F753" s="7">
        <f>F754</f>
        <v>2137.9</v>
      </c>
      <c r="G753" s="7">
        <f t="shared" ref="G753:L753" si="440">G754</f>
        <v>2137.9</v>
      </c>
      <c r="H753" s="7">
        <f t="shared" si="440"/>
        <v>2133.9</v>
      </c>
      <c r="I753" s="7">
        <f t="shared" si="440"/>
        <v>2133.9</v>
      </c>
      <c r="J753" s="7">
        <f t="shared" si="440"/>
        <v>2133.9</v>
      </c>
      <c r="K753" s="7">
        <f t="shared" si="440"/>
        <v>2103.1000000000004</v>
      </c>
      <c r="L753" s="7">
        <f t="shared" si="440"/>
        <v>1572.1999999999998</v>
      </c>
      <c r="M753" s="7">
        <f t="shared" si="424"/>
        <v>74.756312110693713</v>
      </c>
    </row>
    <row r="754" spans="1:13" ht="31.5" x14ac:dyDescent="0.25">
      <c r="A754" s="31" t="s">
        <v>236</v>
      </c>
      <c r="B754" s="42" t="s">
        <v>350</v>
      </c>
      <c r="C754" s="42" t="s">
        <v>169</v>
      </c>
      <c r="D754" s="42" t="s">
        <v>237</v>
      </c>
      <c r="E754" s="42"/>
      <c r="F754" s="7">
        <f>F757+F759+F762+F764+F767+F768+F771</f>
        <v>2137.9</v>
      </c>
      <c r="G754" s="7">
        <f t="shared" ref="G754:K754" si="441">G757+G759+G762+G764+G767+G768+G771</f>
        <v>2137.9</v>
      </c>
      <c r="H754" s="7">
        <f t="shared" si="441"/>
        <v>2133.9</v>
      </c>
      <c r="I754" s="7">
        <f t="shared" si="441"/>
        <v>2133.9</v>
      </c>
      <c r="J754" s="7">
        <f t="shared" si="441"/>
        <v>2133.9</v>
      </c>
      <c r="K754" s="7">
        <f t="shared" si="441"/>
        <v>2103.1000000000004</v>
      </c>
      <c r="L754" s="7">
        <f t="shared" ref="L754" si="442">L757+L759+L762+L764+L767+L768+L771</f>
        <v>1572.1999999999998</v>
      </c>
      <c r="M754" s="7">
        <f t="shared" si="424"/>
        <v>74.756312110693713</v>
      </c>
    </row>
    <row r="755" spans="1:13" ht="31.5" hidden="1" customHeight="1" x14ac:dyDescent="0.25">
      <c r="A755" s="69" t="s">
        <v>378</v>
      </c>
      <c r="B755" s="42" t="s">
        <v>350</v>
      </c>
      <c r="C755" s="42" t="s">
        <v>169</v>
      </c>
      <c r="D755" s="42" t="s">
        <v>379</v>
      </c>
      <c r="E755" s="42"/>
      <c r="F755" s="7">
        <f>F756+F758</f>
        <v>0</v>
      </c>
      <c r="G755" s="7">
        <f t="shared" ref="G755:K755" si="443">G756+G758</f>
        <v>0</v>
      </c>
      <c r="H755" s="7">
        <f t="shared" si="443"/>
        <v>0</v>
      </c>
      <c r="I755" s="7">
        <f t="shared" si="443"/>
        <v>0</v>
      </c>
      <c r="J755" s="7">
        <f t="shared" si="443"/>
        <v>0</v>
      </c>
      <c r="K755" s="7">
        <f t="shared" si="443"/>
        <v>0</v>
      </c>
      <c r="L755" s="7">
        <f t="shared" ref="L755" si="444">L756+L758</f>
        <v>0</v>
      </c>
      <c r="M755" s="7" t="e">
        <f t="shared" si="424"/>
        <v>#DIV/0!</v>
      </c>
    </row>
    <row r="756" spans="1:13" ht="31.5" hidden="1" customHeight="1" x14ac:dyDescent="0.25">
      <c r="A756" s="31" t="s">
        <v>182</v>
      </c>
      <c r="B756" s="42" t="s">
        <v>350</v>
      </c>
      <c r="C756" s="42" t="s">
        <v>169</v>
      </c>
      <c r="D756" s="42" t="s">
        <v>379</v>
      </c>
      <c r="E756" s="42" t="s">
        <v>183</v>
      </c>
      <c r="F756" s="7">
        <f>F757</f>
        <v>0</v>
      </c>
      <c r="G756" s="7">
        <f t="shared" ref="G756:L756" si="445">G757</f>
        <v>0</v>
      </c>
      <c r="H756" s="7">
        <f t="shared" si="445"/>
        <v>0</v>
      </c>
      <c r="I756" s="7">
        <f t="shared" si="445"/>
        <v>0</v>
      </c>
      <c r="J756" s="7">
        <f t="shared" si="445"/>
        <v>0</v>
      </c>
      <c r="K756" s="7">
        <f t="shared" si="445"/>
        <v>0</v>
      </c>
      <c r="L756" s="7">
        <f t="shared" si="445"/>
        <v>0</v>
      </c>
      <c r="M756" s="7" t="e">
        <f t="shared" si="424"/>
        <v>#DIV/0!</v>
      </c>
    </row>
    <row r="757" spans="1:13" ht="47.25" hidden="1" customHeight="1" x14ac:dyDescent="0.25">
      <c r="A757" s="31" t="s">
        <v>184</v>
      </c>
      <c r="B757" s="42" t="s">
        <v>350</v>
      </c>
      <c r="C757" s="42" t="s">
        <v>169</v>
      </c>
      <c r="D757" s="42" t="s">
        <v>379</v>
      </c>
      <c r="E757" s="42" t="s">
        <v>185</v>
      </c>
      <c r="F757" s="7">
        <v>0</v>
      </c>
      <c r="G757" s="7">
        <v>0</v>
      </c>
      <c r="H757" s="7">
        <v>0</v>
      </c>
      <c r="I757" s="7">
        <v>0</v>
      </c>
      <c r="J757" s="7">
        <v>0</v>
      </c>
      <c r="K757" s="7">
        <v>0</v>
      </c>
      <c r="L757" s="7">
        <v>0</v>
      </c>
      <c r="M757" s="7" t="e">
        <f t="shared" si="424"/>
        <v>#DIV/0!</v>
      </c>
    </row>
    <row r="758" spans="1:13" ht="47.25" hidden="1" customHeight="1" x14ac:dyDescent="0.25">
      <c r="A758" s="31" t="s">
        <v>323</v>
      </c>
      <c r="B758" s="42" t="s">
        <v>350</v>
      </c>
      <c r="C758" s="42" t="s">
        <v>169</v>
      </c>
      <c r="D758" s="42" t="s">
        <v>379</v>
      </c>
      <c r="E758" s="42" t="s">
        <v>324</v>
      </c>
      <c r="F758" s="7">
        <f>F759</f>
        <v>0</v>
      </c>
      <c r="G758" s="7">
        <f t="shared" ref="G758:L758" si="446">G759</f>
        <v>0</v>
      </c>
      <c r="H758" s="7">
        <f t="shared" si="446"/>
        <v>0</v>
      </c>
      <c r="I758" s="7">
        <f t="shared" si="446"/>
        <v>0</v>
      </c>
      <c r="J758" s="7">
        <f t="shared" si="446"/>
        <v>0</v>
      </c>
      <c r="K758" s="7">
        <f t="shared" si="446"/>
        <v>0</v>
      </c>
      <c r="L758" s="7">
        <f t="shared" si="446"/>
        <v>0</v>
      </c>
      <c r="M758" s="7" t="e">
        <f t="shared" si="424"/>
        <v>#DIV/0!</v>
      </c>
    </row>
    <row r="759" spans="1:13" ht="15.75" hidden="1" customHeight="1" x14ac:dyDescent="0.25">
      <c r="A759" s="31" t="s">
        <v>325</v>
      </c>
      <c r="B759" s="42" t="s">
        <v>350</v>
      </c>
      <c r="C759" s="42" t="s">
        <v>169</v>
      </c>
      <c r="D759" s="42" t="s">
        <v>379</v>
      </c>
      <c r="E759" s="42" t="s">
        <v>326</v>
      </c>
      <c r="F759" s="7">
        <v>0</v>
      </c>
      <c r="G759" s="7">
        <v>0</v>
      </c>
      <c r="H759" s="7">
        <v>0</v>
      </c>
      <c r="I759" s="7">
        <v>0</v>
      </c>
      <c r="J759" s="7">
        <v>0</v>
      </c>
      <c r="K759" s="7">
        <v>0</v>
      </c>
      <c r="L759" s="7">
        <v>0</v>
      </c>
      <c r="M759" s="7" t="e">
        <f t="shared" si="424"/>
        <v>#DIV/0!</v>
      </c>
    </row>
    <row r="760" spans="1:13" ht="31.5" x14ac:dyDescent="0.25">
      <c r="A760" s="31" t="s">
        <v>366</v>
      </c>
      <c r="B760" s="42" t="s">
        <v>350</v>
      </c>
      <c r="C760" s="42" t="s">
        <v>169</v>
      </c>
      <c r="D760" s="42" t="s">
        <v>381</v>
      </c>
      <c r="E760" s="42"/>
      <c r="F760" s="7">
        <f>F763+F761</f>
        <v>177.3</v>
      </c>
      <c r="G760" s="7">
        <f t="shared" ref="G760:K760" si="447">G763+G761</f>
        <v>177.3</v>
      </c>
      <c r="H760" s="7">
        <f t="shared" si="447"/>
        <v>177.3</v>
      </c>
      <c r="I760" s="7">
        <f t="shared" si="447"/>
        <v>177.3</v>
      </c>
      <c r="J760" s="7">
        <f t="shared" si="447"/>
        <v>177.3</v>
      </c>
      <c r="K760" s="7">
        <f t="shared" si="447"/>
        <v>177.3</v>
      </c>
      <c r="L760" s="7">
        <f t="shared" ref="L760" si="448">L763+L761</f>
        <v>177.3</v>
      </c>
      <c r="M760" s="7">
        <f t="shared" si="424"/>
        <v>100</v>
      </c>
    </row>
    <row r="761" spans="1:13" ht="31.5" hidden="1" customHeight="1" x14ac:dyDescent="0.25">
      <c r="A761" s="31" t="s">
        <v>182</v>
      </c>
      <c r="B761" s="42" t="s">
        <v>350</v>
      </c>
      <c r="C761" s="42" t="s">
        <v>169</v>
      </c>
      <c r="D761" s="42" t="s">
        <v>381</v>
      </c>
      <c r="E761" s="42" t="s">
        <v>183</v>
      </c>
      <c r="F761" s="7">
        <f>F762</f>
        <v>0</v>
      </c>
      <c r="G761" s="7">
        <f t="shared" ref="G761:L761" si="449">G762</f>
        <v>0</v>
      </c>
      <c r="H761" s="7">
        <f t="shared" si="449"/>
        <v>0</v>
      </c>
      <c r="I761" s="7">
        <f t="shared" si="449"/>
        <v>0</v>
      </c>
      <c r="J761" s="7">
        <f t="shared" si="449"/>
        <v>0</v>
      </c>
      <c r="K761" s="7">
        <f t="shared" si="449"/>
        <v>0</v>
      </c>
      <c r="L761" s="7">
        <f t="shared" si="449"/>
        <v>0</v>
      </c>
      <c r="M761" s="7" t="e">
        <f t="shared" si="424"/>
        <v>#DIV/0!</v>
      </c>
    </row>
    <row r="762" spans="1:13" ht="47.25" hidden="1" customHeight="1" x14ac:dyDescent="0.25">
      <c r="A762" s="31" t="s">
        <v>184</v>
      </c>
      <c r="B762" s="42" t="s">
        <v>350</v>
      </c>
      <c r="C762" s="42" t="s">
        <v>169</v>
      </c>
      <c r="D762" s="42" t="s">
        <v>381</v>
      </c>
      <c r="E762" s="42" t="s">
        <v>185</v>
      </c>
      <c r="F762" s="7"/>
      <c r="G762" s="7"/>
      <c r="H762" s="7"/>
      <c r="I762" s="7"/>
      <c r="J762" s="7"/>
      <c r="K762" s="7"/>
      <c r="L762" s="7"/>
      <c r="M762" s="7" t="e">
        <f t="shared" si="424"/>
        <v>#DIV/0!</v>
      </c>
    </row>
    <row r="763" spans="1:13" ht="47.25" x14ac:dyDescent="0.25">
      <c r="A763" s="31" t="s">
        <v>323</v>
      </c>
      <c r="B763" s="42" t="s">
        <v>350</v>
      </c>
      <c r="C763" s="42" t="s">
        <v>169</v>
      </c>
      <c r="D763" s="42" t="s">
        <v>381</v>
      </c>
      <c r="E763" s="42" t="s">
        <v>324</v>
      </c>
      <c r="F763" s="7">
        <f>F764</f>
        <v>177.3</v>
      </c>
      <c r="G763" s="7">
        <f t="shared" ref="G763:L763" si="450">G764</f>
        <v>177.3</v>
      </c>
      <c r="H763" s="7">
        <f t="shared" si="450"/>
        <v>177.3</v>
      </c>
      <c r="I763" s="7">
        <f t="shared" si="450"/>
        <v>177.3</v>
      </c>
      <c r="J763" s="7">
        <f t="shared" si="450"/>
        <v>177.3</v>
      </c>
      <c r="K763" s="7">
        <f t="shared" si="450"/>
        <v>177.3</v>
      </c>
      <c r="L763" s="7">
        <f t="shared" si="450"/>
        <v>177.3</v>
      </c>
      <c r="M763" s="7">
        <f t="shared" si="424"/>
        <v>100</v>
      </c>
    </row>
    <row r="764" spans="1:13" ht="15.75" x14ac:dyDescent="0.25">
      <c r="A764" s="31" t="s">
        <v>325</v>
      </c>
      <c r="B764" s="42" t="s">
        <v>350</v>
      </c>
      <c r="C764" s="42" t="s">
        <v>169</v>
      </c>
      <c r="D764" s="42" t="s">
        <v>381</v>
      </c>
      <c r="E764" s="42" t="s">
        <v>326</v>
      </c>
      <c r="F764" s="7">
        <f>'Прил.№4 ведомств.'!G404</f>
        <v>177.3</v>
      </c>
      <c r="G764" s="7">
        <f>'Прил.№4 ведомств.'!I404</f>
        <v>177.3</v>
      </c>
      <c r="H764" s="7">
        <f>'Прил.№4 ведомств.'!J404</f>
        <v>177.3</v>
      </c>
      <c r="I764" s="7">
        <f>'Прил.№4 ведомств.'!K404</f>
        <v>177.3</v>
      </c>
      <c r="J764" s="7">
        <f>'Прил.№4 ведомств.'!L404</f>
        <v>177.3</v>
      </c>
      <c r="K764" s="7">
        <f>'Прил.№4 ведомств.'!M404</f>
        <v>177.3</v>
      </c>
      <c r="L764" s="7">
        <f>'Прил.№4 ведомств.'!N404</f>
        <v>177.3</v>
      </c>
      <c r="M764" s="7">
        <f t="shared" si="424"/>
        <v>100</v>
      </c>
    </row>
    <row r="765" spans="1:13" ht="94.5" x14ac:dyDescent="0.25">
      <c r="A765" s="31" t="s">
        <v>685</v>
      </c>
      <c r="B765" s="42" t="s">
        <v>350</v>
      </c>
      <c r="C765" s="42" t="s">
        <v>169</v>
      </c>
      <c r="D765" s="42" t="s">
        <v>383</v>
      </c>
      <c r="E765" s="42"/>
      <c r="F765" s="7">
        <f>F766</f>
        <v>263.3</v>
      </c>
      <c r="G765" s="7">
        <f t="shared" ref="G765:L766" si="451">G766</f>
        <v>263.3</v>
      </c>
      <c r="H765" s="7">
        <f t="shared" si="451"/>
        <v>263.3</v>
      </c>
      <c r="I765" s="7">
        <f t="shared" si="451"/>
        <v>263.3</v>
      </c>
      <c r="J765" s="7">
        <f t="shared" si="451"/>
        <v>263.3</v>
      </c>
      <c r="K765" s="7">
        <f t="shared" si="451"/>
        <v>273.7</v>
      </c>
      <c r="L765" s="7">
        <f t="shared" si="451"/>
        <v>204.1</v>
      </c>
      <c r="M765" s="7">
        <f t="shared" si="424"/>
        <v>74.570697844355138</v>
      </c>
    </row>
    <row r="766" spans="1:13" ht="47.25" x14ac:dyDescent="0.25">
      <c r="A766" s="31" t="s">
        <v>323</v>
      </c>
      <c r="B766" s="42" t="s">
        <v>350</v>
      </c>
      <c r="C766" s="42" t="s">
        <v>169</v>
      </c>
      <c r="D766" s="42" t="s">
        <v>383</v>
      </c>
      <c r="E766" s="42" t="s">
        <v>324</v>
      </c>
      <c r="F766" s="7">
        <f>F767</f>
        <v>263.3</v>
      </c>
      <c r="G766" s="7">
        <f t="shared" si="451"/>
        <v>263.3</v>
      </c>
      <c r="H766" s="7">
        <f t="shared" si="451"/>
        <v>263.3</v>
      </c>
      <c r="I766" s="7">
        <f t="shared" si="451"/>
        <v>263.3</v>
      </c>
      <c r="J766" s="7">
        <f t="shared" si="451"/>
        <v>263.3</v>
      </c>
      <c r="K766" s="7">
        <f t="shared" si="451"/>
        <v>273.7</v>
      </c>
      <c r="L766" s="7">
        <f t="shared" si="451"/>
        <v>204.1</v>
      </c>
      <c r="M766" s="7">
        <f t="shared" si="424"/>
        <v>74.570697844355138</v>
      </c>
    </row>
    <row r="767" spans="1:13" ht="15.75" x14ac:dyDescent="0.25">
      <c r="A767" s="31" t="s">
        <v>325</v>
      </c>
      <c r="B767" s="42" t="s">
        <v>350</v>
      </c>
      <c r="C767" s="42" t="s">
        <v>169</v>
      </c>
      <c r="D767" s="42" t="s">
        <v>383</v>
      </c>
      <c r="E767" s="42" t="s">
        <v>326</v>
      </c>
      <c r="F767" s="7">
        <f>'Прил.№4 ведомств.'!G407</f>
        <v>263.3</v>
      </c>
      <c r="G767" s="7">
        <f>'Прил.№4 ведомств.'!I407</f>
        <v>263.3</v>
      </c>
      <c r="H767" s="7">
        <f>'Прил.№4 ведомств.'!J407</f>
        <v>263.3</v>
      </c>
      <c r="I767" s="7">
        <f>'Прил.№4 ведомств.'!K407</f>
        <v>263.3</v>
      </c>
      <c r="J767" s="7">
        <f>'Прил.№4 ведомств.'!L407</f>
        <v>263.3</v>
      </c>
      <c r="K767" s="7">
        <f>'Прил.№4 ведомств.'!M407</f>
        <v>273.7</v>
      </c>
      <c r="L767" s="7">
        <f>'Прил.№4 ведомств.'!N407</f>
        <v>204.1</v>
      </c>
      <c r="M767" s="7">
        <f t="shared" si="424"/>
        <v>74.570697844355138</v>
      </c>
    </row>
    <row r="768" spans="1:13" ht="94.5" x14ac:dyDescent="0.25">
      <c r="A768" s="33" t="s">
        <v>344</v>
      </c>
      <c r="B768" s="42" t="s">
        <v>350</v>
      </c>
      <c r="C768" s="42" t="s">
        <v>169</v>
      </c>
      <c r="D768" s="21" t="s">
        <v>345</v>
      </c>
      <c r="E768" s="42"/>
      <c r="F768" s="7">
        <f>F769</f>
        <v>1693.3000000000002</v>
      </c>
      <c r="G768" s="7">
        <f t="shared" ref="G768:L769" si="452">G769</f>
        <v>1693.3000000000002</v>
      </c>
      <c r="H768" s="7">
        <f t="shared" si="452"/>
        <v>1693.3000000000002</v>
      </c>
      <c r="I768" s="7">
        <f t="shared" si="452"/>
        <v>1693.3000000000002</v>
      </c>
      <c r="J768" s="7">
        <f t="shared" si="452"/>
        <v>1693.3000000000002</v>
      </c>
      <c r="K768" s="7">
        <f t="shared" si="452"/>
        <v>1648.8000000000002</v>
      </c>
      <c r="L768" s="7">
        <f t="shared" si="452"/>
        <v>1190.8</v>
      </c>
      <c r="M768" s="7">
        <f t="shared" si="424"/>
        <v>72.222222222222214</v>
      </c>
    </row>
    <row r="769" spans="1:13" ht="47.25" x14ac:dyDescent="0.25">
      <c r="A769" s="31" t="s">
        <v>323</v>
      </c>
      <c r="B769" s="42" t="s">
        <v>350</v>
      </c>
      <c r="C769" s="42" t="s">
        <v>169</v>
      </c>
      <c r="D769" s="21" t="s">
        <v>345</v>
      </c>
      <c r="E769" s="42" t="s">
        <v>324</v>
      </c>
      <c r="F769" s="7">
        <f>F770</f>
        <v>1693.3000000000002</v>
      </c>
      <c r="G769" s="7">
        <f t="shared" si="452"/>
        <v>1693.3000000000002</v>
      </c>
      <c r="H769" s="7">
        <f t="shared" si="452"/>
        <v>1693.3000000000002</v>
      </c>
      <c r="I769" s="7">
        <f t="shared" si="452"/>
        <v>1693.3000000000002</v>
      </c>
      <c r="J769" s="7">
        <f t="shared" si="452"/>
        <v>1693.3000000000002</v>
      </c>
      <c r="K769" s="7">
        <f t="shared" si="452"/>
        <v>1648.8000000000002</v>
      </c>
      <c r="L769" s="7">
        <f t="shared" si="452"/>
        <v>1190.8</v>
      </c>
      <c r="M769" s="7">
        <f t="shared" si="424"/>
        <v>72.222222222222214</v>
      </c>
    </row>
    <row r="770" spans="1:13" ht="15.75" x14ac:dyDescent="0.25">
      <c r="A770" s="31" t="s">
        <v>325</v>
      </c>
      <c r="B770" s="42" t="s">
        <v>350</v>
      </c>
      <c r="C770" s="42" t="s">
        <v>169</v>
      </c>
      <c r="D770" s="21" t="s">
        <v>345</v>
      </c>
      <c r="E770" s="42" t="s">
        <v>326</v>
      </c>
      <c r="F770" s="7">
        <f>'Прил.№4 ведомств.'!G408</f>
        <v>1693.3000000000002</v>
      </c>
      <c r="G770" s="7">
        <f>'Прил.№4 ведомств.'!I408</f>
        <v>1693.3000000000002</v>
      </c>
      <c r="H770" s="7">
        <f>'Прил.№4 ведомств.'!J408</f>
        <v>1693.3000000000002</v>
      </c>
      <c r="I770" s="7">
        <f>'Прил.№4 ведомств.'!K408</f>
        <v>1693.3000000000002</v>
      </c>
      <c r="J770" s="7">
        <f>'Прил.№4 ведомств.'!L408</f>
        <v>1693.3000000000002</v>
      </c>
      <c r="K770" s="7">
        <f>'Прил.№4 ведомств.'!M408</f>
        <v>1648.8000000000002</v>
      </c>
      <c r="L770" s="7">
        <f>'Прил.№4 ведомств.'!N408</f>
        <v>1190.8</v>
      </c>
      <c r="M770" s="7">
        <f t="shared" si="424"/>
        <v>72.222222222222214</v>
      </c>
    </row>
    <row r="771" spans="1:13" ht="15.75" x14ac:dyDescent="0.25">
      <c r="A771" s="33" t="s">
        <v>766</v>
      </c>
      <c r="B771" s="42" t="s">
        <v>350</v>
      </c>
      <c r="C771" s="42" t="s">
        <v>169</v>
      </c>
      <c r="D771" s="21" t="s">
        <v>767</v>
      </c>
      <c r="E771" s="42"/>
      <c r="F771" s="7">
        <f>F772</f>
        <v>4</v>
      </c>
      <c r="G771" s="7">
        <f t="shared" ref="G771:L772" si="453">G772</f>
        <v>4</v>
      </c>
      <c r="H771" s="7">
        <f t="shared" si="453"/>
        <v>0</v>
      </c>
      <c r="I771" s="7">
        <f t="shared" si="453"/>
        <v>0</v>
      </c>
      <c r="J771" s="7">
        <f t="shared" si="453"/>
        <v>0</v>
      </c>
      <c r="K771" s="7">
        <f t="shared" si="453"/>
        <v>3.3</v>
      </c>
      <c r="L771" s="7">
        <f t="shared" si="453"/>
        <v>0</v>
      </c>
      <c r="M771" s="7">
        <f t="shared" si="424"/>
        <v>0</v>
      </c>
    </row>
    <row r="772" spans="1:13" ht="47.25" x14ac:dyDescent="0.25">
      <c r="A772" s="26" t="s">
        <v>323</v>
      </c>
      <c r="B772" s="42" t="s">
        <v>350</v>
      </c>
      <c r="C772" s="42" t="s">
        <v>169</v>
      </c>
      <c r="D772" s="21" t="s">
        <v>767</v>
      </c>
      <c r="E772" s="42" t="s">
        <v>324</v>
      </c>
      <c r="F772" s="7">
        <f>F773</f>
        <v>4</v>
      </c>
      <c r="G772" s="7">
        <f t="shared" si="453"/>
        <v>4</v>
      </c>
      <c r="H772" s="7">
        <f t="shared" si="453"/>
        <v>0</v>
      </c>
      <c r="I772" s="7">
        <f t="shared" si="453"/>
        <v>0</v>
      </c>
      <c r="J772" s="7">
        <f t="shared" si="453"/>
        <v>0</v>
      </c>
      <c r="K772" s="7">
        <f t="shared" si="453"/>
        <v>3.3</v>
      </c>
      <c r="L772" s="7">
        <f t="shared" si="453"/>
        <v>0</v>
      </c>
      <c r="M772" s="7">
        <f t="shared" si="424"/>
        <v>0</v>
      </c>
    </row>
    <row r="773" spans="1:13" ht="15.75" x14ac:dyDescent="0.25">
      <c r="A773" s="26" t="s">
        <v>325</v>
      </c>
      <c r="B773" s="42" t="s">
        <v>350</v>
      </c>
      <c r="C773" s="42" t="s">
        <v>169</v>
      </c>
      <c r="D773" s="21" t="s">
        <v>767</v>
      </c>
      <c r="E773" s="42" t="s">
        <v>326</v>
      </c>
      <c r="F773" s="7">
        <f>'Прил.№4 ведомств.'!G413</f>
        <v>4</v>
      </c>
      <c r="G773" s="7">
        <f>'Прил.№4 ведомств.'!I413</f>
        <v>4</v>
      </c>
      <c r="H773" s="7">
        <f>'Прил.№4 ведомств.'!J413</f>
        <v>0</v>
      </c>
      <c r="I773" s="7">
        <f>'Прил.№4 ведомств.'!K413</f>
        <v>0</v>
      </c>
      <c r="J773" s="7">
        <f>'Прил.№4 ведомств.'!L413</f>
        <v>0</v>
      </c>
      <c r="K773" s="7">
        <f>'Прил.№4 ведомств.'!M413</f>
        <v>3.3</v>
      </c>
      <c r="L773" s="7">
        <f>'Прил.№4 ведомств.'!N413</f>
        <v>0</v>
      </c>
      <c r="M773" s="7">
        <f t="shared" si="424"/>
        <v>0</v>
      </c>
    </row>
    <row r="774" spans="1:13" ht="31.5" x14ac:dyDescent="0.25">
      <c r="A774" s="43" t="s">
        <v>384</v>
      </c>
      <c r="B774" s="8" t="s">
        <v>350</v>
      </c>
      <c r="C774" s="8" t="s">
        <v>201</v>
      </c>
      <c r="D774" s="8"/>
      <c r="E774" s="8"/>
      <c r="F774" s="4">
        <f>F789+F775+F785</f>
        <v>17278.8</v>
      </c>
      <c r="G774" s="4">
        <f t="shared" ref="G774:K774" si="454">G789+G775+G785</f>
        <v>17713.184313725491</v>
      </c>
      <c r="H774" s="4">
        <f t="shared" si="454"/>
        <v>19592.400000000001</v>
      </c>
      <c r="I774" s="4">
        <f t="shared" si="454"/>
        <v>19708.099999999999</v>
      </c>
      <c r="J774" s="4">
        <f t="shared" si="454"/>
        <v>19816.199999999997</v>
      </c>
      <c r="K774" s="4">
        <f t="shared" si="454"/>
        <v>16632.400000000001</v>
      </c>
      <c r="L774" s="4">
        <f t="shared" ref="L774" si="455">L789+L775+L785</f>
        <v>13503.5</v>
      </c>
      <c r="M774" s="4">
        <f t="shared" si="424"/>
        <v>81.187922368389394</v>
      </c>
    </row>
    <row r="775" spans="1:13" ht="47.25" hidden="1" x14ac:dyDescent="0.25">
      <c r="A775" s="26" t="s">
        <v>385</v>
      </c>
      <c r="B775" s="42" t="s">
        <v>350</v>
      </c>
      <c r="C775" s="42" t="s">
        <v>201</v>
      </c>
      <c r="D775" s="21" t="s">
        <v>386</v>
      </c>
      <c r="E775" s="21"/>
      <c r="F775" s="7">
        <f>F776+F779+F782</f>
        <v>125</v>
      </c>
      <c r="G775" s="7">
        <f t="shared" ref="G775:K775" si="456">G776+G779+G782</f>
        <v>125</v>
      </c>
      <c r="H775" s="7">
        <f t="shared" si="456"/>
        <v>0</v>
      </c>
      <c r="I775" s="7">
        <f t="shared" si="456"/>
        <v>0</v>
      </c>
      <c r="J775" s="7">
        <f t="shared" si="456"/>
        <v>0</v>
      </c>
      <c r="K775" s="7">
        <f t="shared" si="456"/>
        <v>0</v>
      </c>
      <c r="L775" s="7">
        <f t="shared" ref="L775" si="457">L776+L779+L782</f>
        <v>0</v>
      </c>
      <c r="M775" s="4" t="e">
        <f t="shared" si="424"/>
        <v>#DIV/0!</v>
      </c>
    </row>
    <row r="776" spans="1:13" ht="31.5" hidden="1" customHeight="1" x14ac:dyDescent="0.25">
      <c r="A776" s="26" t="s">
        <v>387</v>
      </c>
      <c r="B776" s="42" t="s">
        <v>350</v>
      </c>
      <c r="C776" s="42" t="s">
        <v>201</v>
      </c>
      <c r="D776" s="21" t="s">
        <v>388</v>
      </c>
      <c r="E776" s="21"/>
      <c r="F776" s="7">
        <f>F777</f>
        <v>0</v>
      </c>
      <c r="G776" s="7">
        <f t="shared" ref="G776:L777" si="458">G777</f>
        <v>0</v>
      </c>
      <c r="H776" s="7">
        <f t="shared" si="458"/>
        <v>0</v>
      </c>
      <c r="I776" s="7">
        <f t="shared" si="458"/>
        <v>0</v>
      </c>
      <c r="J776" s="7">
        <f t="shared" si="458"/>
        <v>0</v>
      </c>
      <c r="K776" s="7">
        <f t="shared" si="458"/>
        <v>0</v>
      </c>
      <c r="L776" s="7">
        <f t="shared" si="458"/>
        <v>0</v>
      </c>
      <c r="M776" s="4" t="e">
        <f t="shared" si="424"/>
        <v>#DIV/0!</v>
      </c>
    </row>
    <row r="777" spans="1:13" ht="31.5" hidden="1" customHeight="1" x14ac:dyDescent="0.25">
      <c r="A777" s="26" t="s">
        <v>182</v>
      </c>
      <c r="B777" s="42" t="s">
        <v>350</v>
      </c>
      <c r="C777" s="42" t="s">
        <v>201</v>
      </c>
      <c r="D777" s="21" t="s">
        <v>388</v>
      </c>
      <c r="E777" s="21" t="s">
        <v>183</v>
      </c>
      <c r="F777" s="7">
        <f>F778</f>
        <v>0</v>
      </c>
      <c r="G777" s="7">
        <f t="shared" si="458"/>
        <v>0</v>
      </c>
      <c r="H777" s="7">
        <f t="shared" si="458"/>
        <v>0</v>
      </c>
      <c r="I777" s="7">
        <f t="shared" si="458"/>
        <v>0</v>
      </c>
      <c r="J777" s="7">
        <f t="shared" si="458"/>
        <v>0</v>
      </c>
      <c r="K777" s="7">
        <f t="shared" si="458"/>
        <v>0</v>
      </c>
      <c r="L777" s="7">
        <f t="shared" si="458"/>
        <v>0</v>
      </c>
      <c r="M777" s="4" t="e">
        <f t="shared" si="424"/>
        <v>#DIV/0!</v>
      </c>
    </row>
    <row r="778" spans="1:13" ht="47.25" hidden="1" customHeight="1" x14ac:dyDescent="0.25">
      <c r="A778" s="26" t="s">
        <v>184</v>
      </c>
      <c r="B778" s="42" t="s">
        <v>350</v>
      </c>
      <c r="C778" s="42" t="s">
        <v>201</v>
      </c>
      <c r="D778" s="21" t="s">
        <v>388</v>
      </c>
      <c r="E778" s="21" t="s">
        <v>185</v>
      </c>
      <c r="F778" s="7">
        <f>'Прил.№4 ведомств.'!G418</f>
        <v>0</v>
      </c>
      <c r="G778" s="7">
        <f>'Прил.№4 ведомств.'!I418</f>
        <v>0</v>
      </c>
      <c r="H778" s="7">
        <f>'Прил.№4 ведомств.'!J418</f>
        <v>0</v>
      </c>
      <c r="I778" s="7">
        <f>'Прил.№4 ведомств.'!K418</f>
        <v>0</v>
      </c>
      <c r="J778" s="7">
        <f>'Прил.№4 ведомств.'!L418</f>
        <v>0</v>
      </c>
      <c r="K778" s="7">
        <f>'Прил.№4 ведомств.'!M418</f>
        <v>0</v>
      </c>
      <c r="L778" s="7">
        <f>'Прил.№4 ведомств.'!N418</f>
        <v>0</v>
      </c>
      <c r="M778" s="4" t="e">
        <f t="shared" si="424"/>
        <v>#DIV/0!</v>
      </c>
    </row>
    <row r="779" spans="1:13" ht="31.5" hidden="1" x14ac:dyDescent="0.25">
      <c r="A779" s="26" t="s">
        <v>389</v>
      </c>
      <c r="B779" s="42" t="s">
        <v>350</v>
      </c>
      <c r="C779" s="42" t="s">
        <v>201</v>
      </c>
      <c r="D779" s="21" t="s">
        <v>390</v>
      </c>
      <c r="E779" s="21"/>
      <c r="F779" s="7">
        <f>F780</f>
        <v>20</v>
      </c>
      <c r="G779" s="7">
        <f t="shared" ref="G779:L780" si="459">G780</f>
        <v>20</v>
      </c>
      <c r="H779" s="7">
        <f t="shared" si="459"/>
        <v>0</v>
      </c>
      <c r="I779" s="7">
        <f t="shared" si="459"/>
        <v>0</v>
      </c>
      <c r="J779" s="7">
        <f t="shared" si="459"/>
        <v>0</v>
      </c>
      <c r="K779" s="7">
        <f t="shared" si="459"/>
        <v>0</v>
      </c>
      <c r="L779" s="7">
        <f t="shared" si="459"/>
        <v>0</v>
      </c>
      <c r="M779" s="4" t="e">
        <f t="shared" si="424"/>
        <v>#DIV/0!</v>
      </c>
    </row>
    <row r="780" spans="1:13" ht="31.5" hidden="1" x14ac:dyDescent="0.25">
      <c r="A780" s="26" t="s">
        <v>182</v>
      </c>
      <c r="B780" s="42" t="s">
        <v>350</v>
      </c>
      <c r="C780" s="42" t="s">
        <v>201</v>
      </c>
      <c r="D780" s="21" t="s">
        <v>390</v>
      </c>
      <c r="E780" s="21" t="s">
        <v>183</v>
      </c>
      <c r="F780" s="7">
        <f>F781</f>
        <v>20</v>
      </c>
      <c r="G780" s="7">
        <f t="shared" si="459"/>
        <v>20</v>
      </c>
      <c r="H780" s="7">
        <f t="shared" si="459"/>
        <v>0</v>
      </c>
      <c r="I780" s="7">
        <f t="shared" si="459"/>
        <v>0</v>
      </c>
      <c r="J780" s="7">
        <f t="shared" si="459"/>
        <v>0</v>
      </c>
      <c r="K780" s="7">
        <f t="shared" si="459"/>
        <v>0</v>
      </c>
      <c r="L780" s="7">
        <f t="shared" si="459"/>
        <v>0</v>
      </c>
      <c r="M780" s="4" t="e">
        <f t="shared" si="424"/>
        <v>#DIV/0!</v>
      </c>
    </row>
    <row r="781" spans="1:13" ht="47.25" hidden="1" x14ac:dyDescent="0.25">
      <c r="A781" s="26" t="s">
        <v>184</v>
      </c>
      <c r="B781" s="42" t="s">
        <v>350</v>
      </c>
      <c r="C781" s="42" t="s">
        <v>201</v>
      </c>
      <c r="D781" s="21" t="s">
        <v>390</v>
      </c>
      <c r="E781" s="21" t="s">
        <v>185</v>
      </c>
      <c r="F781" s="7">
        <f>'Прил.№4 ведомств.'!G424</f>
        <v>20</v>
      </c>
      <c r="G781" s="7">
        <f>'Прил.№4 ведомств.'!I424</f>
        <v>20</v>
      </c>
      <c r="H781" s="7">
        <f>'Прил.№4 ведомств.'!J424</f>
        <v>0</v>
      </c>
      <c r="I781" s="7">
        <f>'Прил.№4 ведомств.'!K424</f>
        <v>0</v>
      </c>
      <c r="J781" s="7">
        <f>'Прил.№4 ведомств.'!L424</f>
        <v>0</v>
      </c>
      <c r="K781" s="7">
        <f>'Прил.№4 ведомств.'!M424</f>
        <v>0</v>
      </c>
      <c r="L781" s="7">
        <f>'Прил.№4 ведомств.'!N424</f>
        <v>0</v>
      </c>
      <c r="M781" s="4" t="e">
        <f t="shared" ref="M781:M844" si="460">L781/K781*100</f>
        <v>#DIV/0!</v>
      </c>
    </row>
    <row r="782" spans="1:13" ht="47.25" hidden="1" x14ac:dyDescent="0.25">
      <c r="A782" s="26" t="s">
        <v>802</v>
      </c>
      <c r="B782" s="42" t="s">
        <v>350</v>
      </c>
      <c r="C782" s="42" t="s">
        <v>201</v>
      </c>
      <c r="D782" s="21" t="s">
        <v>761</v>
      </c>
      <c r="E782" s="21"/>
      <c r="F782" s="7">
        <f>F783</f>
        <v>105</v>
      </c>
      <c r="G782" s="7">
        <f t="shared" ref="G782:L783" si="461">G783</f>
        <v>105</v>
      </c>
      <c r="H782" s="7">
        <f t="shared" si="461"/>
        <v>0</v>
      </c>
      <c r="I782" s="7">
        <f t="shared" si="461"/>
        <v>0</v>
      </c>
      <c r="J782" s="7">
        <f t="shared" si="461"/>
        <v>0</v>
      </c>
      <c r="K782" s="7">
        <f t="shared" si="461"/>
        <v>0</v>
      </c>
      <c r="L782" s="7">
        <f t="shared" si="461"/>
        <v>0</v>
      </c>
      <c r="M782" s="4" t="e">
        <f t="shared" si="460"/>
        <v>#DIV/0!</v>
      </c>
    </row>
    <row r="783" spans="1:13" ht="31.5" hidden="1" x14ac:dyDescent="0.25">
      <c r="A783" s="26" t="s">
        <v>182</v>
      </c>
      <c r="B783" s="42" t="s">
        <v>350</v>
      </c>
      <c r="C783" s="42" t="s">
        <v>201</v>
      </c>
      <c r="D783" s="21" t="s">
        <v>761</v>
      </c>
      <c r="E783" s="21" t="s">
        <v>179</v>
      </c>
      <c r="F783" s="7">
        <f>F784</f>
        <v>105</v>
      </c>
      <c r="G783" s="7">
        <f t="shared" si="461"/>
        <v>105</v>
      </c>
      <c r="H783" s="7">
        <f t="shared" si="461"/>
        <v>0</v>
      </c>
      <c r="I783" s="7">
        <f t="shared" si="461"/>
        <v>0</v>
      </c>
      <c r="J783" s="7">
        <f t="shared" si="461"/>
        <v>0</v>
      </c>
      <c r="K783" s="7">
        <f t="shared" si="461"/>
        <v>0</v>
      </c>
      <c r="L783" s="7">
        <f t="shared" si="461"/>
        <v>0</v>
      </c>
      <c r="M783" s="4" t="e">
        <f t="shared" si="460"/>
        <v>#DIV/0!</v>
      </c>
    </row>
    <row r="784" spans="1:13" ht="47.25" hidden="1" x14ac:dyDescent="0.25">
      <c r="A784" s="26" t="s">
        <v>184</v>
      </c>
      <c r="B784" s="42" t="s">
        <v>350</v>
      </c>
      <c r="C784" s="42" t="s">
        <v>201</v>
      </c>
      <c r="D784" s="21" t="s">
        <v>761</v>
      </c>
      <c r="E784" s="21" t="s">
        <v>181</v>
      </c>
      <c r="F784" s="7">
        <f>'Прил.№4 ведомств.'!G430</f>
        <v>105</v>
      </c>
      <c r="G784" s="7">
        <f>'Прил.№4 ведомств.'!I430</f>
        <v>105</v>
      </c>
      <c r="H784" s="7">
        <f>'Прил.№4 ведомств.'!J430</f>
        <v>0</v>
      </c>
      <c r="I784" s="7">
        <f>'Прил.№4 ведомств.'!K430</f>
        <v>0</v>
      </c>
      <c r="J784" s="7">
        <f>'Прил.№4 ведомств.'!L430</f>
        <v>0</v>
      </c>
      <c r="K784" s="7">
        <f>'Прил.№4 ведомств.'!M430</f>
        <v>0</v>
      </c>
      <c r="L784" s="7">
        <f>'Прил.№4 ведомств.'!N430</f>
        <v>0</v>
      </c>
      <c r="M784" s="4" t="e">
        <f t="shared" si="460"/>
        <v>#DIV/0!</v>
      </c>
    </row>
    <row r="785" spans="1:13" ht="63" hidden="1" x14ac:dyDescent="0.25">
      <c r="A785" s="31" t="s">
        <v>801</v>
      </c>
      <c r="B785" s="42" t="s">
        <v>350</v>
      </c>
      <c r="C785" s="42" t="s">
        <v>201</v>
      </c>
      <c r="D785" s="21" t="s">
        <v>799</v>
      </c>
      <c r="E785" s="21"/>
      <c r="F785" s="7">
        <f>F786</f>
        <v>5</v>
      </c>
      <c r="G785" s="7">
        <f t="shared" ref="G785:L787" si="462">G786</f>
        <v>5</v>
      </c>
      <c r="H785" s="7">
        <f t="shared" si="462"/>
        <v>0</v>
      </c>
      <c r="I785" s="7">
        <f t="shared" si="462"/>
        <v>0</v>
      </c>
      <c r="J785" s="7">
        <f t="shared" si="462"/>
        <v>0</v>
      </c>
      <c r="K785" s="7">
        <f t="shared" si="462"/>
        <v>0</v>
      </c>
      <c r="L785" s="7">
        <f t="shared" si="462"/>
        <v>0</v>
      </c>
      <c r="M785" s="4" t="e">
        <f t="shared" si="460"/>
        <v>#DIV/0!</v>
      </c>
    </row>
    <row r="786" spans="1:13" ht="31.5" hidden="1" x14ac:dyDescent="0.25">
      <c r="A786" s="26" t="s">
        <v>420</v>
      </c>
      <c r="B786" s="42" t="s">
        <v>350</v>
      </c>
      <c r="C786" s="42" t="s">
        <v>201</v>
      </c>
      <c r="D786" s="21" t="s">
        <v>807</v>
      </c>
      <c r="E786" s="21"/>
      <c r="F786" s="7">
        <f>F787</f>
        <v>5</v>
      </c>
      <c r="G786" s="7">
        <f t="shared" si="462"/>
        <v>5</v>
      </c>
      <c r="H786" s="7">
        <f t="shared" si="462"/>
        <v>0</v>
      </c>
      <c r="I786" s="7">
        <f t="shared" si="462"/>
        <v>0</v>
      </c>
      <c r="J786" s="7">
        <f t="shared" si="462"/>
        <v>0</v>
      </c>
      <c r="K786" s="7">
        <f t="shared" si="462"/>
        <v>0</v>
      </c>
      <c r="L786" s="7">
        <f t="shared" si="462"/>
        <v>0</v>
      </c>
      <c r="M786" s="4" t="e">
        <f t="shared" si="460"/>
        <v>#DIV/0!</v>
      </c>
    </row>
    <row r="787" spans="1:13" ht="31.5" hidden="1" x14ac:dyDescent="0.25">
      <c r="A787" s="26" t="s">
        <v>182</v>
      </c>
      <c r="B787" s="42" t="s">
        <v>350</v>
      </c>
      <c r="C787" s="42" t="s">
        <v>201</v>
      </c>
      <c r="D787" s="21" t="s">
        <v>807</v>
      </c>
      <c r="E787" s="21" t="s">
        <v>183</v>
      </c>
      <c r="F787" s="7">
        <f>F788</f>
        <v>5</v>
      </c>
      <c r="G787" s="7">
        <f t="shared" si="462"/>
        <v>5</v>
      </c>
      <c r="H787" s="7">
        <f t="shared" si="462"/>
        <v>0</v>
      </c>
      <c r="I787" s="7">
        <f t="shared" si="462"/>
        <v>0</v>
      </c>
      <c r="J787" s="7">
        <f t="shared" si="462"/>
        <v>0</v>
      </c>
      <c r="K787" s="7">
        <f t="shared" si="462"/>
        <v>0</v>
      </c>
      <c r="L787" s="7">
        <f t="shared" si="462"/>
        <v>0</v>
      </c>
      <c r="M787" s="4" t="e">
        <f t="shared" si="460"/>
        <v>#DIV/0!</v>
      </c>
    </row>
    <row r="788" spans="1:13" ht="47.25" hidden="1" x14ac:dyDescent="0.25">
      <c r="A788" s="26" t="s">
        <v>184</v>
      </c>
      <c r="B788" s="42" t="s">
        <v>350</v>
      </c>
      <c r="C788" s="42" t="s">
        <v>201</v>
      </c>
      <c r="D788" s="21" t="s">
        <v>807</v>
      </c>
      <c r="E788" s="21" t="s">
        <v>185</v>
      </c>
      <c r="F788" s="7">
        <f>'Прил.№4 ведомств.'!G437</f>
        <v>5</v>
      </c>
      <c r="G788" s="7">
        <f>'Прил.№4 ведомств.'!I437</f>
        <v>5</v>
      </c>
      <c r="H788" s="7">
        <f>'Прил.№4 ведомств.'!J437</f>
        <v>0</v>
      </c>
      <c r="I788" s="7">
        <f>'Прил.№4 ведомств.'!K437</f>
        <v>0</v>
      </c>
      <c r="J788" s="7">
        <f>'Прил.№4 ведомств.'!L437</f>
        <v>0</v>
      </c>
      <c r="K788" s="7">
        <f>'Прил.№4 ведомств.'!M437</f>
        <v>0</v>
      </c>
      <c r="L788" s="7">
        <f>'Прил.№4 ведомств.'!N437</f>
        <v>0</v>
      </c>
      <c r="M788" s="4" t="e">
        <f t="shared" si="460"/>
        <v>#DIV/0!</v>
      </c>
    </row>
    <row r="789" spans="1:13" ht="15.75" x14ac:dyDescent="0.25">
      <c r="A789" s="31" t="s">
        <v>172</v>
      </c>
      <c r="B789" s="42" t="s">
        <v>350</v>
      </c>
      <c r="C789" s="42" t="s">
        <v>201</v>
      </c>
      <c r="D789" s="42" t="s">
        <v>173</v>
      </c>
      <c r="E789" s="42"/>
      <c r="F789" s="7">
        <f>F796+F790</f>
        <v>17148.8</v>
      </c>
      <c r="G789" s="7">
        <f t="shared" ref="G789:K789" si="463">G796+G790</f>
        <v>17583.184313725491</v>
      </c>
      <c r="H789" s="7">
        <f t="shared" si="463"/>
        <v>19592.400000000001</v>
      </c>
      <c r="I789" s="7">
        <f t="shared" si="463"/>
        <v>19708.099999999999</v>
      </c>
      <c r="J789" s="7">
        <f t="shared" si="463"/>
        <v>19816.199999999997</v>
      </c>
      <c r="K789" s="7">
        <f t="shared" si="463"/>
        <v>16632.400000000001</v>
      </c>
      <c r="L789" s="7">
        <f t="shared" ref="L789" si="464">L796+L790</f>
        <v>13503.5</v>
      </c>
      <c r="M789" s="7">
        <f t="shared" si="460"/>
        <v>81.187922368389394</v>
      </c>
    </row>
    <row r="790" spans="1:13" ht="31.5" x14ac:dyDescent="0.25">
      <c r="A790" s="31" t="s">
        <v>174</v>
      </c>
      <c r="B790" s="42" t="s">
        <v>350</v>
      </c>
      <c r="C790" s="42" t="s">
        <v>201</v>
      </c>
      <c r="D790" s="42" t="s">
        <v>175</v>
      </c>
      <c r="E790" s="42"/>
      <c r="F790" s="7">
        <f>F791</f>
        <v>6754.9</v>
      </c>
      <c r="G790" s="7">
        <f t="shared" ref="G790:L790" si="465">G791</f>
        <v>7268.4705882352946</v>
      </c>
      <c r="H790" s="7">
        <f t="shared" si="465"/>
        <v>8328</v>
      </c>
      <c r="I790" s="7">
        <f t="shared" si="465"/>
        <v>8328</v>
      </c>
      <c r="J790" s="7">
        <f t="shared" si="465"/>
        <v>8328</v>
      </c>
      <c r="K790" s="7">
        <f t="shared" si="465"/>
        <v>6278.9</v>
      </c>
      <c r="L790" s="7">
        <f t="shared" si="465"/>
        <v>5894.4</v>
      </c>
      <c r="M790" s="7">
        <f t="shared" si="460"/>
        <v>93.876315915208082</v>
      </c>
    </row>
    <row r="791" spans="1:13" ht="47.25" x14ac:dyDescent="0.25">
      <c r="A791" s="31" t="s">
        <v>176</v>
      </c>
      <c r="B791" s="42" t="s">
        <v>350</v>
      </c>
      <c r="C791" s="42" t="s">
        <v>201</v>
      </c>
      <c r="D791" s="42" t="s">
        <v>177</v>
      </c>
      <c r="E791" s="42"/>
      <c r="F791" s="7">
        <f>F792+F794</f>
        <v>6754.9</v>
      </c>
      <c r="G791" s="7">
        <f t="shared" ref="G791:K791" si="466">G792+G794</f>
        <v>7268.4705882352946</v>
      </c>
      <c r="H791" s="7">
        <f t="shared" si="466"/>
        <v>8328</v>
      </c>
      <c r="I791" s="7">
        <f t="shared" si="466"/>
        <v>8328</v>
      </c>
      <c r="J791" s="7">
        <f t="shared" si="466"/>
        <v>8328</v>
      </c>
      <c r="K791" s="7">
        <f t="shared" si="466"/>
        <v>6278.9</v>
      </c>
      <c r="L791" s="7">
        <f t="shared" ref="L791" si="467">L792+L794</f>
        <v>5894.4</v>
      </c>
      <c r="M791" s="7">
        <f t="shared" si="460"/>
        <v>93.876315915208082</v>
      </c>
    </row>
    <row r="792" spans="1:13" ht="78.75" x14ac:dyDescent="0.25">
      <c r="A792" s="31" t="s">
        <v>178</v>
      </c>
      <c r="B792" s="42" t="s">
        <v>350</v>
      </c>
      <c r="C792" s="42" t="s">
        <v>201</v>
      </c>
      <c r="D792" s="42" t="s">
        <v>177</v>
      </c>
      <c r="E792" s="42" t="s">
        <v>179</v>
      </c>
      <c r="F792" s="63">
        <f>F793</f>
        <v>6754.9</v>
      </c>
      <c r="G792" s="63">
        <f t="shared" ref="G792:L792" si="468">G793</f>
        <v>7268.4705882352946</v>
      </c>
      <c r="H792" s="63">
        <f t="shared" si="468"/>
        <v>8114</v>
      </c>
      <c r="I792" s="63">
        <f t="shared" si="468"/>
        <v>8114</v>
      </c>
      <c r="J792" s="63">
        <f t="shared" si="468"/>
        <v>8114</v>
      </c>
      <c r="K792" s="63">
        <f t="shared" si="468"/>
        <v>6278.9</v>
      </c>
      <c r="L792" s="63">
        <f t="shared" si="468"/>
        <v>5894.4</v>
      </c>
      <c r="M792" s="7">
        <f t="shared" si="460"/>
        <v>93.876315915208082</v>
      </c>
    </row>
    <row r="793" spans="1:13" ht="31.5" x14ac:dyDescent="0.25">
      <c r="A793" s="31" t="s">
        <v>180</v>
      </c>
      <c r="B793" s="42" t="s">
        <v>350</v>
      </c>
      <c r="C793" s="42" t="s">
        <v>201</v>
      </c>
      <c r="D793" s="42" t="s">
        <v>177</v>
      </c>
      <c r="E793" s="42" t="s">
        <v>181</v>
      </c>
      <c r="F793" s="63">
        <f>'Прил.№4 ведомств.'!G442</f>
        <v>6754.9</v>
      </c>
      <c r="G793" s="63">
        <f>'Прил.№4 ведомств.'!I442</f>
        <v>7268.4705882352946</v>
      </c>
      <c r="H793" s="63">
        <f>'Прил.№4 ведомств.'!J442</f>
        <v>8114</v>
      </c>
      <c r="I793" s="63">
        <f>'Прил.№4 ведомств.'!K442</f>
        <v>8114</v>
      </c>
      <c r="J793" s="63">
        <f>'Прил.№4 ведомств.'!L442</f>
        <v>8114</v>
      </c>
      <c r="K793" s="63">
        <f>'Прил.№4 ведомств.'!M442</f>
        <v>6278.9</v>
      </c>
      <c r="L793" s="63">
        <f>'Прил.№4 ведомств.'!N442</f>
        <v>5894.4</v>
      </c>
      <c r="M793" s="7">
        <f t="shared" si="460"/>
        <v>93.876315915208082</v>
      </c>
    </row>
    <row r="794" spans="1:13" ht="31.5" hidden="1" customHeight="1" x14ac:dyDescent="0.25">
      <c r="A794" s="31" t="s">
        <v>182</v>
      </c>
      <c r="B794" s="42" t="s">
        <v>350</v>
      </c>
      <c r="C794" s="42" t="s">
        <v>201</v>
      </c>
      <c r="D794" s="42" t="s">
        <v>177</v>
      </c>
      <c r="E794" s="42" t="s">
        <v>183</v>
      </c>
      <c r="F794" s="63">
        <f>F795</f>
        <v>0</v>
      </c>
      <c r="G794" s="63">
        <f t="shared" ref="G794:L794" si="469">G795</f>
        <v>0</v>
      </c>
      <c r="H794" s="63">
        <f t="shared" si="469"/>
        <v>214</v>
      </c>
      <c r="I794" s="63">
        <f t="shared" si="469"/>
        <v>214</v>
      </c>
      <c r="J794" s="63">
        <f t="shared" si="469"/>
        <v>214</v>
      </c>
      <c r="K794" s="63">
        <f t="shared" si="469"/>
        <v>0</v>
      </c>
      <c r="L794" s="63">
        <f t="shared" si="469"/>
        <v>0</v>
      </c>
      <c r="M794" s="7" t="e">
        <f t="shared" si="460"/>
        <v>#DIV/0!</v>
      </c>
    </row>
    <row r="795" spans="1:13" ht="47.25" hidden="1" customHeight="1" x14ac:dyDescent="0.25">
      <c r="A795" s="31" t="s">
        <v>184</v>
      </c>
      <c r="B795" s="42" t="s">
        <v>350</v>
      </c>
      <c r="C795" s="42" t="s">
        <v>201</v>
      </c>
      <c r="D795" s="42" t="s">
        <v>177</v>
      </c>
      <c r="E795" s="42" t="s">
        <v>185</v>
      </c>
      <c r="F795" s="63"/>
      <c r="G795" s="63"/>
      <c r="H795" s="63">
        <f>'Прил.№4 ведомств.'!J444</f>
        <v>214</v>
      </c>
      <c r="I795" s="63">
        <f>'Прил.№4 ведомств.'!K444</f>
        <v>214</v>
      </c>
      <c r="J795" s="63">
        <f>'Прил.№4 ведомств.'!L444</f>
        <v>214</v>
      </c>
      <c r="K795" s="63">
        <f>'Прил.№4 ведомств.'!M444</f>
        <v>0</v>
      </c>
      <c r="L795" s="63">
        <f>'Прил.№4 ведомств.'!N444</f>
        <v>0</v>
      </c>
      <c r="M795" s="7" t="e">
        <f t="shared" si="460"/>
        <v>#DIV/0!</v>
      </c>
    </row>
    <row r="796" spans="1:13" ht="15.75" x14ac:dyDescent="0.25">
      <c r="A796" s="31" t="s">
        <v>192</v>
      </c>
      <c r="B796" s="42" t="s">
        <v>350</v>
      </c>
      <c r="C796" s="42" t="s">
        <v>201</v>
      </c>
      <c r="D796" s="42" t="s">
        <v>193</v>
      </c>
      <c r="E796" s="42"/>
      <c r="F796" s="7">
        <f>F797</f>
        <v>10393.9</v>
      </c>
      <c r="G796" s="7">
        <f t="shared" ref="G796:L796" si="470">G797</f>
        <v>10314.713725490197</v>
      </c>
      <c r="H796" s="7">
        <f t="shared" si="470"/>
        <v>11264.400000000001</v>
      </c>
      <c r="I796" s="7">
        <f t="shared" si="470"/>
        <v>11380.099999999999</v>
      </c>
      <c r="J796" s="7">
        <f t="shared" si="470"/>
        <v>11488.199999999999</v>
      </c>
      <c r="K796" s="7">
        <f t="shared" si="470"/>
        <v>10353.5</v>
      </c>
      <c r="L796" s="7">
        <f t="shared" si="470"/>
        <v>7609.1</v>
      </c>
      <c r="M796" s="7">
        <f t="shared" si="460"/>
        <v>73.493021683488678</v>
      </c>
    </row>
    <row r="797" spans="1:13" ht="31.5" x14ac:dyDescent="0.25">
      <c r="A797" s="26" t="s">
        <v>391</v>
      </c>
      <c r="B797" s="42" t="s">
        <v>350</v>
      </c>
      <c r="C797" s="42" t="s">
        <v>201</v>
      </c>
      <c r="D797" s="42" t="s">
        <v>392</v>
      </c>
      <c r="E797" s="42"/>
      <c r="F797" s="7">
        <f>F798+F800+F802</f>
        <v>10393.9</v>
      </c>
      <c r="G797" s="7">
        <f t="shared" ref="G797:K797" si="471">G798+G800+G802</f>
        <v>10314.713725490197</v>
      </c>
      <c r="H797" s="7">
        <f t="shared" si="471"/>
        <v>11264.400000000001</v>
      </c>
      <c r="I797" s="7">
        <f t="shared" si="471"/>
        <v>11380.099999999999</v>
      </c>
      <c r="J797" s="7">
        <f t="shared" si="471"/>
        <v>11488.199999999999</v>
      </c>
      <c r="K797" s="7">
        <f t="shared" si="471"/>
        <v>10353.5</v>
      </c>
      <c r="L797" s="7">
        <f t="shared" ref="L797" si="472">L798+L800+L802</f>
        <v>7609.1</v>
      </c>
      <c r="M797" s="7">
        <f t="shared" si="460"/>
        <v>73.493021683488678</v>
      </c>
    </row>
    <row r="798" spans="1:13" ht="78.75" x14ac:dyDescent="0.25">
      <c r="A798" s="31" t="s">
        <v>178</v>
      </c>
      <c r="B798" s="42" t="s">
        <v>350</v>
      </c>
      <c r="C798" s="42" t="s">
        <v>201</v>
      </c>
      <c r="D798" s="42" t="s">
        <v>392</v>
      </c>
      <c r="E798" s="42" t="s">
        <v>179</v>
      </c>
      <c r="F798" s="63">
        <f>F799</f>
        <v>8721.4</v>
      </c>
      <c r="G798" s="63">
        <f t="shared" ref="G798:L798" si="473">G799</f>
        <v>9111.2470588235301</v>
      </c>
      <c r="H798" s="63">
        <f t="shared" si="473"/>
        <v>9109.2000000000007</v>
      </c>
      <c r="I798" s="63">
        <f t="shared" si="473"/>
        <v>9200.2999999999993</v>
      </c>
      <c r="J798" s="63">
        <f t="shared" si="473"/>
        <v>9292.2999999999993</v>
      </c>
      <c r="K798" s="63">
        <f t="shared" si="473"/>
        <v>8697.4</v>
      </c>
      <c r="L798" s="63">
        <f t="shared" si="473"/>
        <v>6698.1</v>
      </c>
      <c r="M798" s="7">
        <f t="shared" si="460"/>
        <v>77.012670453238911</v>
      </c>
    </row>
    <row r="799" spans="1:13" ht="31.5" x14ac:dyDescent="0.25">
      <c r="A799" s="48" t="s">
        <v>393</v>
      </c>
      <c r="B799" s="42" t="s">
        <v>350</v>
      </c>
      <c r="C799" s="42" t="s">
        <v>201</v>
      </c>
      <c r="D799" s="42" t="s">
        <v>392</v>
      </c>
      <c r="E799" s="42" t="s">
        <v>260</v>
      </c>
      <c r="F799" s="63">
        <f>'Прил.№4 ведомств.'!G448</f>
        <v>8721.4</v>
      </c>
      <c r="G799" s="63">
        <f>'Прил.№4 ведомств.'!I448</f>
        <v>9111.2470588235301</v>
      </c>
      <c r="H799" s="63">
        <f>'Прил.№4 ведомств.'!J448</f>
        <v>9109.2000000000007</v>
      </c>
      <c r="I799" s="63">
        <f>'Прил.№4 ведомств.'!K448</f>
        <v>9200.2999999999993</v>
      </c>
      <c r="J799" s="63">
        <f>'Прил.№4 ведомств.'!L448</f>
        <v>9292.2999999999993</v>
      </c>
      <c r="K799" s="63">
        <f>'Прил.№4 ведомств.'!M448</f>
        <v>8697.4</v>
      </c>
      <c r="L799" s="63">
        <f>'Прил.№4 ведомств.'!N448</f>
        <v>6698.1</v>
      </c>
      <c r="M799" s="7">
        <f t="shared" si="460"/>
        <v>77.012670453238911</v>
      </c>
    </row>
    <row r="800" spans="1:13" ht="31.5" x14ac:dyDescent="0.25">
      <c r="A800" s="31" t="s">
        <v>182</v>
      </c>
      <c r="B800" s="42" t="s">
        <v>350</v>
      </c>
      <c r="C800" s="42" t="s">
        <v>201</v>
      </c>
      <c r="D800" s="42" t="s">
        <v>392</v>
      </c>
      <c r="E800" s="42" t="s">
        <v>183</v>
      </c>
      <c r="F800" s="63">
        <f>F801</f>
        <v>1652.5</v>
      </c>
      <c r="G800" s="63">
        <f t="shared" ref="G800:L800" si="474">G801</f>
        <v>1183.4666666666667</v>
      </c>
      <c r="H800" s="63">
        <f t="shared" si="474"/>
        <v>2135.1999999999998</v>
      </c>
      <c r="I800" s="63">
        <f t="shared" si="474"/>
        <v>2159.8000000000002</v>
      </c>
      <c r="J800" s="63">
        <f t="shared" si="474"/>
        <v>2175.9</v>
      </c>
      <c r="K800" s="63">
        <f t="shared" si="474"/>
        <v>1636.1</v>
      </c>
      <c r="L800" s="63">
        <f t="shared" si="474"/>
        <v>903.2</v>
      </c>
      <c r="M800" s="7">
        <f t="shared" si="460"/>
        <v>55.204449605769824</v>
      </c>
    </row>
    <row r="801" spans="1:13" ht="47.25" x14ac:dyDescent="0.25">
      <c r="A801" s="31" t="s">
        <v>184</v>
      </c>
      <c r="B801" s="42" t="s">
        <v>350</v>
      </c>
      <c r="C801" s="42" t="s">
        <v>201</v>
      </c>
      <c r="D801" s="42" t="s">
        <v>392</v>
      </c>
      <c r="E801" s="42" t="s">
        <v>185</v>
      </c>
      <c r="F801" s="63">
        <f>'Прил.№4 ведомств.'!G450</f>
        <v>1652.5</v>
      </c>
      <c r="G801" s="63">
        <f>'Прил.№4 ведомств.'!I450</f>
        <v>1183.4666666666667</v>
      </c>
      <c r="H801" s="63">
        <f>'Прил.№4 ведомств.'!J450</f>
        <v>2135.1999999999998</v>
      </c>
      <c r="I801" s="63">
        <f>'Прил.№4 ведомств.'!K450</f>
        <v>2159.8000000000002</v>
      </c>
      <c r="J801" s="63">
        <f>'Прил.№4 ведомств.'!L450</f>
        <v>2175.9</v>
      </c>
      <c r="K801" s="63">
        <f>'Прил.№4 ведомств.'!M450</f>
        <v>1636.1</v>
      </c>
      <c r="L801" s="63">
        <f>'Прил.№4 ведомств.'!N450</f>
        <v>903.2</v>
      </c>
      <c r="M801" s="7">
        <f t="shared" si="460"/>
        <v>55.204449605769824</v>
      </c>
    </row>
    <row r="802" spans="1:13" ht="15.75" x14ac:dyDescent="0.25">
      <c r="A802" s="31" t="s">
        <v>186</v>
      </c>
      <c r="B802" s="42" t="s">
        <v>350</v>
      </c>
      <c r="C802" s="42" t="s">
        <v>201</v>
      </c>
      <c r="D802" s="42" t="s">
        <v>392</v>
      </c>
      <c r="E802" s="42" t="s">
        <v>196</v>
      </c>
      <c r="F802" s="63">
        <f>F803</f>
        <v>20</v>
      </c>
      <c r="G802" s="63">
        <f t="shared" ref="G802:L802" si="475">G803</f>
        <v>20</v>
      </c>
      <c r="H802" s="63">
        <f t="shared" si="475"/>
        <v>20</v>
      </c>
      <c r="I802" s="63">
        <f t="shared" si="475"/>
        <v>20</v>
      </c>
      <c r="J802" s="63">
        <f t="shared" si="475"/>
        <v>20</v>
      </c>
      <c r="K802" s="63">
        <f t="shared" si="475"/>
        <v>20</v>
      </c>
      <c r="L802" s="63">
        <f t="shared" si="475"/>
        <v>7.8</v>
      </c>
      <c r="M802" s="7">
        <f t="shared" si="460"/>
        <v>39</v>
      </c>
    </row>
    <row r="803" spans="1:13" ht="15.75" x14ac:dyDescent="0.25">
      <c r="A803" s="31" t="s">
        <v>620</v>
      </c>
      <c r="B803" s="42" t="s">
        <v>350</v>
      </c>
      <c r="C803" s="42" t="s">
        <v>201</v>
      </c>
      <c r="D803" s="42" t="s">
        <v>392</v>
      </c>
      <c r="E803" s="42" t="s">
        <v>189</v>
      </c>
      <c r="F803" s="63">
        <f>'Прил.№4 ведомств.'!G452</f>
        <v>20</v>
      </c>
      <c r="G803" s="63">
        <f>'Прил.№4 ведомств.'!I452</f>
        <v>20</v>
      </c>
      <c r="H803" s="63">
        <f>'Прил.№4 ведомств.'!J452</f>
        <v>20</v>
      </c>
      <c r="I803" s="63">
        <f>'Прил.№4 ведомств.'!K452</f>
        <v>20</v>
      </c>
      <c r="J803" s="63">
        <f>'Прил.№4 ведомств.'!L452</f>
        <v>20</v>
      </c>
      <c r="K803" s="63">
        <f>'Прил.№4 ведомств.'!M452</f>
        <v>20</v>
      </c>
      <c r="L803" s="63">
        <f>'Прил.№4 ведомств.'!N452</f>
        <v>7.8</v>
      </c>
      <c r="M803" s="7">
        <f t="shared" si="460"/>
        <v>39</v>
      </c>
    </row>
    <row r="804" spans="1:13" ht="15.75" x14ac:dyDescent="0.25">
      <c r="A804" s="43" t="s">
        <v>294</v>
      </c>
      <c r="B804" s="8" t="s">
        <v>295</v>
      </c>
      <c r="C804" s="8"/>
      <c r="D804" s="8"/>
      <c r="E804" s="8"/>
      <c r="F804" s="4">
        <f>F805+F811+F897+F889</f>
        <v>16937</v>
      </c>
      <c r="G804" s="4">
        <f t="shared" ref="G804:K804" si="476">G805+G811+G897+G889</f>
        <v>16927</v>
      </c>
      <c r="H804" s="4">
        <f t="shared" si="476"/>
        <v>17517.8</v>
      </c>
      <c r="I804" s="4">
        <f t="shared" si="476"/>
        <v>17632.8</v>
      </c>
      <c r="J804" s="4">
        <f t="shared" si="476"/>
        <v>17677.8</v>
      </c>
      <c r="K804" s="4">
        <f t="shared" si="476"/>
        <v>16848.3</v>
      </c>
      <c r="L804" s="4">
        <f t="shared" ref="L804" si="477">L805+L811+L897+L889</f>
        <v>11083.7</v>
      </c>
      <c r="M804" s="4">
        <f t="shared" si="460"/>
        <v>65.785272104604033</v>
      </c>
    </row>
    <row r="805" spans="1:13" ht="15.75" x14ac:dyDescent="0.25">
      <c r="A805" s="43" t="s">
        <v>296</v>
      </c>
      <c r="B805" s="8" t="s">
        <v>295</v>
      </c>
      <c r="C805" s="8" t="s">
        <v>169</v>
      </c>
      <c r="D805" s="8"/>
      <c r="E805" s="8"/>
      <c r="F805" s="4">
        <f>F807</f>
        <v>9066.4</v>
      </c>
      <c r="G805" s="4">
        <f t="shared" ref="G805:K805" si="478">G807</f>
        <v>9066.4</v>
      </c>
      <c r="H805" s="4">
        <f t="shared" si="478"/>
        <v>9066.5</v>
      </c>
      <c r="I805" s="4">
        <f t="shared" si="478"/>
        <v>9066.5</v>
      </c>
      <c r="J805" s="4">
        <f t="shared" si="478"/>
        <v>9066.5</v>
      </c>
      <c r="K805" s="4">
        <f t="shared" si="478"/>
        <v>9066.4</v>
      </c>
      <c r="L805" s="4">
        <f t="shared" ref="L805" si="479">L807</f>
        <v>6805.2</v>
      </c>
      <c r="M805" s="4">
        <f t="shared" si="460"/>
        <v>75.059560575311039</v>
      </c>
    </row>
    <row r="806" spans="1:13" ht="15.75" x14ac:dyDescent="0.25">
      <c r="A806" s="31" t="s">
        <v>172</v>
      </c>
      <c r="B806" s="42" t="s">
        <v>295</v>
      </c>
      <c r="C806" s="42" t="s">
        <v>169</v>
      </c>
      <c r="D806" s="42" t="s">
        <v>173</v>
      </c>
      <c r="E806" s="42"/>
      <c r="F806" s="7">
        <f>F807</f>
        <v>9066.4</v>
      </c>
      <c r="G806" s="7">
        <f t="shared" ref="G806:L809" si="480">G807</f>
        <v>9066.4</v>
      </c>
      <c r="H806" s="7">
        <f t="shared" si="480"/>
        <v>9066.5</v>
      </c>
      <c r="I806" s="7">
        <f t="shared" si="480"/>
        <v>9066.5</v>
      </c>
      <c r="J806" s="7">
        <f t="shared" si="480"/>
        <v>9066.5</v>
      </c>
      <c r="K806" s="7">
        <f t="shared" si="480"/>
        <v>9066.4</v>
      </c>
      <c r="L806" s="7">
        <f t="shared" si="480"/>
        <v>6805.2</v>
      </c>
      <c r="M806" s="7">
        <f t="shared" si="460"/>
        <v>75.059560575311039</v>
      </c>
    </row>
    <row r="807" spans="1:13" ht="15.75" x14ac:dyDescent="0.25">
      <c r="A807" s="31" t="s">
        <v>192</v>
      </c>
      <c r="B807" s="42" t="s">
        <v>295</v>
      </c>
      <c r="C807" s="42" t="s">
        <v>169</v>
      </c>
      <c r="D807" s="42" t="s">
        <v>193</v>
      </c>
      <c r="E807" s="42"/>
      <c r="F807" s="7">
        <f>F808</f>
        <v>9066.4</v>
      </c>
      <c r="G807" s="7">
        <f t="shared" si="480"/>
        <v>9066.4</v>
      </c>
      <c r="H807" s="7">
        <f t="shared" si="480"/>
        <v>9066.5</v>
      </c>
      <c r="I807" s="7">
        <f t="shared" si="480"/>
        <v>9066.5</v>
      </c>
      <c r="J807" s="7">
        <f t="shared" si="480"/>
        <v>9066.5</v>
      </c>
      <c r="K807" s="7">
        <f t="shared" si="480"/>
        <v>9066.4</v>
      </c>
      <c r="L807" s="7">
        <f t="shared" si="480"/>
        <v>6805.2</v>
      </c>
      <c r="M807" s="7">
        <f t="shared" si="460"/>
        <v>75.059560575311039</v>
      </c>
    </row>
    <row r="808" spans="1:13" ht="15.75" x14ac:dyDescent="0.25">
      <c r="A808" s="31" t="s">
        <v>297</v>
      </c>
      <c r="B808" s="42" t="s">
        <v>295</v>
      </c>
      <c r="C808" s="42" t="s">
        <v>169</v>
      </c>
      <c r="D808" s="42" t="s">
        <v>298</v>
      </c>
      <c r="E808" s="42"/>
      <c r="F808" s="7">
        <f>F809</f>
        <v>9066.4</v>
      </c>
      <c r="G808" s="7">
        <f t="shared" si="480"/>
        <v>9066.4</v>
      </c>
      <c r="H808" s="7">
        <f t="shared" si="480"/>
        <v>9066.5</v>
      </c>
      <c r="I808" s="7">
        <f t="shared" si="480"/>
        <v>9066.5</v>
      </c>
      <c r="J808" s="7">
        <f t="shared" si="480"/>
        <v>9066.5</v>
      </c>
      <c r="K808" s="7">
        <f t="shared" si="480"/>
        <v>9066.4</v>
      </c>
      <c r="L808" s="7">
        <f t="shared" si="480"/>
        <v>6805.2</v>
      </c>
      <c r="M808" s="7">
        <f t="shared" si="460"/>
        <v>75.059560575311039</v>
      </c>
    </row>
    <row r="809" spans="1:13" ht="31.5" x14ac:dyDescent="0.25">
      <c r="A809" s="31" t="s">
        <v>299</v>
      </c>
      <c r="B809" s="42" t="s">
        <v>295</v>
      </c>
      <c r="C809" s="42" t="s">
        <v>169</v>
      </c>
      <c r="D809" s="42" t="s">
        <v>298</v>
      </c>
      <c r="E809" s="42" t="s">
        <v>300</v>
      </c>
      <c r="F809" s="7">
        <f>F810</f>
        <v>9066.4</v>
      </c>
      <c r="G809" s="7">
        <f t="shared" si="480"/>
        <v>9066.4</v>
      </c>
      <c r="H809" s="7">
        <f t="shared" si="480"/>
        <v>9066.5</v>
      </c>
      <c r="I809" s="7">
        <f t="shared" si="480"/>
        <v>9066.5</v>
      </c>
      <c r="J809" s="7">
        <f t="shared" si="480"/>
        <v>9066.5</v>
      </c>
      <c r="K809" s="7">
        <f t="shared" si="480"/>
        <v>9066.4</v>
      </c>
      <c r="L809" s="7">
        <f t="shared" si="480"/>
        <v>6805.2</v>
      </c>
      <c r="M809" s="7">
        <f t="shared" si="460"/>
        <v>75.059560575311039</v>
      </c>
    </row>
    <row r="810" spans="1:13" ht="31.5" x14ac:dyDescent="0.25">
      <c r="A810" s="31" t="s">
        <v>301</v>
      </c>
      <c r="B810" s="42" t="s">
        <v>295</v>
      </c>
      <c r="C810" s="42" t="s">
        <v>169</v>
      </c>
      <c r="D810" s="42" t="s">
        <v>298</v>
      </c>
      <c r="E810" s="42" t="s">
        <v>302</v>
      </c>
      <c r="F810" s="63">
        <f>'Прил.№4 ведомств.'!G223</f>
        <v>9066.4</v>
      </c>
      <c r="G810" s="63">
        <f>'Прил.№4 ведомств.'!I223</f>
        <v>9066.4</v>
      </c>
      <c r="H810" s="63">
        <f>'Прил.№4 ведомств.'!J223</f>
        <v>9066.5</v>
      </c>
      <c r="I810" s="63">
        <f>'Прил.№4 ведомств.'!K223</f>
        <v>9066.5</v>
      </c>
      <c r="J810" s="63">
        <f>'Прил.№4 ведомств.'!L223</f>
        <v>9066.5</v>
      </c>
      <c r="K810" s="63">
        <f>'Прил.№4 ведомств.'!M223</f>
        <v>9066.4</v>
      </c>
      <c r="L810" s="63">
        <f>'Прил.№4 ведомств.'!N223</f>
        <v>6805.2</v>
      </c>
      <c r="M810" s="7">
        <f t="shared" si="460"/>
        <v>75.059560575311039</v>
      </c>
    </row>
    <row r="811" spans="1:13" ht="15.75" x14ac:dyDescent="0.25">
      <c r="A811" s="43" t="s">
        <v>303</v>
      </c>
      <c r="B811" s="8" t="s">
        <v>295</v>
      </c>
      <c r="C811" s="8" t="s">
        <v>266</v>
      </c>
      <c r="D811" s="8"/>
      <c r="E811" s="8"/>
      <c r="F811" s="4">
        <f>F812+F869+F865</f>
        <v>4635</v>
      </c>
      <c r="G811" s="4">
        <f t="shared" ref="G811:K811" si="481">G812+G869+G865</f>
        <v>4625</v>
      </c>
      <c r="H811" s="4">
        <f t="shared" si="481"/>
        <v>5195</v>
      </c>
      <c r="I811" s="4">
        <f t="shared" si="481"/>
        <v>5310</v>
      </c>
      <c r="J811" s="4">
        <f t="shared" si="481"/>
        <v>5355</v>
      </c>
      <c r="K811" s="4">
        <f t="shared" si="481"/>
        <v>4546.1000000000004</v>
      </c>
      <c r="L811" s="4">
        <f t="shared" ref="L811" si="482">L812+L869+L865</f>
        <v>2174.4</v>
      </c>
      <c r="M811" s="4">
        <f t="shared" si="460"/>
        <v>47.830008138844285</v>
      </c>
    </row>
    <row r="812" spans="1:13" ht="47.25" x14ac:dyDescent="0.25">
      <c r="A812" s="31" t="s">
        <v>394</v>
      </c>
      <c r="B812" s="42" t="s">
        <v>295</v>
      </c>
      <c r="C812" s="42" t="s">
        <v>266</v>
      </c>
      <c r="D812" s="42" t="s">
        <v>395</v>
      </c>
      <c r="E812" s="42"/>
      <c r="F812" s="7">
        <f>F813+F824+F828+F832+F838+F842+F846+F861</f>
        <v>3693</v>
      </c>
      <c r="G812" s="7">
        <f t="shared" ref="G812:K812" si="483">G813+G824+G828+G832+G838+G842+G846+G861</f>
        <v>3693</v>
      </c>
      <c r="H812" s="7">
        <f t="shared" si="483"/>
        <v>5185</v>
      </c>
      <c r="I812" s="7">
        <f t="shared" si="483"/>
        <v>5300</v>
      </c>
      <c r="J812" s="7">
        <f t="shared" si="483"/>
        <v>5345</v>
      </c>
      <c r="K812" s="7">
        <f t="shared" si="483"/>
        <v>3753</v>
      </c>
      <c r="L812" s="7">
        <f t="shared" ref="L812" si="484">L813+L824+L828+L832+L838+L842+L846+L861</f>
        <v>2032.3</v>
      </c>
      <c r="M812" s="7">
        <f t="shared" si="460"/>
        <v>54.151345590194509</v>
      </c>
    </row>
    <row r="813" spans="1:13" ht="31.5" x14ac:dyDescent="0.25">
      <c r="A813" s="31" t="s">
        <v>396</v>
      </c>
      <c r="B813" s="42" t="s">
        <v>295</v>
      </c>
      <c r="C813" s="42" t="s">
        <v>266</v>
      </c>
      <c r="D813" s="42" t="s">
        <v>397</v>
      </c>
      <c r="E813" s="42"/>
      <c r="F813" s="7">
        <f>F814+F821+F819</f>
        <v>935</v>
      </c>
      <c r="G813" s="7">
        <f t="shared" ref="G813:J813" si="485">G814+G821+G819</f>
        <v>935</v>
      </c>
      <c r="H813" s="7">
        <f t="shared" si="485"/>
        <v>985</v>
      </c>
      <c r="I813" s="7">
        <f t="shared" si="485"/>
        <v>1020</v>
      </c>
      <c r="J813" s="7">
        <f t="shared" si="485"/>
        <v>1035</v>
      </c>
      <c r="K813" s="7">
        <f>K814+K821</f>
        <v>1000</v>
      </c>
      <c r="L813" s="7">
        <f t="shared" ref="L813" si="486">L814+L821</f>
        <v>597.90000000000009</v>
      </c>
      <c r="M813" s="7">
        <f t="shared" si="460"/>
        <v>59.790000000000006</v>
      </c>
    </row>
    <row r="814" spans="1:13" ht="31.5" x14ac:dyDescent="0.25">
      <c r="A814" s="31" t="s">
        <v>208</v>
      </c>
      <c r="B814" s="42" t="s">
        <v>295</v>
      </c>
      <c r="C814" s="42" t="s">
        <v>266</v>
      </c>
      <c r="D814" s="42" t="s">
        <v>398</v>
      </c>
      <c r="E814" s="42"/>
      <c r="F814" s="7">
        <f>F817</f>
        <v>641.4</v>
      </c>
      <c r="G814" s="7">
        <f>G817</f>
        <v>641.4</v>
      </c>
      <c r="H814" s="7">
        <f>H817</f>
        <v>641.4</v>
      </c>
      <c r="I814" s="7">
        <f>I817</f>
        <v>641.4</v>
      </c>
      <c r="J814" s="7">
        <f>J817</f>
        <v>641.4</v>
      </c>
      <c r="K814" s="7">
        <f>K817+K815+K819</f>
        <v>731.4</v>
      </c>
      <c r="L814" s="7">
        <f t="shared" ref="L814" si="487">L817+L815+L819</f>
        <v>329.3</v>
      </c>
      <c r="M814" s="7">
        <f t="shared" si="460"/>
        <v>45.023243095433415</v>
      </c>
    </row>
    <row r="815" spans="1:13" ht="78.75" x14ac:dyDescent="0.25">
      <c r="A815" s="26" t="s">
        <v>178</v>
      </c>
      <c r="B815" s="42" t="s">
        <v>295</v>
      </c>
      <c r="C815" s="42" t="s">
        <v>266</v>
      </c>
      <c r="D815" s="42" t="s">
        <v>398</v>
      </c>
      <c r="E815" s="42" t="s">
        <v>179</v>
      </c>
      <c r="F815" s="7"/>
      <c r="G815" s="7"/>
      <c r="H815" s="7"/>
      <c r="I815" s="7"/>
      <c r="J815" s="7"/>
      <c r="K815" s="7">
        <f>K816</f>
        <v>40</v>
      </c>
      <c r="L815" s="7">
        <f t="shared" ref="L815" si="488">L816</f>
        <v>5</v>
      </c>
      <c r="M815" s="7">
        <f t="shared" si="460"/>
        <v>12.5</v>
      </c>
    </row>
    <row r="816" spans="1:13" ht="31.5" x14ac:dyDescent="0.25">
      <c r="A816" s="26" t="s">
        <v>393</v>
      </c>
      <c r="B816" s="42" t="s">
        <v>295</v>
      </c>
      <c r="C816" s="42" t="s">
        <v>266</v>
      </c>
      <c r="D816" s="42" t="s">
        <v>398</v>
      </c>
      <c r="E816" s="42" t="s">
        <v>260</v>
      </c>
      <c r="F816" s="7"/>
      <c r="G816" s="7"/>
      <c r="H816" s="7"/>
      <c r="I816" s="7"/>
      <c r="J816" s="7"/>
      <c r="K816" s="7">
        <f>'Прил.№4 ведомств.'!M459</f>
        <v>40</v>
      </c>
      <c r="L816" s="7">
        <f>'Прил.№4 ведомств.'!N459</f>
        <v>5</v>
      </c>
      <c r="M816" s="7">
        <f t="shared" si="460"/>
        <v>12.5</v>
      </c>
    </row>
    <row r="817" spans="1:13" ht="31.5" x14ac:dyDescent="0.25">
      <c r="A817" s="31" t="s">
        <v>182</v>
      </c>
      <c r="B817" s="42" t="s">
        <v>295</v>
      </c>
      <c r="C817" s="42" t="s">
        <v>266</v>
      </c>
      <c r="D817" s="42" t="s">
        <v>398</v>
      </c>
      <c r="E817" s="42" t="s">
        <v>183</v>
      </c>
      <c r="F817" s="7">
        <f>F818</f>
        <v>641.4</v>
      </c>
      <c r="G817" s="7">
        <f t="shared" ref="G817:L817" si="489">G818</f>
        <v>641.4</v>
      </c>
      <c r="H817" s="7">
        <f t="shared" si="489"/>
        <v>641.4</v>
      </c>
      <c r="I817" s="7">
        <f t="shared" si="489"/>
        <v>641.4</v>
      </c>
      <c r="J817" s="7">
        <f t="shared" si="489"/>
        <v>641.4</v>
      </c>
      <c r="K817" s="7">
        <f t="shared" si="489"/>
        <v>666.4</v>
      </c>
      <c r="L817" s="7">
        <f t="shared" si="489"/>
        <v>299.3</v>
      </c>
      <c r="M817" s="7">
        <f t="shared" si="460"/>
        <v>44.91296518607443</v>
      </c>
    </row>
    <row r="818" spans="1:13" ht="47.25" x14ac:dyDescent="0.25">
      <c r="A818" s="31" t="s">
        <v>184</v>
      </c>
      <c r="B818" s="42" t="s">
        <v>295</v>
      </c>
      <c r="C818" s="42" t="s">
        <v>266</v>
      </c>
      <c r="D818" s="42" t="s">
        <v>398</v>
      </c>
      <c r="E818" s="42" t="s">
        <v>185</v>
      </c>
      <c r="F818" s="7">
        <f>'Прил.№4 ведомств.'!G461</f>
        <v>641.4</v>
      </c>
      <c r="G818" s="7">
        <f>'Прил.№4 ведомств.'!I461</f>
        <v>641.4</v>
      </c>
      <c r="H818" s="7">
        <f>'Прил.№4 ведомств.'!J461</f>
        <v>641.4</v>
      </c>
      <c r="I818" s="7">
        <f>'Прил.№4 ведомств.'!K461</f>
        <v>641.4</v>
      </c>
      <c r="J818" s="7">
        <f>'Прил.№4 ведомств.'!L461</f>
        <v>641.4</v>
      </c>
      <c r="K818" s="7">
        <f>'Прил.№4 ведомств.'!M461</f>
        <v>666.4</v>
      </c>
      <c r="L818" s="7">
        <f>'Прил.№4 ведомств.'!N461</f>
        <v>299.3</v>
      </c>
      <c r="M818" s="7">
        <f t="shared" si="460"/>
        <v>44.91296518607443</v>
      </c>
    </row>
    <row r="819" spans="1:13" ht="31.5" x14ac:dyDescent="0.25">
      <c r="A819" s="31" t="s">
        <v>299</v>
      </c>
      <c r="B819" s="42" t="s">
        <v>295</v>
      </c>
      <c r="C819" s="42" t="s">
        <v>266</v>
      </c>
      <c r="D819" s="42" t="s">
        <v>398</v>
      </c>
      <c r="E819" s="42" t="s">
        <v>300</v>
      </c>
      <c r="F819" s="7">
        <f>F820</f>
        <v>25</v>
      </c>
      <c r="G819" s="7">
        <f t="shared" ref="G819:L819" si="490">G820</f>
        <v>25</v>
      </c>
      <c r="H819" s="7">
        <f t="shared" si="490"/>
        <v>75</v>
      </c>
      <c r="I819" s="7">
        <f t="shared" si="490"/>
        <v>110</v>
      </c>
      <c r="J819" s="7">
        <f t="shared" si="490"/>
        <v>125</v>
      </c>
      <c r="K819" s="7">
        <f t="shared" si="490"/>
        <v>25</v>
      </c>
      <c r="L819" s="7">
        <f t="shared" si="490"/>
        <v>25</v>
      </c>
      <c r="M819" s="7">
        <f t="shared" si="460"/>
        <v>100</v>
      </c>
    </row>
    <row r="820" spans="1:13" ht="31.5" x14ac:dyDescent="0.25">
      <c r="A820" s="31" t="s">
        <v>399</v>
      </c>
      <c r="B820" s="42" t="s">
        <v>295</v>
      </c>
      <c r="C820" s="42" t="s">
        <v>266</v>
      </c>
      <c r="D820" s="42" t="s">
        <v>398</v>
      </c>
      <c r="E820" s="42" t="s">
        <v>400</v>
      </c>
      <c r="F820" s="7">
        <f>'Прил.№4 ведомств.'!G463</f>
        <v>25</v>
      </c>
      <c r="G820" s="7">
        <f>'Прил.№4 ведомств.'!I463</f>
        <v>25</v>
      </c>
      <c r="H820" s="7">
        <f>'Прил.№4 ведомств.'!J463</f>
        <v>75</v>
      </c>
      <c r="I820" s="7">
        <f>'Прил.№4 ведомств.'!K463</f>
        <v>110</v>
      </c>
      <c r="J820" s="7">
        <f>'Прил.№4 ведомств.'!L463</f>
        <v>125</v>
      </c>
      <c r="K820" s="7">
        <f>'Прил.№4 ведомств.'!M463</f>
        <v>25</v>
      </c>
      <c r="L820" s="7">
        <f>'Прил.№4 ведомств.'!N463</f>
        <v>25</v>
      </c>
      <c r="M820" s="7">
        <f t="shared" si="460"/>
        <v>100</v>
      </c>
    </row>
    <row r="821" spans="1:13" ht="31.5" x14ac:dyDescent="0.25">
      <c r="A821" s="26" t="s">
        <v>401</v>
      </c>
      <c r="B821" s="42" t="s">
        <v>295</v>
      </c>
      <c r="C821" s="42" t="s">
        <v>266</v>
      </c>
      <c r="D821" s="21" t="s">
        <v>402</v>
      </c>
      <c r="E821" s="42"/>
      <c r="F821" s="7">
        <f>F822</f>
        <v>268.60000000000002</v>
      </c>
      <c r="G821" s="7">
        <f t="shared" ref="G821:L822" si="491">G822</f>
        <v>268.60000000000002</v>
      </c>
      <c r="H821" s="7">
        <f t="shared" si="491"/>
        <v>268.60000000000002</v>
      </c>
      <c r="I821" s="7">
        <f t="shared" si="491"/>
        <v>268.60000000000002</v>
      </c>
      <c r="J821" s="7">
        <f t="shared" si="491"/>
        <v>268.60000000000002</v>
      </c>
      <c r="K821" s="7">
        <f t="shared" si="491"/>
        <v>268.60000000000002</v>
      </c>
      <c r="L821" s="7">
        <f t="shared" si="491"/>
        <v>268.60000000000002</v>
      </c>
      <c r="M821" s="7">
        <f t="shared" si="460"/>
        <v>100</v>
      </c>
    </row>
    <row r="822" spans="1:13" ht="47.25" x14ac:dyDescent="0.25">
      <c r="A822" s="26" t="s">
        <v>323</v>
      </c>
      <c r="B822" s="42" t="s">
        <v>295</v>
      </c>
      <c r="C822" s="42" t="s">
        <v>266</v>
      </c>
      <c r="D822" s="21" t="s">
        <v>402</v>
      </c>
      <c r="E822" s="42" t="s">
        <v>324</v>
      </c>
      <c r="F822" s="7">
        <f>F823</f>
        <v>268.60000000000002</v>
      </c>
      <c r="G822" s="7">
        <f t="shared" si="491"/>
        <v>268.60000000000002</v>
      </c>
      <c r="H822" s="7">
        <f t="shared" si="491"/>
        <v>268.60000000000002</v>
      </c>
      <c r="I822" s="7">
        <f t="shared" si="491"/>
        <v>268.60000000000002</v>
      </c>
      <c r="J822" s="7">
        <f t="shared" si="491"/>
        <v>268.60000000000002</v>
      </c>
      <c r="K822" s="7">
        <f t="shared" si="491"/>
        <v>268.60000000000002</v>
      </c>
      <c r="L822" s="7">
        <f t="shared" si="491"/>
        <v>268.60000000000002</v>
      </c>
      <c r="M822" s="7">
        <f t="shared" si="460"/>
        <v>100</v>
      </c>
    </row>
    <row r="823" spans="1:13" ht="15.75" x14ac:dyDescent="0.25">
      <c r="A823" s="26" t="s">
        <v>325</v>
      </c>
      <c r="B823" s="42" t="s">
        <v>295</v>
      </c>
      <c r="C823" s="42" t="s">
        <v>266</v>
      </c>
      <c r="D823" s="21" t="s">
        <v>402</v>
      </c>
      <c r="E823" s="42" t="s">
        <v>326</v>
      </c>
      <c r="F823" s="7">
        <f>'Прил.№4 ведомств.'!G466</f>
        <v>268.60000000000002</v>
      </c>
      <c r="G823" s="7">
        <f>'Прил.№4 ведомств.'!I466</f>
        <v>268.60000000000002</v>
      </c>
      <c r="H823" s="7">
        <f>'Прил.№4 ведомств.'!J466</f>
        <v>268.60000000000002</v>
      </c>
      <c r="I823" s="7">
        <f>'Прил.№4 ведомств.'!K466</f>
        <v>268.60000000000002</v>
      </c>
      <c r="J823" s="7">
        <f>'Прил.№4 ведомств.'!L466</f>
        <v>268.60000000000002</v>
      </c>
      <c r="K823" s="7">
        <f>'Прил.№4 ведомств.'!M466</f>
        <v>268.60000000000002</v>
      </c>
      <c r="L823" s="7">
        <f>'Прил.№4 ведомств.'!N466</f>
        <v>268.60000000000002</v>
      </c>
      <c r="M823" s="7">
        <f t="shared" si="460"/>
        <v>100</v>
      </c>
    </row>
    <row r="824" spans="1:13" ht="31.5" x14ac:dyDescent="0.25">
      <c r="A824" s="31" t="s">
        <v>403</v>
      </c>
      <c r="B824" s="42" t="s">
        <v>295</v>
      </c>
      <c r="C824" s="42" t="s">
        <v>266</v>
      </c>
      <c r="D824" s="42" t="s">
        <v>404</v>
      </c>
      <c r="E824" s="42"/>
      <c r="F824" s="7">
        <f>F825</f>
        <v>63</v>
      </c>
      <c r="G824" s="7">
        <f t="shared" ref="G824:L826" si="492">G825</f>
        <v>63</v>
      </c>
      <c r="H824" s="7">
        <f t="shared" si="492"/>
        <v>63</v>
      </c>
      <c r="I824" s="7">
        <f t="shared" si="492"/>
        <v>63</v>
      </c>
      <c r="J824" s="7">
        <f t="shared" si="492"/>
        <v>63</v>
      </c>
      <c r="K824" s="7">
        <f t="shared" si="492"/>
        <v>148.4</v>
      </c>
      <c r="L824" s="7">
        <f t="shared" si="492"/>
        <v>26.9</v>
      </c>
      <c r="M824" s="7">
        <f t="shared" si="460"/>
        <v>18.126684636118597</v>
      </c>
    </row>
    <row r="825" spans="1:13" ht="31.5" x14ac:dyDescent="0.25">
      <c r="A825" s="26" t="s">
        <v>686</v>
      </c>
      <c r="B825" s="42" t="s">
        <v>295</v>
      </c>
      <c r="C825" s="42" t="s">
        <v>266</v>
      </c>
      <c r="D825" s="21" t="s">
        <v>687</v>
      </c>
      <c r="E825" s="42"/>
      <c r="F825" s="7">
        <f>F826</f>
        <v>63</v>
      </c>
      <c r="G825" s="7">
        <f t="shared" si="492"/>
        <v>63</v>
      </c>
      <c r="H825" s="7">
        <f t="shared" si="492"/>
        <v>63</v>
      </c>
      <c r="I825" s="7">
        <f t="shared" si="492"/>
        <v>63</v>
      </c>
      <c r="J825" s="7">
        <f t="shared" si="492"/>
        <v>63</v>
      </c>
      <c r="K825" s="7">
        <f t="shared" si="492"/>
        <v>148.4</v>
      </c>
      <c r="L825" s="7">
        <f t="shared" si="492"/>
        <v>26.9</v>
      </c>
      <c r="M825" s="7">
        <f t="shared" si="460"/>
        <v>18.126684636118597</v>
      </c>
    </row>
    <row r="826" spans="1:13" ht="31.5" x14ac:dyDescent="0.25">
      <c r="A826" s="31" t="s">
        <v>299</v>
      </c>
      <c r="B826" s="42" t="s">
        <v>295</v>
      </c>
      <c r="C826" s="42" t="s">
        <v>266</v>
      </c>
      <c r="D826" s="21" t="s">
        <v>687</v>
      </c>
      <c r="E826" s="42" t="s">
        <v>300</v>
      </c>
      <c r="F826" s="7">
        <f>F827</f>
        <v>63</v>
      </c>
      <c r="G826" s="7">
        <f t="shared" si="492"/>
        <v>63</v>
      </c>
      <c r="H826" s="7">
        <f t="shared" si="492"/>
        <v>63</v>
      </c>
      <c r="I826" s="7">
        <f t="shared" si="492"/>
        <v>63</v>
      </c>
      <c r="J826" s="7">
        <f t="shared" si="492"/>
        <v>63</v>
      </c>
      <c r="K826" s="7">
        <f t="shared" si="492"/>
        <v>148.4</v>
      </c>
      <c r="L826" s="7">
        <f t="shared" si="492"/>
        <v>26.9</v>
      </c>
      <c r="M826" s="7">
        <f t="shared" si="460"/>
        <v>18.126684636118597</v>
      </c>
    </row>
    <row r="827" spans="1:13" ht="31.5" x14ac:dyDescent="0.25">
      <c r="A827" s="31" t="s">
        <v>301</v>
      </c>
      <c r="B827" s="42" t="s">
        <v>295</v>
      </c>
      <c r="C827" s="42" t="s">
        <v>266</v>
      </c>
      <c r="D827" s="21" t="s">
        <v>687</v>
      </c>
      <c r="E827" s="42" t="s">
        <v>302</v>
      </c>
      <c r="F827" s="7">
        <f>'Прил.№4 ведомств.'!G470</f>
        <v>63</v>
      </c>
      <c r="G827" s="7">
        <f>'Прил.№4 ведомств.'!I470</f>
        <v>63</v>
      </c>
      <c r="H827" s="7">
        <f>'Прил.№4 ведомств.'!J470</f>
        <v>63</v>
      </c>
      <c r="I827" s="7">
        <f>'Прил.№4 ведомств.'!K470</f>
        <v>63</v>
      </c>
      <c r="J827" s="7">
        <f>'Прил.№4 ведомств.'!L470</f>
        <v>63</v>
      </c>
      <c r="K827" s="7">
        <f>'Прил.№4 ведомств.'!M470</f>
        <v>148.4</v>
      </c>
      <c r="L827" s="7">
        <f>'Прил.№4 ведомств.'!N470</f>
        <v>26.9</v>
      </c>
      <c r="M827" s="7">
        <f t="shared" si="460"/>
        <v>18.126684636118597</v>
      </c>
    </row>
    <row r="828" spans="1:13" ht="31.5" x14ac:dyDescent="0.25">
      <c r="A828" s="31" t="s">
        <v>406</v>
      </c>
      <c r="B828" s="6">
        <v>10</v>
      </c>
      <c r="C828" s="42" t="s">
        <v>266</v>
      </c>
      <c r="D828" s="42" t="s">
        <v>407</v>
      </c>
      <c r="E828" s="42"/>
      <c r="F828" s="7">
        <f>F830</f>
        <v>420</v>
      </c>
      <c r="G828" s="7">
        <f t="shared" ref="G828:K828" si="493">G830</f>
        <v>420</v>
      </c>
      <c r="H828" s="7">
        <f t="shared" si="493"/>
        <v>420</v>
      </c>
      <c r="I828" s="7">
        <f t="shared" si="493"/>
        <v>420</v>
      </c>
      <c r="J828" s="7">
        <f t="shared" si="493"/>
        <v>420</v>
      </c>
      <c r="K828" s="7">
        <f t="shared" si="493"/>
        <v>420</v>
      </c>
      <c r="L828" s="7">
        <f t="shared" ref="L828" si="494">L830</f>
        <v>260</v>
      </c>
      <c r="M828" s="7">
        <f t="shared" si="460"/>
        <v>61.904761904761905</v>
      </c>
    </row>
    <row r="829" spans="1:13" ht="31.5" x14ac:dyDescent="0.25">
      <c r="A829" s="31" t="s">
        <v>208</v>
      </c>
      <c r="B829" s="42" t="s">
        <v>295</v>
      </c>
      <c r="C829" s="42" t="s">
        <v>266</v>
      </c>
      <c r="D829" s="42" t="s">
        <v>408</v>
      </c>
      <c r="E829" s="42"/>
      <c r="F829" s="7">
        <f>F830</f>
        <v>420</v>
      </c>
      <c r="G829" s="7">
        <f t="shared" ref="G829:L830" si="495">G830</f>
        <v>420</v>
      </c>
      <c r="H829" s="7">
        <f t="shared" si="495"/>
        <v>420</v>
      </c>
      <c r="I829" s="7">
        <f t="shared" si="495"/>
        <v>420</v>
      </c>
      <c r="J829" s="7">
        <f t="shared" si="495"/>
        <v>420</v>
      </c>
      <c r="K829" s="7">
        <f t="shared" si="495"/>
        <v>420</v>
      </c>
      <c r="L829" s="7">
        <f t="shared" si="495"/>
        <v>260</v>
      </c>
      <c r="M829" s="7">
        <f t="shared" si="460"/>
        <v>61.904761904761905</v>
      </c>
    </row>
    <row r="830" spans="1:13" ht="31.5" x14ac:dyDescent="0.25">
      <c r="A830" s="31" t="s">
        <v>299</v>
      </c>
      <c r="B830" s="42" t="s">
        <v>295</v>
      </c>
      <c r="C830" s="42" t="s">
        <v>266</v>
      </c>
      <c r="D830" s="42" t="s">
        <v>408</v>
      </c>
      <c r="E830" s="42" t="s">
        <v>300</v>
      </c>
      <c r="F830" s="7">
        <f>F831</f>
        <v>420</v>
      </c>
      <c r="G830" s="7">
        <f t="shared" si="495"/>
        <v>420</v>
      </c>
      <c r="H830" s="7">
        <f t="shared" si="495"/>
        <v>420</v>
      </c>
      <c r="I830" s="7">
        <f t="shared" si="495"/>
        <v>420</v>
      </c>
      <c r="J830" s="7">
        <f t="shared" si="495"/>
        <v>420</v>
      </c>
      <c r="K830" s="7">
        <f t="shared" si="495"/>
        <v>420</v>
      </c>
      <c r="L830" s="7">
        <f t="shared" si="495"/>
        <v>260</v>
      </c>
      <c r="M830" s="7">
        <f t="shared" si="460"/>
        <v>61.904761904761905</v>
      </c>
    </row>
    <row r="831" spans="1:13" ht="31.5" x14ac:dyDescent="0.25">
      <c r="A831" s="31" t="s">
        <v>399</v>
      </c>
      <c r="B831" s="42" t="s">
        <v>295</v>
      </c>
      <c r="C831" s="42" t="s">
        <v>266</v>
      </c>
      <c r="D831" s="42" t="s">
        <v>408</v>
      </c>
      <c r="E831" s="42" t="s">
        <v>400</v>
      </c>
      <c r="F831" s="7">
        <f>'Прил.№4 ведомств.'!G474</f>
        <v>420</v>
      </c>
      <c r="G831" s="7">
        <f>'Прил.№4 ведомств.'!I474</f>
        <v>420</v>
      </c>
      <c r="H831" s="7">
        <f>'Прил.№4 ведомств.'!J474</f>
        <v>420</v>
      </c>
      <c r="I831" s="7">
        <f>'Прил.№4 ведомств.'!K474</f>
        <v>420</v>
      </c>
      <c r="J831" s="7">
        <f>'Прил.№4 ведомств.'!L474</f>
        <v>420</v>
      </c>
      <c r="K831" s="7">
        <f>'Прил.№4 ведомств.'!M474</f>
        <v>420</v>
      </c>
      <c r="L831" s="7">
        <f>'Прил.№4 ведомств.'!N474</f>
        <v>260</v>
      </c>
      <c r="M831" s="7">
        <f t="shared" si="460"/>
        <v>61.904761904761905</v>
      </c>
    </row>
    <row r="832" spans="1:13" ht="15.75" x14ac:dyDescent="0.25">
      <c r="A832" s="31" t="s">
        <v>409</v>
      </c>
      <c r="B832" s="6">
        <v>10</v>
      </c>
      <c r="C832" s="42" t="s">
        <v>266</v>
      </c>
      <c r="D832" s="42" t="s">
        <v>410</v>
      </c>
      <c r="E832" s="42"/>
      <c r="F832" s="7">
        <f>F833</f>
        <v>1595</v>
      </c>
      <c r="G832" s="7">
        <f t="shared" ref="G832:L832" si="496">G833</f>
        <v>1595</v>
      </c>
      <c r="H832" s="7">
        <f t="shared" si="496"/>
        <v>1595</v>
      </c>
      <c r="I832" s="7">
        <f t="shared" si="496"/>
        <v>1595</v>
      </c>
      <c r="J832" s="7">
        <f t="shared" si="496"/>
        <v>1595</v>
      </c>
      <c r="K832" s="7">
        <f t="shared" si="496"/>
        <v>1504.6</v>
      </c>
      <c r="L832" s="7">
        <f t="shared" si="496"/>
        <v>773.3</v>
      </c>
      <c r="M832" s="7">
        <f t="shared" si="460"/>
        <v>51.395719792635916</v>
      </c>
    </row>
    <row r="833" spans="1:13" ht="31.5" x14ac:dyDescent="0.25">
      <c r="A833" s="31" t="s">
        <v>208</v>
      </c>
      <c r="B833" s="42" t="s">
        <v>295</v>
      </c>
      <c r="C833" s="42" t="s">
        <v>266</v>
      </c>
      <c r="D833" s="42" t="s">
        <v>411</v>
      </c>
      <c r="E833" s="42"/>
      <c r="F833" s="7">
        <f>F834+F836</f>
        <v>1595</v>
      </c>
      <c r="G833" s="7">
        <f t="shared" ref="G833:K833" si="497">G834+G836</f>
        <v>1595</v>
      </c>
      <c r="H833" s="7">
        <f t="shared" si="497"/>
        <v>1595</v>
      </c>
      <c r="I833" s="7">
        <f t="shared" si="497"/>
        <v>1595</v>
      </c>
      <c r="J833" s="7">
        <f t="shared" si="497"/>
        <v>1595</v>
      </c>
      <c r="K833" s="7">
        <f t="shared" si="497"/>
        <v>1504.6</v>
      </c>
      <c r="L833" s="7">
        <f t="shared" ref="L833" si="498">L834+L836</f>
        <v>773.3</v>
      </c>
      <c r="M833" s="7">
        <f t="shared" si="460"/>
        <v>51.395719792635916</v>
      </c>
    </row>
    <row r="834" spans="1:13" ht="31.5" x14ac:dyDescent="0.25">
      <c r="A834" s="31" t="s">
        <v>182</v>
      </c>
      <c r="B834" s="42" t="s">
        <v>295</v>
      </c>
      <c r="C834" s="42" t="s">
        <v>266</v>
      </c>
      <c r="D834" s="42" t="s">
        <v>411</v>
      </c>
      <c r="E834" s="42" t="s">
        <v>183</v>
      </c>
      <c r="F834" s="7">
        <f>F835</f>
        <v>547</v>
      </c>
      <c r="G834" s="7">
        <f t="shared" ref="G834:L834" si="499">G835</f>
        <v>547</v>
      </c>
      <c r="H834" s="7">
        <f t="shared" si="499"/>
        <v>547</v>
      </c>
      <c r="I834" s="7">
        <f t="shared" si="499"/>
        <v>547</v>
      </c>
      <c r="J834" s="7">
        <f t="shared" si="499"/>
        <v>547</v>
      </c>
      <c r="K834" s="7">
        <f t="shared" si="499"/>
        <v>456.6</v>
      </c>
      <c r="L834" s="7">
        <f t="shared" si="499"/>
        <v>9</v>
      </c>
      <c r="M834" s="7">
        <f t="shared" si="460"/>
        <v>1.971090670170828</v>
      </c>
    </row>
    <row r="835" spans="1:13" ht="47.25" x14ac:dyDescent="0.25">
      <c r="A835" s="31" t="s">
        <v>184</v>
      </c>
      <c r="B835" s="42" t="s">
        <v>295</v>
      </c>
      <c r="C835" s="42" t="s">
        <v>266</v>
      </c>
      <c r="D835" s="42" t="s">
        <v>411</v>
      </c>
      <c r="E835" s="42" t="s">
        <v>185</v>
      </c>
      <c r="F835" s="7">
        <f>'Прил.№4 ведомств.'!G478</f>
        <v>547</v>
      </c>
      <c r="G835" s="7">
        <f>'Прил.№4 ведомств.'!I478</f>
        <v>547</v>
      </c>
      <c r="H835" s="7">
        <f>'Прил.№4 ведомств.'!J478</f>
        <v>547</v>
      </c>
      <c r="I835" s="7">
        <f>'Прил.№4 ведомств.'!K478</f>
        <v>547</v>
      </c>
      <c r="J835" s="7">
        <f>'Прил.№4 ведомств.'!L478</f>
        <v>547</v>
      </c>
      <c r="K835" s="7">
        <f>'Прил.№4 ведомств.'!M478</f>
        <v>456.6</v>
      </c>
      <c r="L835" s="7">
        <f>'Прил.№4 ведомств.'!N478</f>
        <v>9</v>
      </c>
      <c r="M835" s="7">
        <f t="shared" si="460"/>
        <v>1.971090670170828</v>
      </c>
    </row>
    <row r="836" spans="1:13" ht="31.5" x14ac:dyDescent="0.25">
      <c r="A836" s="31" t="s">
        <v>299</v>
      </c>
      <c r="B836" s="42" t="s">
        <v>295</v>
      </c>
      <c r="C836" s="42" t="s">
        <v>266</v>
      </c>
      <c r="D836" s="42" t="s">
        <v>411</v>
      </c>
      <c r="E836" s="42" t="s">
        <v>300</v>
      </c>
      <c r="F836" s="7">
        <f>F837</f>
        <v>1048</v>
      </c>
      <c r="G836" s="7">
        <f t="shared" ref="G836:L836" si="500">G837</f>
        <v>1048</v>
      </c>
      <c r="H836" s="7">
        <f t="shared" si="500"/>
        <v>1048</v>
      </c>
      <c r="I836" s="7">
        <f t="shared" si="500"/>
        <v>1048</v>
      </c>
      <c r="J836" s="7">
        <f t="shared" si="500"/>
        <v>1048</v>
      </c>
      <c r="K836" s="7">
        <f t="shared" si="500"/>
        <v>1048</v>
      </c>
      <c r="L836" s="7">
        <f t="shared" si="500"/>
        <v>764.3</v>
      </c>
      <c r="M836" s="7">
        <f t="shared" si="460"/>
        <v>72.929389312977094</v>
      </c>
    </row>
    <row r="837" spans="1:13" ht="31.5" x14ac:dyDescent="0.25">
      <c r="A837" s="31" t="s">
        <v>399</v>
      </c>
      <c r="B837" s="42" t="s">
        <v>295</v>
      </c>
      <c r="C837" s="42" t="s">
        <v>266</v>
      </c>
      <c r="D837" s="42" t="s">
        <v>411</v>
      </c>
      <c r="E837" s="42" t="s">
        <v>400</v>
      </c>
      <c r="F837" s="7">
        <f>'Прил.№4 ведомств.'!G480</f>
        <v>1048</v>
      </c>
      <c r="G837" s="7">
        <f>'Прил.№4 ведомств.'!I480</f>
        <v>1048</v>
      </c>
      <c r="H837" s="7">
        <f>'Прил.№4 ведомств.'!J480</f>
        <v>1048</v>
      </c>
      <c r="I837" s="7">
        <f>'Прил.№4 ведомств.'!K480</f>
        <v>1048</v>
      </c>
      <c r="J837" s="7">
        <f>'Прил.№4 ведомств.'!L480</f>
        <v>1048</v>
      </c>
      <c r="K837" s="7">
        <f>'Прил.№4 ведомств.'!M480</f>
        <v>1048</v>
      </c>
      <c r="L837" s="7">
        <f>'Прил.№4 ведомств.'!N480</f>
        <v>764.3</v>
      </c>
      <c r="M837" s="7">
        <f t="shared" si="460"/>
        <v>72.929389312977094</v>
      </c>
    </row>
    <row r="838" spans="1:13" ht="31.5" x14ac:dyDescent="0.25">
      <c r="A838" s="31" t="s">
        <v>412</v>
      </c>
      <c r="B838" s="42" t="s">
        <v>295</v>
      </c>
      <c r="C838" s="42" t="s">
        <v>266</v>
      </c>
      <c r="D838" s="42" t="s">
        <v>413</v>
      </c>
      <c r="E838" s="42"/>
      <c r="F838" s="7">
        <f>F839</f>
        <v>335</v>
      </c>
      <c r="G838" s="7">
        <f t="shared" ref="G838:L840" si="501">G839</f>
        <v>335</v>
      </c>
      <c r="H838" s="7">
        <f t="shared" si="501"/>
        <v>1882</v>
      </c>
      <c r="I838" s="7">
        <f t="shared" si="501"/>
        <v>1962</v>
      </c>
      <c r="J838" s="7">
        <f t="shared" si="501"/>
        <v>1992</v>
      </c>
      <c r="K838" s="7">
        <f t="shared" si="501"/>
        <v>250</v>
      </c>
      <c r="L838" s="7">
        <f t="shared" si="501"/>
        <v>199.9</v>
      </c>
      <c r="M838" s="7">
        <f t="shared" si="460"/>
        <v>79.959999999999994</v>
      </c>
    </row>
    <row r="839" spans="1:13" ht="31.5" x14ac:dyDescent="0.25">
      <c r="A839" s="31" t="s">
        <v>208</v>
      </c>
      <c r="B839" s="42" t="s">
        <v>295</v>
      </c>
      <c r="C839" s="42" t="s">
        <v>266</v>
      </c>
      <c r="D839" s="42" t="s">
        <v>414</v>
      </c>
      <c r="E839" s="42"/>
      <c r="F839" s="7">
        <f>F840</f>
        <v>335</v>
      </c>
      <c r="G839" s="7">
        <f t="shared" si="501"/>
        <v>335</v>
      </c>
      <c r="H839" s="7">
        <f t="shared" si="501"/>
        <v>1882</v>
      </c>
      <c r="I839" s="7">
        <f t="shared" si="501"/>
        <v>1962</v>
      </c>
      <c r="J839" s="7">
        <f t="shared" si="501"/>
        <v>1992</v>
      </c>
      <c r="K839" s="7">
        <f t="shared" si="501"/>
        <v>250</v>
      </c>
      <c r="L839" s="7">
        <f t="shared" si="501"/>
        <v>199.9</v>
      </c>
      <c r="M839" s="7">
        <f t="shared" si="460"/>
        <v>79.959999999999994</v>
      </c>
    </row>
    <row r="840" spans="1:13" ht="31.5" x14ac:dyDescent="0.25">
      <c r="A840" s="31" t="s">
        <v>299</v>
      </c>
      <c r="B840" s="42" t="s">
        <v>295</v>
      </c>
      <c r="C840" s="42" t="s">
        <v>266</v>
      </c>
      <c r="D840" s="42" t="s">
        <v>414</v>
      </c>
      <c r="E840" s="42" t="s">
        <v>300</v>
      </c>
      <c r="F840" s="7">
        <f>F841</f>
        <v>335</v>
      </c>
      <c r="G840" s="7">
        <f t="shared" si="501"/>
        <v>335</v>
      </c>
      <c r="H840" s="7">
        <f t="shared" si="501"/>
        <v>1882</v>
      </c>
      <c r="I840" s="7">
        <f t="shared" si="501"/>
        <v>1962</v>
      </c>
      <c r="J840" s="7">
        <f t="shared" si="501"/>
        <v>1992</v>
      </c>
      <c r="K840" s="7">
        <f t="shared" si="501"/>
        <v>250</v>
      </c>
      <c r="L840" s="7">
        <f t="shared" si="501"/>
        <v>199.9</v>
      </c>
      <c r="M840" s="7">
        <f t="shared" si="460"/>
        <v>79.959999999999994</v>
      </c>
    </row>
    <row r="841" spans="1:13" ht="31.5" x14ac:dyDescent="0.25">
      <c r="A841" s="31" t="s">
        <v>399</v>
      </c>
      <c r="B841" s="42" t="s">
        <v>295</v>
      </c>
      <c r="C841" s="42" t="s">
        <v>266</v>
      </c>
      <c r="D841" s="42" t="s">
        <v>414</v>
      </c>
      <c r="E841" s="42" t="s">
        <v>400</v>
      </c>
      <c r="F841" s="7">
        <f>'Прил.№4 ведомств.'!G484</f>
        <v>335</v>
      </c>
      <c r="G841" s="7">
        <f>'Прил.№4 ведомств.'!I484</f>
        <v>335</v>
      </c>
      <c r="H841" s="7">
        <f>'Прил.№4 ведомств.'!J484</f>
        <v>1882</v>
      </c>
      <c r="I841" s="7">
        <f>'Прил.№4 ведомств.'!K484</f>
        <v>1962</v>
      </c>
      <c r="J841" s="7">
        <f>'Прил.№4 ведомств.'!L484</f>
        <v>1992</v>
      </c>
      <c r="K841" s="7">
        <f>'Прил.№4 ведомств.'!M484</f>
        <v>250</v>
      </c>
      <c r="L841" s="7">
        <f>'Прил.№4 ведомств.'!N484</f>
        <v>199.9</v>
      </c>
      <c r="M841" s="7">
        <f t="shared" si="460"/>
        <v>79.959999999999994</v>
      </c>
    </row>
    <row r="842" spans="1:13" ht="47.25" x14ac:dyDescent="0.25">
      <c r="A842" s="31" t="s">
        <v>415</v>
      </c>
      <c r="B842" s="42" t="s">
        <v>295</v>
      </c>
      <c r="C842" s="42" t="s">
        <v>266</v>
      </c>
      <c r="D842" s="42" t="s">
        <v>416</v>
      </c>
      <c r="E842" s="42"/>
      <c r="F842" s="7">
        <f>F843</f>
        <v>210</v>
      </c>
      <c r="G842" s="7">
        <f t="shared" ref="G842:L844" si="502">G843</f>
        <v>210</v>
      </c>
      <c r="H842" s="7">
        <f t="shared" si="502"/>
        <v>210</v>
      </c>
      <c r="I842" s="7">
        <f t="shared" si="502"/>
        <v>210</v>
      </c>
      <c r="J842" s="7">
        <f t="shared" si="502"/>
        <v>210</v>
      </c>
      <c r="K842" s="7">
        <f t="shared" si="502"/>
        <v>210</v>
      </c>
      <c r="L842" s="7">
        <f t="shared" si="502"/>
        <v>68</v>
      </c>
      <c r="M842" s="7">
        <f t="shared" si="460"/>
        <v>32.38095238095238</v>
      </c>
    </row>
    <row r="843" spans="1:13" ht="31.5" x14ac:dyDescent="0.25">
      <c r="A843" s="31" t="s">
        <v>208</v>
      </c>
      <c r="B843" s="42" t="s">
        <v>295</v>
      </c>
      <c r="C843" s="42" t="s">
        <v>266</v>
      </c>
      <c r="D843" s="42" t="s">
        <v>417</v>
      </c>
      <c r="E843" s="42"/>
      <c r="F843" s="7">
        <f>F844</f>
        <v>210</v>
      </c>
      <c r="G843" s="7">
        <f t="shared" si="502"/>
        <v>210</v>
      </c>
      <c r="H843" s="7">
        <f t="shared" si="502"/>
        <v>210</v>
      </c>
      <c r="I843" s="7">
        <f t="shared" si="502"/>
        <v>210</v>
      </c>
      <c r="J843" s="7">
        <f t="shared" si="502"/>
        <v>210</v>
      </c>
      <c r="K843" s="7">
        <f t="shared" si="502"/>
        <v>210</v>
      </c>
      <c r="L843" s="7">
        <f t="shared" si="502"/>
        <v>68</v>
      </c>
      <c r="M843" s="7">
        <f t="shared" si="460"/>
        <v>32.38095238095238</v>
      </c>
    </row>
    <row r="844" spans="1:13" ht="31.5" x14ac:dyDescent="0.25">
      <c r="A844" s="31" t="s">
        <v>182</v>
      </c>
      <c r="B844" s="42" t="s">
        <v>295</v>
      </c>
      <c r="C844" s="42" t="s">
        <v>266</v>
      </c>
      <c r="D844" s="42" t="s">
        <v>417</v>
      </c>
      <c r="E844" s="42" t="s">
        <v>183</v>
      </c>
      <c r="F844" s="7">
        <f>F845</f>
        <v>210</v>
      </c>
      <c r="G844" s="7">
        <f t="shared" si="502"/>
        <v>210</v>
      </c>
      <c r="H844" s="7">
        <f t="shared" si="502"/>
        <v>210</v>
      </c>
      <c r="I844" s="7">
        <f t="shared" si="502"/>
        <v>210</v>
      </c>
      <c r="J844" s="7">
        <f t="shared" si="502"/>
        <v>210</v>
      </c>
      <c r="K844" s="7">
        <f t="shared" si="502"/>
        <v>210</v>
      </c>
      <c r="L844" s="7">
        <f t="shared" si="502"/>
        <v>68</v>
      </c>
      <c r="M844" s="7">
        <f t="shared" si="460"/>
        <v>32.38095238095238</v>
      </c>
    </row>
    <row r="845" spans="1:13" ht="47.25" x14ac:dyDescent="0.25">
      <c r="A845" s="31" t="s">
        <v>184</v>
      </c>
      <c r="B845" s="42" t="s">
        <v>295</v>
      </c>
      <c r="C845" s="42" t="s">
        <v>266</v>
      </c>
      <c r="D845" s="42" t="s">
        <v>417</v>
      </c>
      <c r="E845" s="42" t="s">
        <v>185</v>
      </c>
      <c r="F845" s="7">
        <f>'Прил.№4 ведомств.'!G488</f>
        <v>210</v>
      </c>
      <c r="G845" s="7">
        <f>'Прил.№4 ведомств.'!I488</f>
        <v>210</v>
      </c>
      <c r="H845" s="7">
        <f>'Прил.№4 ведомств.'!J488</f>
        <v>210</v>
      </c>
      <c r="I845" s="7">
        <f>'Прил.№4 ведомств.'!K488</f>
        <v>210</v>
      </c>
      <c r="J845" s="7">
        <f>'Прил.№4 ведомств.'!L488</f>
        <v>210</v>
      </c>
      <c r="K845" s="7">
        <f>'Прил.№4 ведомств.'!M488</f>
        <v>210</v>
      </c>
      <c r="L845" s="7">
        <f>'Прил.№4 ведомств.'!N488</f>
        <v>68</v>
      </c>
      <c r="M845" s="7">
        <f t="shared" ref="M845:M908" si="503">L845/K845*100</f>
        <v>32.38095238095238</v>
      </c>
    </row>
    <row r="846" spans="1:13" ht="47.25" x14ac:dyDescent="0.25">
      <c r="A846" s="31" t="s">
        <v>418</v>
      </c>
      <c r="B846" s="42" t="s">
        <v>295</v>
      </c>
      <c r="C846" s="42" t="s">
        <v>266</v>
      </c>
      <c r="D846" s="42" t="s">
        <v>419</v>
      </c>
      <c r="E846" s="42"/>
      <c r="F846" s="7">
        <f>F847+F852+F855+F858</f>
        <v>30</v>
      </c>
      <c r="G846" s="7">
        <f t="shared" ref="G846:K846" si="504">G847+G852+G855+G858</f>
        <v>30</v>
      </c>
      <c r="H846" s="7">
        <f t="shared" si="504"/>
        <v>30</v>
      </c>
      <c r="I846" s="7">
        <f t="shared" si="504"/>
        <v>30</v>
      </c>
      <c r="J846" s="7">
        <f t="shared" si="504"/>
        <v>30</v>
      </c>
      <c r="K846" s="7">
        <f t="shared" si="504"/>
        <v>20</v>
      </c>
      <c r="L846" s="7">
        <f t="shared" ref="L846" si="505">L847+L852+L855+L858</f>
        <v>0</v>
      </c>
      <c r="M846" s="7">
        <f t="shared" si="503"/>
        <v>0</v>
      </c>
    </row>
    <row r="847" spans="1:13" ht="31.5" x14ac:dyDescent="0.25">
      <c r="A847" s="31" t="s">
        <v>208</v>
      </c>
      <c r="B847" s="42" t="s">
        <v>295</v>
      </c>
      <c r="C847" s="42" t="s">
        <v>266</v>
      </c>
      <c r="D847" s="42" t="s">
        <v>421</v>
      </c>
      <c r="E847" s="42"/>
      <c r="F847" s="7">
        <f>F850+F848</f>
        <v>20</v>
      </c>
      <c r="G847" s="7">
        <f t="shared" ref="G847:K847" si="506">G850+G848</f>
        <v>20</v>
      </c>
      <c r="H847" s="7">
        <f t="shared" si="506"/>
        <v>20</v>
      </c>
      <c r="I847" s="7">
        <f t="shared" si="506"/>
        <v>20</v>
      </c>
      <c r="J847" s="7">
        <f t="shared" si="506"/>
        <v>20</v>
      </c>
      <c r="K847" s="7">
        <f t="shared" si="506"/>
        <v>10</v>
      </c>
      <c r="L847" s="7">
        <f t="shared" ref="L847" si="507">L850+L848</f>
        <v>0</v>
      </c>
      <c r="M847" s="7">
        <f t="shared" si="503"/>
        <v>0</v>
      </c>
    </row>
    <row r="848" spans="1:13" ht="31.5" hidden="1" customHeight="1" x14ac:dyDescent="0.25">
      <c r="A848" s="31" t="s">
        <v>182</v>
      </c>
      <c r="B848" s="42" t="s">
        <v>295</v>
      </c>
      <c r="C848" s="42" t="s">
        <v>266</v>
      </c>
      <c r="D848" s="42" t="s">
        <v>421</v>
      </c>
      <c r="E848" s="42" t="s">
        <v>183</v>
      </c>
      <c r="F848" s="7">
        <f>F849</f>
        <v>0</v>
      </c>
      <c r="G848" s="7">
        <f t="shared" ref="G848:L848" si="508">G849</f>
        <v>0</v>
      </c>
      <c r="H848" s="7">
        <f t="shared" si="508"/>
        <v>0</v>
      </c>
      <c r="I848" s="7">
        <f t="shared" si="508"/>
        <v>0</v>
      </c>
      <c r="J848" s="7">
        <f t="shared" si="508"/>
        <v>0</v>
      </c>
      <c r="K848" s="7">
        <f t="shared" si="508"/>
        <v>0</v>
      </c>
      <c r="L848" s="7">
        <f t="shared" si="508"/>
        <v>0</v>
      </c>
      <c r="M848" s="7" t="e">
        <f t="shared" si="503"/>
        <v>#DIV/0!</v>
      </c>
    </row>
    <row r="849" spans="1:13" ht="47.25" hidden="1" customHeight="1" x14ac:dyDescent="0.25">
      <c r="A849" s="31" t="s">
        <v>184</v>
      </c>
      <c r="B849" s="42" t="s">
        <v>295</v>
      </c>
      <c r="C849" s="42" t="s">
        <v>266</v>
      </c>
      <c r="D849" s="42" t="s">
        <v>421</v>
      </c>
      <c r="E849" s="42" t="s">
        <v>185</v>
      </c>
      <c r="F849" s="7"/>
      <c r="G849" s="7"/>
      <c r="H849" s="7"/>
      <c r="I849" s="7"/>
      <c r="J849" s="7"/>
      <c r="K849" s="7"/>
      <c r="L849" s="7"/>
      <c r="M849" s="7" t="e">
        <f t="shared" si="503"/>
        <v>#DIV/0!</v>
      </c>
    </row>
    <row r="850" spans="1:13" ht="47.25" x14ac:dyDescent="0.25">
      <c r="A850" s="26" t="s">
        <v>323</v>
      </c>
      <c r="B850" s="42" t="s">
        <v>295</v>
      </c>
      <c r="C850" s="42" t="s">
        <v>266</v>
      </c>
      <c r="D850" s="42" t="s">
        <v>421</v>
      </c>
      <c r="E850" s="42" t="s">
        <v>324</v>
      </c>
      <c r="F850" s="7">
        <f>F851</f>
        <v>20</v>
      </c>
      <c r="G850" s="7">
        <f t="shared" ref="G850:L850" si="509">G851</f>
        <v>20</v>
      </c>
      <c r="H850" s="7">
        <f t="shared" si="509"/>
        <v>20</v>
      </c>
      <c r="I850" s="7">
        <f t="shared" si="509"/>
        <v>20</v>
      </c>
      <c r="J850" s="7">
        <f t="shared" si="509"/>
        <v>20</v>
      </c>
      <c r="K850" s="7">
        <f t="shared" si="509"/>
        <v>10</v>
      </c>
      <c r="L850" s="7">
        <f t="shared" si="509"/>
        <v>0</v>
      </c>
      <c r="M850" s="7">
        <f t="shared" si="503"/>
        <v>0</v>
      </c>
    </row>
    <row r="851" spans="1:13" ht="63" x14ac:dyDescent="0.25">
      <c r="A851" s="41" t="s">
        <v>422</v>
      </c>
      <c r="B851" s="42" t="s">
        <v>295</v>
      </c>
      <c r="C851" s="42" t="s">
        <v>266</v>
      </c>
      <c r="D851" s="42" t="s">
        <v>421</v>
      </c>
      <c r="E851" s="42" t="s">
        <v>423</v>
      </c>
      <c r="F851" s="7">
        <f>'Прил.№4 ведомств.'!G492</f>
        <v>20</v>
      </c>
      <c r="G851" s="7">
        <f>'Прил.№4 ведомств.'!I492</f>
        <v>20</v>
      </c>
      <c r="H851" s="7">
        <f>'Прил.№4 ведомств.'!J492</f>
        <v>20</v>
      </c>
      <c r="I851" s="7">
        <f>'Прил.№4 ведомств.'!K492</f>
        <v>20</v>
      </c>
      <c r="J851" s="7">
        <f>'Прил.№4 ведомств.'!L492</f>
        <v>20</v>
      </c>
      <c r="K851" s="7">
        <f>'Прил.№4 ведомств.'!M492</f>
        <v>10</v>
      </c>
      <c r="L851" s="7">
        <f>'Прил.№4 ведомств.'!N492</f>
        <v>0</v>
      </c>
      <c r="M851" s="7">
        <f t="shared" si="503"/>
        <v>0</v>
      </c>
    </row>
    <row r="852" spans="1:13" ht="110.25" hidden="1" customHeight="1" x14ac:dyDescent="0.25">
      <c r="A852" s="26" t="s">
        <v>424</v>
      </c>
      <c r="B852" s="21" t="s">
        <v>295</v>
      </c>
      <c r="C852" s="21" t="s">
        <v>266</v>
      </c>
      <c r="D852" s="21" t="s">
        <v>425</v>
      </c>
      <c r="E852" s="42"/>
      <c r="F852" s="7">
        <f>F853</f>
        <v>0</v>
      </c>
      <c r="G852" s="7">
        <f t="shared" ref="G852:L853" si="510">G853</f>
        <v>0</v>
      </c>
      <c r="H852" s="7">
        <f t="shared" si="510"/>
        <v>0</v>
      </c>
      <c r="I852" s="7">
        <f t="shared" si="510"/>
        <v>0</v>
      </c>
      <c r="J852" s="7">
        <f t="shared" si="510"/>
        <v>0</v>
      </c>
      <c r="K852" s="7">
        <f t="shared" si="510"/>
        <v>0</v>
      </c>
      <c r="L852" s="7">
        <f t="shared" si="510"/>
        <v>0</v>
      </c>
      <c r="M852" s="7" t="e">
        <f t="shared" si="503"/>
        <v>#DIV/0!</v>
      </c>
    </row>
    <row r="853" spans="1:13" ht="15.75" hidden="1" customHeight="1" x14ac:dyDescent="0.25">
      <c r="A853" s="26" t="s">
        <v>186</v>
      </c>
      <c r="B853" s="21" t="s">
        <v>295</v>
      </c>
      <c r="C853" s="21" t="s">
        <v>266</v>
      </c>
      <c r="D853" s="21" t="s">
        <v>425</v>
      </c>
      <c r="E853" s="42" t="s">
        <v>196</v>
      </c>
      <c r="F853" s="7">
        <f>F854</f>
        <v>0</v>
      </c>
      <c r="G853" s="7">
        <f t="shared" si="510"/>
        <v>0</v>
      </c>
      <c r="H853" s="7">
        <f t="shared" si="510"/>
        <v>0</v>
      </c>
      <c r="I853" s="7">
        <f t="shared" si="510"/>
        <v>0</v>
      </c>
      <c r="J853" s="7">
        <f t="shared" si="510"/>
        <v>0</v>
      </c>
      <c r="K853" s="7">
        <f t="shared" si="510"/>
        <v>0</v>
      </c>
      <c r="L853" s="7">
        <f t="shared" si="510"/>
        <v>0</v>
      </c>
      <c r="M853" s="7" t="e">
        <f t="shared" si="503"/>
        <v>#DIV/0!</v>
      </c>
    </row>
    <row r="854" spans="1:13" ht="47.25" hidden="1" customHeight="1" x14ac:dyDescent="0.25">
      <c r="A854" s="26" t="s">
        <v>235</v>
      </c>
      <c r="B854" s="21" t="s">
        <v>295</v>
      </c>
      <c r="C854" s="21" t="s">
        <v>266</v>
      </c>
      <c r="D854" s="21" t="s">
        <v>425</v>
      </c>
      <c r="E854" s="42" t="s">
        <v>211</v>
      </c>
      <c r="F854" s="7"/>
      <c r="G854" s="7"/>
      <c r="H854" s="7"/>
      <c r="I854" s="7"/>
      <c r="J854" s="7"/>
      <c r="K854" s="7"/>
      <c r="L854" s="7"/>
      <c r="M854" s="7" t="e">
        <f t="shared" si="503"/>
        <v>#DIV/0!</v>
      </c>
    </row>
    <row r="855" spans="1:13" ht="47.25" x14ac:dyDescent="0.25">
      <c r="A855" s="26" t="s">
        <v>426</v>
      </c>
      <c r="B855" s="21" t="s">
        <v>295</v>
      </c>
      <c r="C855" s="21" t="s">
        <v>266</v>
      </c>
      <c r="D855" s="21" t="s">
        <v>427</v>
      </c>
      <c r="E855" s="42"/>
      <c r="F855" s="7">
        <f>F856</f>
        <v>10</v>
      </c>
      <c r="G855" s="7">
        <f t="shared" ref="G855:L856" si="511">G856</f>
        <v>10</v>
      </c>
      <c r="H855" s="7">
        <f t="shared" si="511"/>
        <v>10</v>
      </c>
      <c r="I855" s="7">
        <f t="shared" si="511"/>
        <v>10</v>
      </c>
      <c r="J855" s="7">
        <f t="shared" si="511"/>
        <v>10</v>
      </c>
      <c r="K855" s="7">
        <f t="shared" si="511"/>
        <v>10</v>
      </c>
      <c r="L855" s="7">
        <f t="shared" si="511"/>
        <v>0</v>
      </c>
      <c r="M855" s="7">
        <f t="shared" si="503"/>
        <v>0</v>
      </c>
    </row>
    <row r="856" spans="1:13" ht="31.5" x14ac:dyDescent="0.25">
      <c r="A856" s="26" t="s">
        <v>299</v>
      </c>
      <c r="B856" s="21" t="s">
        <v>295</v>
      </c>
      <c r="C856" s="21" t="s">
        <v>266</v>
      </c>
      <c r="D856" s="21" t="s">
        <v>427</v>
      </c>
      <c r="E856" s="42" t="s">
        <v>300</v>
      </c>
      <c r="F856" s="7">
        <f>F857</f>
        <v>10</v>
      </c>
      <c r="G856" s="7">
        <f t="shared" si="511"/>
        <v>10</v>
      </c>
      <c r="H856" s="7">
        <f t="shared" si="511"/>
        <v>10</v>
      </c>
      <c r="I856" s="7">
        <f t="shared" si="511"/>
        <v>10</v>
      </c>
      <c r="J856" s="7">
        <f t="shared" si="511"/>
        <v>10</v>
      </c>
      <c r="K856" s="7">
        <f t="shared" si="511"/>
        <v>10</v>
      </c>
      <c r="L856" s="7">
        <f t="shared" si="511"/>
        <v>0</v>
      </c>
      <c r="M856" s="7">
        <f t="shared" si="503"/>
        <v>0</v>
      </c>
    </row>
    <row r="857" spans="1:13" ht="31.5" x14ac:dyDescent="0.25">
      <c r="A857" s="26" t="s">
        <v>301</v>
      </c>
      <c r="B857" s="21" t="s">
        <v>295</v>
      </c>
      <c r="C857" s="21" t="s">
        <v>266</v>
      </c>
      <c r="D857" s="21" t="s">
        <v>427</v>
      </c>
      <c r="E857" s="42" t="s">
        <v>302</v>
      </c>
      <c r="F857" s="7">
        <v>10</v>
      </c>
      <c r="G857" s="7">
        <v>10</v>
      </c>
      <c r="H857" s="7">
        <v>10</v>
      </c>
      <c r="I857" s="7">
        <v>10</v>
      </c>
      <c r="J857" s="7">
        <v>10</v>
      </c>
      <c r="K857" s="7">
        <v>10</v>
      </c>
      <c r="L857" s="7">
        <f>'Прил.№4 ведомств.'!N501</f>
        <v>0</v>
      </c>
      <c r="M857" s="7">
        <f t="shared" si="503"/>
        <v>0</v>
      </c>
    </row>
    <row r="858" spans="1:13" ht="31.5" hidden="1" customHeight="1" x14ac:dyDescent="0.25">
      <c r="A858" s="31" t="s">
        <v>428</v>
      </c>
      <c r="B858" s="42" t="s">
        <v>295</v>
      </c>
      <c r="C858" s="42" t="s">
        <v>266</v>
      </c>
      <c r="D858" s="21" t="s">
        <v>429</v>
      </c>
      <c r="E858" s="42"/>
      <c r="F858" s="7">
        <f>F859</f>
        <v>0</v>
      </c>
      <c r="G858" s="7">
        <f t="shared" ref="G858:L859" si="512">G859</f>
        <v>0</v>
      </c>
      <c r="H858" s="7">
        <f t="shared" si="512"/>
        <v>0</v>
      </c>
      <c r="I858" s="7">
        <f t="shared" si="512"/>
        <v>0</v>
      </c>
      <c r="J858" s="7">
        <f t="shared" si="512"/>
        <v>0</v>
      </c>
      <c r="K858" s="7">
        <f t="shared" si="512"/>
        <v>0</v>
      </c>
      <c r="L858" s="7">
        <f t="shared" si="512"/>
        <v>0</v>
      </c>
      <c r="M858" s="7" t="e">
        <f t="shared" si="503"/>
        <v>#DIV/0!</v>
      </c>
    </row>
    <row r="859" spans="1:13" ht="31.5" hidden="1" customHeight="1" x14ac:dyDescent="0.25">
      <c r="A859" s="31" t="s">
        <v>182</v>
      </c>
      <c r="B859" s="42" t="s">
        <v>295</v>
      </c>
      <c r="C859" s="42" t="s">
        <v>266</v>
      </c>
      <c r="D859" s="21" t="s">
        <v>429</v>
      </c>
      <c r="E859" s="42" t="s">
        <v>183</v>
      </c>
      <c r="F859" s="7">
        <f>F860</f>
        <v>0</v>
      </c>
      <c r="G859" s="7">
        <f t="shared" si="512"/>
        <v>0</v>
      </c>
      <c r="H859" s="7">
        <f t="shared" si="512"/>
        <v>0</v>
      </c>
      <c r="I859" s="7">
        <f t="shared" si="512"/>
        <v>0</v>
      </c>
      <c r="J859" s="7">
        <f t="shared" si="512"/>
        <v>0</v>
      </c>
      <c r="K859" s="7">
        <f t="shared" si="512"/>
        <v>0</v>
      </c>
      <c r="L859" s="7">
        <f t="shared" si="512"/>
        <v>0</v>
      </c>
      <c r="M859" s="7" t="e">
        <f t="shared" si="503"/>
        <v>#DIV/0!</v>
      </c>
    </row>
    <row r="860" spans="1:13" ht="47.25" hidden="1" customHeight="1" x14ac:dyDescent="0.25">
      <c r="A860" s="31" t="s">
        <v>184</v>
      </c>
      <c r="B860" s="42" t="s">
        <v>295</v>
      </c>
      <c r="C860" s="42" t="s">
        <v>266</v>
      </c>
      <c r="D860" s="21" t="s">
        <v>429</v>
      </c>
      <c r="E860" s="42" t="s">
        <v>185</v>
      </c>
      <c r="F860" s="7">
        <f>4.5-4.5</f>
        <v>0</v>
      </c>
      <c r="G860" s="7">
        <f t="shared" ref="G860:L860" si="513">4.5-4.5</f>
        <v>0</v>
      </c>
      <c r="H860" s="7">
        <f t="shared" si="513"/>
        <v>0</v>
      </c>
      <c r="I860" s="7">
        <f t="shared" si="513"/>
        <v>0</v>
      </c>
      <c r="J860" s="7">
        <f t="shared" si="513"/>
        <v>0</v>
      </c>
      <c r="K860" s="7">
        <f t="shared" si="513"/>
        <v>0</v>
      </c>
      <c r="L860" s="7">
        <f t="shared" si="513"/>
        <v>0</v>
      </c>
      <c r="M860" s="7" t="e">
        <f t="shared" si="503"/>
        <v>#DIV/0!</v>
      </c>
    </row>
    <row r="861" spans="1:13" ht="94.5" x14ac:dyDescent="0.25">
      <c r="A861" s="31" t="s">
        <v>431</v>
      </c>
      <c r="B861" s="42" t="s">
        <v>295</v>
      </c>
      <c r="C861" s="42" t="s">
        <v>266</v>
      </c>
      <c r="D861" s="42" t="s">
        <v>432</v>
      </c>
      <c r="E861" s="42"/>
      <c r="F861" s="7">
        <f>F862</f>
        <v>105</v>
      </c>
      <c r="G861" s="7">
        <f t="shared" ref="G861:L863" si="514">G862</f>
        <v>105</v>
      </c>
      <c r="H861" s="7">
        <f t="shared" si="514"/>
        <v>0</v>
      </c>
      <c r="I861" s="7">
        <f t="shared" si="514"/>
        <v>0</v>
      </c>
      <c r="J861" s="7">
        <f t="shared" si="514"/>
        <v>0</v>
      </c>
      <c r="K861" s="7">
        <f t="shared" si="514"/>
        <v>200</v>
      </c>
      <c r="L861" s="7">
        <f t="shared" si="514"/>
        <v>106.3</v>
      </c>
      <c r="M861" s="7">
        <f t="shared" si="503"/>
        <v>53.15</v>
      </c>
    </row>
    <row r="862" spans="1:13" ht="31.5" x14ac:dyDescent="0.25">
      <c r="A862" s="31" t="s">
        <v>208</v>
      </c>
      <c r="B862" s="42" t="s">
        <v>295</v>
      </c>
      <c r="C862" s="42" t="s">
        <v>266</v>
      </c>
      <c r="D862" s="42" t="s">
        <v>433</v>
      </c>
      <c r="E862" s="42"/>
      <c r="F862" s="7">
        <f>F863</f>
        <v>105</v>
      </c>
      <c r="G862" s="7">
        <f t="shared" si="514"/>
        <v>105</v>
      </c>
      <c r="H862" s="7">
        <f t="shared" si="514"/>
        <v>0</v>
      </c>
      <c r="I862" s="7">
        <f t="shared" si="514"/>
        <v>0</v>
      </c>
      <c r="J862" s="7">
        <f t="shared" si="514"/>
        <v>0</v>
      </c>
      <c r="K862" s="7">
        <f t="shared" si="514"/>
        <v>200</v>
      </c>
      <c r="L862" s="7">
        <f t="shared" si="514"/>
        <v>106.3</v>
      </c>
      <c r="M862" s="7">
        <f t="shared" si="503"/>
        <v>53.15</v>
      </c>
    </row>
    <row r="863" spans="1:13" ht="31.5" x14ac:dyDescent="0.25">
      <c r="A863" s="31" t="s">
        <v>182</v>
      </c>
      <c r="B863" s="42" t="s">
        <v>295</v>
      </c>
      <c r="C863" s="42" t="s">
        <v>266</v>
      </c>
      <c r="D863" s="42" t="s">
        <v>433</v>
      </c>
      <c r="E863" s="42" t="s">
        <v>183</v>
      </c>
      <c r="F863" s="7">
        <f>F864</f>
        <v>105</v>
      </c>
      <c r="G863" s="7">
        <f t="shared" si="514"/>
        <v>105</v>
      </c>
      <c r="H863" s="7">
        <f t="shared" si="514"/>
        <v>0</v>
      </c>
      <c r="I863" s="7">
        <f t="shared" si="514"/>
        <v>0</v>
      </c>
      <c r="J863" s="7">
        <f t="shared" si="514"/>
        <v>0</v>
      </c>
      <c r="K863" s="7">
        <f t="shared" si="514"/>
        <v>200</v>
      </c>
      <c r="L863" s="7">
        <f t="shared" si="514"/>
        <v>106.3</v>
      </c>
      <c r="M863" s="7">
        <f t="shared" si="503"/>
        <v>53.15</v>
      </c>
    </row>
    <row r="864" spans="1:13" ht="47.25" x14ac:dyDescent="0.25">
      <c r="A864" s="31" t="s">
        <v>184</v>
      </c>
      <c r="B864" s="42" t="s">
        <v>295</v>
      </c>
      <c r="C864" s="42" t="s">
        <v>266</v>
      </c>
      <c r="D864" s="42" t="s">
        <v>433</v>
      </c>
      <c r="E864" s="42" t="s">
        <v>185</v>
      </c>
      <c r="F864" s="7">
        <f>'Прил.№4 ведомств.'!G510</f>
        <v>105</v>
      </c>
      <c r="G864" s="7">
        <f>'Прил.№4 ведомств.'!I510</f>
        <v>105</v>
      </c>
      <c r="H864" s="7">
        <f>'Прил.№4 ведомств.'!J510</f>
        <v>0</v>
      </c>
      <c r="I864" s="7">
        <f>'Прил.№4 ведомств.'!K510</f>
        <v>0</v>
      </c>
      <c r="J864" s="7">
        <f>'Прил.№4 ведомств.'!L510</f>
        <v>0</v>
      </c>
      <c r="K864" s="7">
        <f>'Прил.№4 ведомств.'!M510</f>
        <v>200</v>
      </c>
      <c r="L864" s="7">
        <f>'Прил.№4 ведомств.'!N510</f>
        <v>106.3</v>
      </c>
      <c r="M864" s="7">
        <f t="shared" si="503"/>
        <v>53.15</v>
      </c>
    </row>
    <row r="865" spans="1:13" ht="78.75" x14ac:dyDescent="0.25">
      <c r="A865" s="26" t="s">
        <v>304</v>
      </c>
      <c r="B865" s="42" t="s">
        <v>295</v>
      </c>
      <c r="C865" s="42" t="s">
        <v>266</v>
      </c>
      <c r="D865" s="21" t="s">
        <v>305</v>
      </c>
      <c r="E865" s="21"/>
      <c r="F865" s="7">
        <f>F866</f>
        <v>10</v>
      </c>
      <c r="G865" s="7">
        <f t="shared" ref="G865:L867" si="515">G866</f>
        <v>0</v>
      </c>
      <c r="H865" s="7">
        <f t="shared" si="515"/>
        <v>10</v>
      </c>
      <c r="I865" s="7">
        <f t="shared" si="515"/>
        <v>10</v>
      </c>
      <c r="J865" s="7">
        <f t="shared" si="515"/>
        <v>10</v>
      </c>
      <c r="K865" s="7">
        <f t="shared" si="515"/>
        <v>10</v>
      </c>
      <c r="L865" s="7">
        <f t="shared" si="515"/>
        <v>0</v>
      </c>
      <c r="M865" s="7">
        <f t="shared" si="503"/>
        <v>0</v>
      </c>
    </row>
    <row r="866" spans="1:13" ht="31.5" x14ac:dyDescent="0.25">
      <c r="A866" s="26" t="s">
        <v>208</v>
      </c>
      <c r="B866" s="42" t="s">
        <v>295</v>
      </c>
      <c r="C866" s="42" t="s">
        <v>266</v>
      </c>
      <c r="D866" s="21" t="s">
        <v>306</v>
      </c>
      <c r="E866" s="21"/>
      <c r="F866" s="7">
        <f>F867</f>
        <v>10</v>
      </c>
      <c r="G866" s="7">
        <f t="shared" si="515"/>
        <v>0</v>
      </c>
      <c r="H866" s="7">
        <f t="shared" si="515"/>
        <v>10</v>
      </c>
      <c r="I866" s="7">
        <f t="shared" si="515"/>
        <v>10</v>
      </c>
      <c r="J866" s="7">
        <f t="shared" si="515"/>
        <v>10</v>
      </c>
      <c r="K866" s="7">
        <f t="shared" si="515"/>
        <v>10</v>
      </c>
      <c r="L866" s="7">
        <f t="shared" si="515"/>
        <v>0</v>
      </c>
      <c r="M866" s="7">
        <f t="shared" si="503"/>
        <v>0</v>
      </c>
    </row>
    <row r="867" spans="1:13" ht="31.5" x14ac:dyDescent="0.25">
      <c r="A867" s="26" t="s">
        <v>299</v>
      </c>
      <c r="B867" s="42" t="s">
        <v>295</v>
      </c>
      <c r="C867" s="42" t="s">
        <v>266</v>
      </c>
      <c r="D867" s="21" t="s">
        <v>306</v>
      </c>
      <c r="E867" s="21" t="s">
        <v>300</v>
      </c>
      <c r="F867" s="7">
        <f>F868</f>
        <v>10</v>
      </c>
      <c r="G867" s="7">
        <f t="shared" si="515"/>
        <v>0</v>
      </c>
      <c r="H867" s="7">
        <f t="shared" si="515"/>
        <v>10</v>
      </c>
      <c r="I867" s="7">
        <f t="shared" si="515"/>
        <v>10</v>
      </c>
      <c r="J867" s="7">
        <f t="shared" si="515"/>
        <v>10</v>
      </c>
      <c r="K867" s="7">
        <f t="shared" si="515"/>
        <v>10</v>
      </c>
      <c r="L867" s="7">
        <f t="shared" si="515"/>
        <v>0</v>
      </c>
      <c r="M867" s="7">
        <f t="shared" si="503"/>
        <v>0</v>
      </c>
    </row>
    <row r="868" spans="1:13" ht="31.5" x14ac:dyDescent="0.25">
      <c r="A868" s="26" t="s">
        <v>301</v>
      </c>
      <c r="B868" s="42" t="s">
        <v>295</v>
      </c>
      <c r="C868" s="42" t="s">
        <v>266</v>
      </c>
      <c r="D868" s="21" t="s">
        <v>306</v>
      </c>
      <c r="E868" s="21" t="s">
        <v>302</v>
      </c>
      <c r="F868" s="7">
        <f>'Прил.№4 ведомств.'!G228</f>
        <v>10</v>
      </c>
      <c r="G868" s="7">
        <f>'Прил.№4 ведомств.'!I228</f>
        <v>0</v>
      </c>
      <c r="H868" s="7">
        <v>10</v>
      </c>
      <c r="I868" s="7">
        <v>10</v>
      </c>
      <c r="J868" s="7">
        <v>10</v>
      </c>
      <c r="K868" s="7">
        <v>10</v>
      </c>
      <c r="L868" s="7">
        <f>'Прил.№4 ведомств.'!N228</f>
        <v>0</v>
      </c>
      <c r="M868" s="7">
        <f t="shared" si="503"/>
        <v>0</v>
      </c>
    </row>
    <row r="869" spans="1:13" ht="15.75" x14ac:dyDescent="0.25">
      <c r="A869" s="31" t="s">
        <v>172</v>
      </c>
      <c r="B869" s="42" t="s">
        <v>295</v>
      </c>
      <c r="C869" s="42" t="s">
        <v>266</v>
      </c>
      <c r="D869" s="42" t="s">
        <v>173</v>
      </c>
      <c r="E869" s="42"/>
      <c r="F869" s="7">
        <f>F885+F870</f>
        <v>932</v>
      </c>
      <c r="G869" s="7">
        <f t="shared" ref="G869:K869" si="516">G885+G870</f>
        <v>932</v>
      </c>
      <c r="H869" s="7">
        <f t="shared" si="516"/>
        <v>0</v>
      </c>
      <c r="I869" s="7">
        <f t="shared" si="516"/>
        <v>0</v>
      </c>
      <c r="J869" s="7">
        <f t="shared" si="516"/>
        <v>0</v>
      </c>
      <c r="K869" s="7">
        <f t="shared" si="516"/>
        <v>783.1</v>
      </c>
      <c r="L869" s="7">
        <f t="shared" ref="L869" si="517">L885+L870</f>
        <v>142.1</v>
      </c>
      <c r="M869" s="7">
        <f t="shared" si="503"/>
        <v>18.145830672966415</v>
      </c>
    </row>
    <row r="870" spans="1:13" ht="31.5" x14ac:dyDescent="0.25">
      <c r="A870" s="31" t="s">
        <v>236</v>
      </c>
      <c r="B870" s="42" t="s">
        <v>295</v>
      </c>
      <c r="C870" s="42" t="s">
        <v>266</v>
      </c>
      <c r="D870" s="42" t="s">
        <v>237</v>
      </c>
      <c r="E870" s="42"/>
      <c r="F870" s="7">
        <f>F874+F877+F871+F894</f>
        <v>932</v>
      </c>
      <c r="G870" s="7">
        <f t="shared" ref="G870:K870" si="518">G874+G877+G871+G894</f>
        <v>932</v>
      </c>
      <c r="H870" s="7">
        <f t="shared" si="518"/>
        <v>0</v>
      </c>
      <c r="I870" s="7">
        <f t="shared" si="518"/>
        <v>0</v>
      </c>
      <c r="J870" s="7">
        <f t="shared" si="518"/>
        <v>0</v>
      </c>
      <c r="K870" s="7">
        <f t="shared" si="518"/>
        <v>783.1</v>
      </c>
      <c r="L870" s="7">
        <f t="shared" ref="L870" si="519">L874+L877+L871+L894</f>
        <v>142.1</v>
      </c>
      <c r="M870" s="7">
        <f t="shared" si="503"/>
        <v>18.145830672966415</v>
      </c>
    </row>
    <row r="871" spans="1:13" ht="34.5" customHeight="1" x14ac:dyDescent="0.25">
      <c r="A871" s="26" t="s">
        <v>983</v>
      </c>
      <c r="B871" s="42" t="s">
        <v>295</v>
      </c>
      <c r="C871" s="42" t="s">
        <v>266</v>
      </c>
      <c r="D871" s="42" t="s">
        <v>982</v>
      </c>
      <c r="E871" s="42"/>
      <c r="F871" s="7">
        <f>F872</f>
        <v>372.6</v>
      </c>
      <c r="G871" s="7">
        <f t="shared" ref="G871:L872" si="520">G872</f>
        <v>372.6</v>
      </c>
      <c r="H871" s="7">
        <f t="shared" si="520"/>
        <v>0</v>
      </c>
      <c r="I871" s="7">
        <f t="shared" si="520"/>
        <v>0</v>
      </c>
      <c r="J871" s="7">
        <f t="shared" si="520"/>
        <v>0</v>
      </c>
      <c r="K871" s="7">
        <f t="shared" si="520"/>
        <v>783.1</v>
      </c>
      <c r="L871" s="7">
        <f t="shared" si="520"/>
        <v>142.1</v>
      </c>
      <c r="M871" s="7">
        <f t="shared" si="503"/>
        <v>18.145830672966415</v>
      </c>
    </row>
    <row r="872" spans="1:13" ht="31.5" x14ac:dyDescent="0.25">
      <c r="A872" s="31" t="s">
        <v>299</v>
      </c>
      <c r="B872" s="42" t="s">
        <v>295</v>
      </c>
      <c r="C872" s="42" t="s">
        <v>266</v>
      </c>
      <c r="D872" s="42" t="s">
        <v>982</v>
      </c>
      <c r="E872" s="42" t="s">
        <v>300</v>
      </c>
      <c r="F872" s="7">
        <f>F873</f>
        <v>372.6</v>
      </c>
      <c r="G872" s="7">
        <f t="shared" si="520"/>
        <v>372.6</v>
      </c>
      <c r="H872" s="7">
        <f t="shared" si="520"/>
        <v>0</v>
      </c>
      <c r="I872" s="7">
        <f t="shared" si="520"/>
        <v>0</v>
      </c>
      <c r="J872" s="7">
        <f t="shared" si="520"/>
        <v>0</v>
      </c>
      <c r="K872" s="7">
        <f t="shared" si="520"/>
        <v>783.1</v>
      </c>
      <c r="L872" s="7">
        <f t="shared" si="520"/>
        <v>142.1</v>
      </c>
      <c r="M872" s="7">
        <f t="shared" si="503"/>
        <v>18.145830672966415</v>
      </c>
    </row>
    <row r="873" spans="1:13" ht="31.5" x14ac:dyDescent="0.25">
      <c r="A873" s="31" t="s">
        <v>301</v>
      </c>
      <c r="B873" s="42" t="s">
        <v>295</v>
      </c>
      <c r="C873" s="42" t="s">
        <v>266</v>
      </c>
      <c r="D873" s="42" t="s">
        <v>982</v>
      </c>
      <c r="E873" s="42" t="s">
        <v>302</v>
      </c>
      <c r="F873" s="7">
        <f>'Прил.№4 ведомств.'!G515</f>
        <v>372.6</v>
      </c>
      <c r="G873" s="7">
        <f>'Прил.№4 ведомств.'!I515</f>
        <v>372.6</v>
      </c>
      <c r="H873" s="7">
        <f>'Прил.№4 ведомств.'!J515</f>
        <v>0</v>
      </c>
      <c r="I873" s="7">
        <f>'Прил.№4 ведомств.'!K515</f>
        <v>0</v>
      </c>
      <c r="J873" s="7">
        <f>'Прил.№4 ведомств.'!L515</f>
        <v>0</v>
      </c>
      <c r="K873" s="7">
        <f>'Прил.№4 ведомств.'!M515</f>
        <v>783.1</v>
      </c>
      <c r="L873" s="7">
        <f>'Прил.№4 ведомств.'!N515</f>
        <v>142.1</v>
      </c>
      <c r="M873" s="7">
        <f t="shared" si="503"/>
        <v>18.145830672966415</v>
      </c>
    </row>
    <row r="874" spans="1:13" ht="47.25" hidden="1" customHeight="1" x14ac:dyDescent="0.25">
      <c r="A874" s="26" t="s">
        <v>307</v>
      </c>
      <c r="B874" s="42" t="s">
        <v>295</v>
      </c>
      <c r="C874" s="42" t="s">
        <v>266</v>
      </c>
      <c r="D874" s="42" t="s">
        <v>308</v>
      </c>
      <c r="E874" s="42"/>
      <c r="F874" s="7">
        <f>F875</f>
        <v>0</v>
      </c>
      <c r="G874" s="7">
        <f t="shared" ref="G874:L875" si="521">G875</f>
        <v>0</v>
      </c>
      <c r="H874" s="7">
        <f t="shared" si="521"/>
        <v>0</v>
      </c>
      <c r="I874" s="7">
        <f t="shared" si="521"/>
        <v>0</v>
      </c>
      <c r="J874" s="7">
        <f t="shared" si="521"/>
        <v>0</v>
      </c>
      <c r="K874" s="7">
        <f t="shared" si="521"/>
        <v>0</v>
      </c>
      <c r="L874" s="7">
        <f t="shared" si="521"/>
        <v>0</v>
      </c>
      <c r="M874" s="4" t="e">
        <f t="shared" si="503"/>
        <v>#DIV/0!</v>
      </c>
    </row>
    <row r="875" spans="1:13" ht="31.5" hidden="1" customHeight="1" x14ac:dyDescent="0.25">
      <c r="A875" s="31" t="s">
        <v>299</v>
      </c>
      <c r="B875" s="42" t="s">
        <v>295</v>
      </c>
      <c r="C875" s="42" t="s">
        <v>266</v>
      </c>
      <c r="D875" s="42" t="s">
        <v>308</v>
      </c>
      <c r="E875" s="42" t="s">
        <v>300</v>
      </c>
      <c r="F875" s="7">
        <f>F876</f>
        <v>0</v>
      </c>
      <c r="G875" s="7">
        <f t="shared" si="521"/>
        <v>0</v>
      </c>
      <c r="H875" s="7">
        <f t="shared" si="521"/>
        <v>0</v>
      </c>
      <c r="I875" s="7">
        <f t="shared" si="521"/>
        <v>0</v>
      </c>
      <c r="J875" s="7">
        <f t="shared" si="521"/>
        <v>0</v>
      </c>
      <c r="K875" s="7">
        <f t="shared" si="521"/>
        <v>0</v>
      </c>
      <c r="L875" s="7">
        <f t="shared" si="521"/>
        <v>0</v>
      </c>
      <c r="M875" s="4" t="e">
        <f t="shared" si="503"/>
        <v>#DIV/0!</v>
      </c>
    </row>
    <row r="876" spans="1:13" ht="31.5" hidden="1" customHeight="1" x14ac:dyDescent="0.25">
      <c r="A876" s="31" t="s">
        <v>301</v>
      </c>
      <c r="B876" s="42" t="s">
        <v>295</v>
      </c>
      <c r="C876" s="42" t="s">
        <v>266</v>
      </c>
      <c r="D876" s="42" t="s">
        <v>308</v>
      </c>
      <c r="E876" s="42" t="s">
        <v>302</v>
      </c>
      <c r="F876" s="7">
        <f>'Прил.№4 ведомств.'!G233</f>
        <v>0</v>
      </c>
      <c r="G876" s="7">
        <f>'Прил.№4 ведомств.'!I233</f>
        <v>0</v>
      </c>
      <c r="H876" s="7">
        <f>'Прил.№4 ведомств.'!J233</f>
        <v>0</v>
      </c>
      <c r="I876" s="7">
        <f>'Прил.№4 ведомств.'!K233</f>
        <v>0</v>
      </c>
      <c r="J876" s="7">
        <f>'Прил.№4 ведомств.'!L233</f>
        <v>0</v>
      </c>
      <c r="K876" s="7">
        <f>'Прил.№4 ведомств.'!M233</f>
        <v>0</v>
      </c>
      <c r="L876" s="7">
        <f>'Прил.№4 ведомств.'!N233</f>
        <v>0</v>
      </c>
      <c r="M876" s="4" t="e">
        <f t="shared" si="503"/>
        <v>#DIV/0!</v>
      </c>
    </row>
    <row r="877" spans="1:13" ht="47.25" hidden="1" x14ac:dyDescent="0.25">
      <c r="A877" s="26" t="s">
        <v>426</v>
      </c>
      <c r="B877" s="42" t="s">
        <v>295</v>
      </c>
      <c r="C877" s="42" t="s">
        <v>266</v>
      </c>
      <c r="D877" s="21" t="s">
        <v>436</v>
      </c>
      <c r="E877" s="42"/>
      <c r="F877" s="7">
        <f>F878</f>
        <v>500</v>
      </c>
      <c r="G877" s="7">
        <f t="shared" ref="G877:L878" si="522">G878</f>
        <v>500</v>
      </c>
      <c r="H877" s="7">
        <f t="shared" si="522"/>
        <v>0</v>
      </c>
      <c r="I877" s="7">
        <f t="shared" si="522"/>
        <v>0</v>
      </c>
      <c r="J877" s="7">
        <f t="shared" si="522"/>
        <v>0</v>
      </c>
      <c r="K877" s="7">
        <f t="shared" si="522"/>
        <v>0</v>
      </c>
      <c r="L877" s="7">
        <f t="shared" si="522"/>
        <v>0</v>
      </c>
      <c r="M877" s="4" t="e">
        <f t="shared" si="503"/>
        <v>#DIV/0!</v>
      </c>
    </row>
    <row r="878" spans="1:13" ht="31.5" hidden="1" x14ac:dyDescent="0.25">
      <c r="A878" s="26" t="s">
        <v>299</v>
      </c>
      <c r="B878" s="42" t="s">
        <v>295</v>
      </c>
      <c r="C878" s="42" t="s">
        <v>266</v>
      </c>
      <c r="D878" s="21" t="s">
        <v>436</v>
      </c>
      <c r="E878" s="42" t="s">
        <v>300</v>
      </c>
      <c r="F878" s="7">
        <f>F879</f>
        <v>500</v>
      </c>
      <c r="G878" s="7">
        <f t="shared" si="522"/>
        <v>500</v>
      </c>
      <c r="H878" s="7">
        <f t="shared" si="522"/>
        <v>0</v>
      </c>
      <c r="I878" s="7">
        <f t="shared" si="522"/>
        <v>0</v>
      </c>
      <c r="J878" s="7">
        <f t="shared" si="522"/>
        <v>0</v>
      </c>
      <c r="K878" s="7">
        <f t="shared" si="522"/>
        <v>0</v>
      </c>
      <c r="L878" s="7">
        <f t="shared" si="522"/>
        <v>0</v>
      </c>
      <c r="M878" s="4" t="e">
        <f t="shared" si="503"/>
        <v>#DIV/0!</v>
      </c>
    </row>
    <row r="879" spans="1:13" ht="31.5" hidden="1" x14ac:dyDescent="0.25">
      <c r="A879" s="26" t="s">
        <v>301</v>
      </c>
      <c r="B879" s="42" t="s">
        <v>295</v>
      </c>
      <c r="C879" s="42" t="s">
        <v>266</v>
      </c>
      <c r="D879" s="21" t="s">
        <v>436</v>
      </c>
      <c r="E879" s="42" t="s">
        <v>302</v>
      </c>
      <c r="F879" s="7">
        <f>'Прил.№4 ведомств.'!G518</f>
        <v>500</v>
      </c>
      <c r="G879" s="7">
        <f>'Прил.№4 ведомств.'!I518</f>
        <v>500</v>
      </c>
      <c r="H879" s="7">
        <f>'Прил.№4 ведомств.'!J518</f>
        <v>0</v>
      </c>
      <c r="I879" s="7">
        <f>'Прил.№4 ведомств.'!K518</f>
        <v>0</v>
      </c>
      <c r="J879" s="7">
        <f>'Прил.№4 ведомств.'!L518</f>
        <v>0</v>
      </c>
      <c r="K879" s="7">
        <f>'Прил.№4 ведомств.'!M518</f>
        <v>0</v>
      </c>
      <c r="L879" s="7">
        <f>'Прил.№4 ведомств.'!N518</f>
        <v>0</v>
      </c>
      <c r="M879" s="4" t="e">
        <f t="shared" si="503"/>
        <v>#DIV/0!</v>
      </c>
    </row>
    <row r="880" spans="1:13" ht="15.75" hidden="1" customHeight="1" x14ac:dyDescent="0.25">
      <c r="A880" s="26" t="s">
        <v>434</v>
      </c>
      <c r="B880" s="42" t="s">
        <v>295</v>
      </c>
      <c r="C880" s="42" t="s">
        <v>266</v>
      </c>
      <c r="D880" s="42" t="s">
        <v>435</v>
      </c>
      <c r="E880" s="42"/>
      <c r="F880" s="7">
        <f>F881</f>
        <v>0</v>
      </c>
      <c r="G880" s="7">
        <f t="shared" ref="G880:L880" si="523">G881</f>
        <v>0</v>
      </c>
      <c r="H880" s="7">
        <f t="shared" si="523"/>
        <v>0</v>
      </c>
      <c r="I880" s="7">
        <f t="shared" si="523"/>
        <v>0</v>
      </c>
      <c r="J880" s="7">
        <f t="shared" si="523"/>
        <v>0</v>
      </c>
      <c r="K880" s="7">
        <f t="shared" si="523"/>
        <v>0</v>
      </c>
      <c r="L880" s="7">
        <f t="shared" si="523"/>
        <v>0</v>
      </c>
      <c r="M880" s="4" t="e">
        <f t="shared" si="503"/>
        <v>#DIV/0!</v>
      </c>
    </row>
    <row r="881" spans="1:13" ht="31.5" hidden="1" customHeight="1" x14ac:dyDescent="0.25">
      <c r="A881" s="31" t="s">
        <v>299</v>
      </c>
      <c r="B881" s="42" t="s">
        <v>295</v>
      </c>
      <c r="C881" s="42" t="s">
        <v>266</v>
      </c>
      <c r="D881" s="42" t="s">
        <v>435</v>
      </c>
      <c r="E881" s="42" t="s">
        <v>300</v>
      </c>
      <c r="F881" s="7">
        <f>F882+F884</f>
        <v>0</v>
      </c>
      <c r="G881" s="7">
        <f t="shared" ref="G881:K881" si="524">G882+G884</f>
        <v>0</v>
      </c>
      <c r="H881" s="7">
        <f t="shared" si="524"/>
        <v>0</v>
      </c>
      <c r="I881" s="7">
        <f t="shared" si="524"/>
        <v>0</v>
      </c>
      <c r="J881" s="7">
        <f t="shared" si="524"/>
        <v>0</v>
      </c>
      <c r="K881" s="7">
        <f t="shared" si="524"/>
        <v>0</v>
      </c>
      <c r="L881" s="7">
        <f t="shared" ref="L881" si="525">L882+L884</f>
        <v>0</v>
      </c>
      <c r="M881" s="4" t="e">
        <f t="shared" si="503"/>
        <v>#DIV/0!</v>
      </c>
    </row>
    <row r="882" spans="1:13" ht="31.5" hidden="1" customHeight="1" x14ac:dyDescent="0.25">
      <c r="A882" s="31" t="s">
        <v>399</v>
      </c>
      <c r="B882" s="42" t="s">
        <v>295</v>
      </c>
      <c r="C882" s="42" t="s">
        <v>266</v>
      </c>
      <c r="D882" s="42" t="s">
        <v>435</v>
      </c>
      <c r="E882" s="42" t="s">
        <v>400</v>
      </c>
      <c r="F882" s="7"/>
      <c r="G882" s="7"/>
      <c r="H882" s="7"/>
      <c r="I882" s="7"/>
      <c r="J882" s="7"/>
      <c r="K882" s="7"/>
      <c r="L882" s="7"/>
      <c r="M882" s="4" t="e">
        <f t="shared" si="503"/>
        <v>#DIV/0!</v>
      </c>
    </row>
    <row r="883" spans="1:13" ht="47.25" hidden="1" customHeight="1" x14ac:dyDescent="0.25">
      <c r="A883" s="31" t="s">
        <v>688</v>
      </c>
      <c r="B883" s="42" t="s">
        <v>295</v>
      </c>
      <c r="C883" s="42" t="s">
        <v>266</v>
      </c>
      <c r="D883" s="42" t="s">
        <v>435</v>
      </c>
      <c r="E883" s="42" t="s">
        <v>689</v>
      </c>
      <c r="F883" s="7"/>
      <c r="G883" s="7"/>
      <c r="H883" s="7"/>
      <c r="I883" s="7"/>
      <c r="J883" s="7"/>
      <c r="K883" s="7"/>
      <c r="L883" s="7"/>
      <c r="M883" s="4" t="e">
        <f t="shared" si="503"/>
        <v>#DIV/0!</v>
      </c>
    </row>
    <row r="884" spans="1:13" ht="31.5" hidden="1" customHeight="1" x14ac:dyDescent="0.25">
      <c r="A884" s="31" t="s">
        <v>301</v>
      </c>
      <c r="B884" s="42" t="s">
        <v>295</v>
      </c>
      <c r="C884" s="42" t="s">
        <v>266</v>
      </c>
      <c r="D884" s="42" t="s">
        <v>435</v>
      </c>
      <c r="E884" s="42" t="s">
        <v>302</v>
      </c>
      <c r="F884" s="7"/>
      <c r="G884" s="7"/>
      <c r="H884" s="7"/>
      <c r="I884" s="7"/>
      <c r="J884" s="7"/>
      <c r="K884" s="7"/>
      <c r="L884" s="7"/>
      <c r="M884" s="4" t="e">
        <f t="shared" si="503"/>
        <v>#DIV/0!</v>
      </c>
    </row>
    <row r="885" spans="1:13" ht="15.75" hidden="1" customHeight="1" x14ac:dyDescent="0.25">
      <c r="A885" s="31" t="s">
        <v>192</v>
      </c>
      <c r="B885" s="42" t="s">
        <v>295</v>
      </c>
      <c r="C885" s="42" t="s">
        <v>266</v>
      </c>
      <c r="D885" s="42" t="s">
        <v>193</v>
      </c>
      <c r="E885" s="42"/>
      <c r="F885" s="7">
        <f>F886</f>
        <v>0</v>
      </c>
      <c r="G885" s="7">
        <f t="shared" ref="G885:L887" si="526">G886</f>
        <v>0</v>
      </c>
      <c r="H885" s="7">
        <f t="shared" si="526"/>
        <v>0</v>
      </c>
      <c r="I885" s="7">
        <f t="shared" si="526"/>
        <v>0</v>
      </c>
      <c r="J885" s="7">
        <f t="shared" si="526"/>
        <v>0</v>
      </c>
      <c r="K885" s="7">
        <f t="shared" si="526"/>
        <v>0</v>
      </c>
      <c r="L885" s="7">
        <f t="shared" si="526"/>
        <v>0</v>
      </c>
      <c r="M885" s="4" t="e">
        <f t="shared" si="503"/>
        <v>#DIV/0!</v>
      </c>
    </row>
    <row r="886" spans="1:13" ht="15.75" hidden="1" customHeight="1" x14ac:dyDescent="0.25">
      <c r="A886" s="31" t="s">
        <v>252</v>
      </c>
      <c r="B886" s="42" t="s">
        <v>295</v>
      </c>
      <c r="C886" s="42" t="s">
        <v>266</v>
      </c>
      <c r="D886" s="42" t="s">
        <v>253</v>
      </c>
      <c r="E886" s="42"/>
      <c r="F886" s="7">
        <f>F887</f>
        <v>0</v>
      </c>
      <c r="G886" s="7">
        <f t="shared" si="526"/>
        <v>0</v>
      </c>
      <c r="H886" s="7">
        <f t="shared" si="526"/>
        <v>0</v>
      </c>
      <c r="I886" s="7">
        <f t="shared" si="526"/>
        <v>0</v>
      </c>
      <c r="J886" s="7">
        <f t="shared" si="526"/>
        <v>0</v>
      </c>
      <c r="K886" s="7">
        <f t="shared" si="526"/>
        <v>0</v>
      </c>
      <c r="L886" s="7">
        <f t="shared" si="526"/>
        <v>0</v>
      </c>
      <c r="M886" s="4" t="e">
        <f t="shared" si="503"/>
        <v>#DIV/0!</v>
      </c>
    </row>
    <row r="887" spans="1:13" ht="31.5" hidden="1" customHeight="1" x14ac:dyDescent="0.25">
      <c r="A887" s="31" t="s">
        <v>299</v>
      </c>
      <c r="B887" s="42" t="s">
        <v>295</v>
      </c>
      <c r="C887" s="42" t="s">
        <v>266</v>
      </c>
      <c r="D887" s="42" t="s">
        <v>253</v>
      </c>
      <c r="E887" s="42" t="s">
        <v>300</v>
      </c>
      <c r="F887" s="7">
        <f>F888</f>
        <v>0</v>
      </c>
      <c r="G887" s="7">
        <f t="shared" si="526"/>
        <v>0</v>
      </c>
      <c r="H887" s="7">
        <f t="shared" si="526"/>
        <v>0</v>
      </c>
      <c r="I887" s="7">
        <f t="shared" si="526"/>
        <v>0</v>
      </c>
      <c r="J887" s="7">
        <f t="shared" si="526"/>
        <v>0</v>
      </c>
      <c r="K887" s="7">
        <f t="shared" si="526"/>
        <v>0</v>
      </c>
      <c r="L887" s="7">
        <f t="shared" si="526"/>
        <v>0</v>
      </c>
      <c r="M887" s="4" t="e">
        <f t="shared" si="503"/>
        <v>#DIV/0!</v>
      </c>
    </row>
    <row r="888" spans="1:13" ht="31.5" hidden="1" customHeight="1" x14ac:dyDescent="0.25">
      <c r="A888" s="31" t="s">
        <v>399</v>
      </c>
      <c r="B888" s="42" t="s">
        <v>295</v>
      </c>
      <c r="C888" s="42" t="s">
        <v>266</v>
      </c>
      <c r="D888" s="42" t="s">
        <v>253</v>
      </c>
      <c r="E888" s="42" t="s">
        <v>400</v>
      </c>
      <c r="F888" s="7"/>
      <c r="G888" s="7"/>
      <c r="H888" s="7"/>
      <c r="I888" s="7"/>
      <c r="J888" s="7"/>
      <c r="K888" s="7"/>
      <c r="L888" s="7"/>
      <c r="M888" s="4" t="e">
        <f t="shared" si="503"/>
        <v>#DIV/0!</v>
      </c>
    </row>
    <row r="889" spans="1:13" ht="15.75" hidden="1" customHeight="1" x14ac:dyDescent="0.25">
      <c r="A889" s="43" t="s">
        <v>452</v>
      </c>
      <c r="B889" s="8" t="s">
        <v>295</v>
      </c>
      <c r="C889" s="8" t="s">
        <v>201</v>
      </c>
      <c r="D889" s="8"/>
      <c r="E889" s="8"/>
      <c r="F889" s="4">
        <f>F890</f>
        <v>0</v>
      </c>
      <c r="G889" s="4">
        <f t="shared" ref="G889:L892" si="527">G890</f>
        <v>0</v>
      </c>
      <c r="H889" s="4">
        <f t="shared" si="527"/>
        <v>0</v>
      </c>
      <c r="I889" s="4">
        <f t="shared" si="527"/>
        <v>0</v>
      </c>
      <c r="J889" s="4">
        <f t="shared" si="527"/>
        <v>0</v>
      </c>
      <c r="K889" s="4">
        <f t="shared" si="527"/>
        <v>0</v>
      </c>
      <c r="L889" s="4">
        <f t="shared" si="527"/>
        <v>0</v>
      </c>
      <c r="M889" s="4" t="e">
        <f t="shared" si="503"/>
        <v>#DIV/0!</v>
      </c>
    </row>
    <row r="890" spans="1:13" ht="31.5" hidden="1" customHeight="1" x14ac:dyDescent="0.25">
      <c r="A890" s="31" t="s">
        <v>236</v>
      </c>
      <c r="B890" s="42" t="s">
        <v>295</v>
      </c>
      <c r="C890" s="42" t="s">
        <v>201</v>
      </c>
      <c r="D890" s="42" t="s">
        <v>237</v>
      </c>
      <c r="E890" s="42"/>
      <c r="F890" s="7">
        <f>F891</f>
        <v>0</v>
      </c>
      <c r="G890" s="7">
        <f t="shared" si="527"/>
        <v>0</v>
      </c>
      <c r="H890" s="7">
        <f t="shared" si="527"/>
        <v>0</v>
      </c>
      <c r="I890" s="7">
        <f t="shared" si="527"/>
        <v>0</v>
      </c>
      <c r="J890" s="7">
        <f t="shared" si="527"/>
        <v>0</v>
      </c>
      <c r="K890" s="7">
        <f t="shared" si="527"/>
        <v>0</v>
      </c>
      <c r="L890" s="7">
        <f t="shared" si="527"/>
        <v>0</v>
      </c>
      <c r="M890" s="4" t="e">
        <f t="shared" si="503"/>
        <v>#DIV/0!</v>
      </c>
    </row>
    <row r="891" spans="1:13" ht="31.5" hidden="1" customHeight="1" x14ac:dyDescent="0.25">
      <c r="A891" s="47" t="s">
        <v>453</v>
      </c>
      <c r="B891" s="42" t="s">
        <v>295</v>
      </c>
      <c r="C891" s="42" t="s">
        <v>201</v>
      </c>
      <c r="D891" s="21" t="s">
        <v>454</v>
      </c>
      <c r="E891" s="42"/>
      <c r="F891" s="7">
        <f>F892</f>
        <v>0</v>
      </c>
      <c r="G891" s="7">
        <f t="shared" si="527"/>
        <v>0</v>
      </c>
      <c r="H891" s="7">
        <f t="shared" si="527"/>
        <v>0</v>
      </c>
      <c r="I891" s="7">
        <f t="shared" si="527"/>
        <v>0</v>
      </c>
      <c r="J891" s="7">
        <f t="shared" si="527"/>
        <v>0</v>
      </c>
      <c r="K891" s="7">
        <f t="shared" si="527"/>
        <v>0</v>
      </c>
      <c r="L891" s="7">
        <f t="shared" si="527"/>
        <v>0</v>
      </c>
      <c r="M891" s="4" t="e">
        <f t="shared" si="503"/>
        <v>#DIV/0!</v>
      </c>
    </row>
    <row r="892" spans="1:13" ht="31.5" hidden="1" customHeight="1" x14ac:dyDescent="0.25">
      <c r="A892" s="31" t="s">
        <v>182</v>
      </c>
      <c r="B892" s="42" t="s">
        <v>295</v>
      </c>
      <c r="C892" s="42" t="s">
        <v>201</v>
      </c>
      <c r="D892" s="21" t="s">
        <v>454</v>
      </c>
      <c r="E892" s="42" t="s">
        <v>183</v>
      </c>
      <c r="F892" s="7">
        <f>F893</f>
        <v>0</v>
      </c>
      <c r="G892" s="7">
        <f t="shared" si="527"/>
        <v>0</v>
      </c>
      <c r="H892" s="7">
        <f t="shared" si="527"/>
        <v>0</v>
      </c>
      <c r="I892" s="7">
        <f t="shared" si="527"/>
        <v>0</v>
      </c>
      <c r="J892" s="7">
        <f t="shared" si="527"/>
        <v>0</v>
      </c>
      <c r="K892" s="7">
        <f t="shared" si="527"/>
        <v>0</v>
      </c>
      <c r="L892" s="7">
        <f t="shared" si="527"/>
        <v>0</v>
      </c>
      <c r="M892" s="4" t="e">
        <f t="shared" si="503"/>
        <v>#DIV/0!</v>
      </c>
    </row>
    <row r="893" spans="1:13" ht="47.25" hidden="1" customHeight="1" x14ac:dyDescent="0.25">
      <c r="A893" s="31" t="s">
        <v>184</v>
      </c>
      <c r="B893" s="42" t="s">
        <v>295</v>
      </c>
      <c r="C893" s="42" t="s">
        <v>201</v>
      </c>
      <c r="D893" s="21" t="s">
        <v>454</v>
      </c>
      <c r="E893" s="42" t="s">
        <v>185</v>
      </c>
      <c r="F893" s="7">
        <v>0</v>
      </c>
      <c r="G893" s="7">
        <v>0</v>
      </c>
      <c r="H893" s="7">
        <v>0</v>
      </c>
      <c r="I893" s="7">
        <v>0</v>
      </c>
      <c r="J893" s="7">
        <v>0</v>
      </c>
      <c r="K893" s="7">
        <f>'Прил.№4 ведомств.'!M576</f>
        <v>0</v>
      </c>
      <c r="L893" s="7">
        <f>'Прил.№4 ведомств.'!N576</f>
        <v>0</v>
      </c>
      <c r="M893" s="4" t="e">
        <f t="shared" si="503"/>
        <v>#DIV/0!</v>
      </c>
    </row>
    <row r="894" spans="1:13" ht="63" hidden="1" x14ac:dyDescent="0.25">
      <c r="A894" s="26" t="s">
        <v>437</v>
      </c>
      <c r="B894" s="21" t="s">
        <v>295</v>
      </c>
      <c r="C894" s="21" t="s">
        <v>266</v>
      </c>
      <c r="D894" s="21" t="s">
        <v>438</v>
      </c>
      <c r="E894" s="21"/>
      <c r="F894" s="7">
        <f>F895</f>
        <v>59.4</v>
      </c>
      <c r="G894" s="7">
        <f t="shared" ref="G894:L895" si="528">G895</f>
        <v>59.4</v>
      </c>
      <c r="H894" s="7">
        <f t="shared" si="528"/>
        <v>0</v>
      </c>
      <c r="I894" s="7">
        <f t="shared" si="528"/>
        <v>0</v>
      </c>
      <c r="J894" s="7">
        <f t="shared" si="528"/>
        <v>0</v>
      </c>
      <c r="K894" s="7">
        <f t="shared" si="528"/>
        <v>0</v>
      </c>
      <c r="L894" s="7">
        <f t="shared" si="528"/>
        <v>0</v>
      </c>
      <c r="M894" s="4" t="e">
        <f t="shared" si="503"/>
        <v>#DIV/0!</v>
      </c>
    </row>
    <row r="895" spans="1:13" ht="31.5" hidden="1" x14ac:dyDescent="0.25">
      <c r="A895" s="26" t="s">
        <v>299</v>
      </c>
      <c r="B895" s="21" t="s">
        <v>295</v>
      </c>
      <c r="C895" s="21" t="s">
        <v>266</v>
      </c>
      <c r="D895" s="21" t="s">
        <v>438</v>
      </c>
      <c r="E895" s="21" t="s">
        <v>300</v>
      </c>
      <c r="F895" s="7">
        <f>F896</f>
        <v>59.4</v>
      </c>
      <c r="G895" s="7">
        <f t="shared" si="528"/>
        <v>59.4</v>
      </c>
      <c r="H895" s="7">
        <f t="shared" si="528"/>
        <v>0</v>
      </c>
      <c r="I895" s="7">
        <f t="shared" si="528"/>
        <v>0</v>
      </c>
      <c r="J895" s="7">
        <f t="shared" si="528"/>
        <v>0</v>
      </c>
      <c r="K895" s="7">
        <f t="shared" si="528"/>
        <v>0</v>
      </c>
      <c r="L895" s="7">
        <f t="shared" si="528"/>
        <v>0</v>
      </c>
      <c r="M895" s="4" t="e">
        <f t="shared" si="503"/>
        <v>#DIV/0!</v>
      </c>
    </row>
    <row r="896" spans="1:13" ht="31.5" hidden="1" x14ac:dyDescent="0.25">
      <c r="A896" s="26" t="s">
        <v>399</v>
      </c>
      <c r="B896" s="21" t="s">
        <v>295</v>
      </c>
      <c r="C896" s="21" t="s">
        <v>266</v>
      </c>
      <c r="D896" s="21" t="s">
        <v>438</v>
      </c>
      <c r="E896" s="21" t="s">
        <v>400</v>
      </c>
      <c r="F896" s="7">
        <f>'Прил.№4 ведомств.'!G521</f>
        <v>59.4</v>
      </c>
      <c r="G896" s="7">
        <f>'Прил.№4 ведомств.'!I521</f>
        <v>59.4</v>
      </c>
      <c r="H896" s="7">
        <f>'Прил.№4 ведомств.'!J521</f>
        <v>0</v>
      </c>
      <c r="I896" s="7">
        <f>'Прил.№4 ведомств.'!K521</f>
        <v>0</v>
      </c>
      <c r="J896" s="7">
        <f>'Прил.№4 ведомств.'!L521</f>
        <v>0</v>
      </c>
      <c r="K896" s="7">
        <f>'Прил.№4 ведомств.'!M521</f>
        <v>0</v>
      </c>
      <c r="L896" s="7">
        <f>'Прил.№4 ведомств.'!N521</f>
        <v>0</v>
      </c>
      <c r="M896" s="4" t="e">
        <f t="shared" si="503"/>
        <v>#DIV/0!</v>
      </c>
    </row>
    <row r="897" spans="1:13" ht="31.5" x14ac:dyDescent="0.25">
      <c r="A897" s="43" t="s">
        <v>309</v>
      </c>
      <c r="B897" s="8" t="s">
        <v>295</v>
      </c>
      <c r="C897" s="8" t="s">
        <v>171</v>
      </c>
      <c r="D897" s="8"/>
      <c r="E897" s="8"/>
      <c r="F897" s="4">
        <f>F898</f>
        <v>3235.6000000000004</v>
      </c>
      <c r="G897" s="4">
        <f t="shared" ref="G897:L897" si="529">G898</f>
        <v>3235.6000000000004</v>
      </c>
      <c r="H897" s="4">
        <f t="shared" si="529"/>
        <v>3256.3000000000006</v>
      </c>
      <c r="I897" s="4">
        <f t="shared" si="529"/>
        <v>3256.3000000000006</v>
      </c>
      <c r="J897" s="4">
        <f t="shared" si="529"/>
        <v>3256.3000000000006</v>
      </c>
      <c r="K897" s="4">
        <f t="shared" si="529"/>
        <v>3235.8</v>
      </c>
      <c r="L897" s="4">
        <f t="shared" si="529"/>
        <v>2104.1</v>
      </c>
      <c r="M897" s="4">
        <f t="shared" si="503"/>
        <v>65.02565053464366</v>
      </c>
    </row>
    <row r="898" spans="1:13" ht="15.75" x14ac:dyDescent="0.25">
      <c r="A898" s="31" t="s">
        <v>172</v>
      </c>
      <c r="B898" s="42" t="s">
        <v>295</v>
      </c>
      <c r="C898" s="42" t="s">
        <v>171</v>
      </c>
      <c r="D898" s="42" t="s">
        <v>173</v>
      </c>
      <c r="E898" s="42"/>
      <c r="F898" s="7">
        <f>F899+F905</f>
        <v>3235.6000000000004</v>
      </c>
      <c r="G898" s="7">
        <f t="shared" ref="G898:J898" si="530">G899+G905</f>
        <v>3235.6000000000004</v>
      </c>
      <c r="H898" s="7">
        <f t="shared" si="530"/>
        <v>3256.3000000000006</v>
      </c>
      <c r="I898" s="7">
        <f t="shared" si="530"/>
        <v>3256.3000000000006</v>
      </c>
      <c r="J898" s="7">
        <f t="shared" si="530"/>
        <v>3256.3000000000006</v>
      </c>
      <c r="K898" s="7">
        <f>K899+K905+K909</f>
        <v>3235.8</v>
      </c>
      <c r="L898" s="7">
        <f t="shared" ref="L898" si="531">L899+L905+L909</f>
        <v>2104.1</v>
      </c>
      <c r="M898" s="7">
        <f t="shared" si="503"/>
        <v>65.02565053464366</v>
      </c>
    </row>
    <row r="899" spans="1:13" ht="31.5" x14ac:dyDescent="0.25">
      <c r="A899" s="31" t="s">
        <v>236</v>
      </c>
      <c r="B899" s="42" t="s">
        <v>295</v>
      </c>
      <c r="C899" s="42" t="s">
        <v>171</v>
      </c>
      <c r="D899" s="42" t="s">
        <v>237</v>
      </c>
      <c r="E899" s="42"/>
      <c r="F899" s="7">
        <f>F900</f>
        <v>3148.5000000000005</v>
      </c>
      <c r="G899" s="7">
        <f t="shared" ref="G899:L899" si="532">G900</f>
        <v>3148.5000000000005</v>
      </c>
      <c r="H899" s="7">
        <f t="shared" si="532"/>
        <v>3148.5000000000005</v>
      </c>
      <c r="I899" s="7">
        <f t="shared" si="532"/>
        <v>3148.5000000000005</v>
      </c>
      <c r="J899" s="7">
        <f t="shared" si="532"/>
        <v>3148.5000000000005</v>
      </c>
      <c r="K899" s="7">
        <f t="shared" si="532"/>
        <v>3148.7000000000003</v>
      </c>
      <c r="L899" s="7">
        <f t="shared" si="532"/>
        <v>2051.8000000000002</v>
      </c>
      <c r="M899" s="7">
        <f t="shared" si="503"/>
        <v>65.163400768571151</v>
      </c>
    </row>
    <row r="900" spans="1:13" ht="47.25" x14ac:dyDescent="0.25">
      <c r="A900" s="47" t="s">
        <v>310</v>
      </c>
      <c r="B900" s="42" t="s">
        <v>295</v>
      </c>
      <c r="C900" s="42" t="s">
        <v>171</v>
      </c>
      <c r="D900" s="42" t="s">
        <v>311</v>
      </c>
      <c r="E900" s="42"/>
      <c r="F900" s="7">
        <f>F901+F903</f>
        <v>3148.5000000000005</v>
      </c>
      <c r="G900" s="7">
        <f t="shared" ref="G900:K900" si="533">G901+G903</f>
        <v>3148.5000000000005</v>
      </c>
      <c r="H900" s="7">
        <f t="shared" si="533"/>
        <v>3148.5000000000005</v>
      </c>
      <c r="I900" s="7">
        <f t="shared" si="533"/>
        <v>3148.5000000000005</v>
      </c>
      <c r="J900" s="7">
        <f t="shared" si="533"/>
        <v>3148.5000000000005</v>
      </c>
      <c r="K900" s="7">
        <f t="shared" si="533"/>
        <v>3148.7000000000003</v>
      </c>
      <c r="L900" s="7">
        <f t="shared" ref="L900" si="534">L901+L903</f>
        <v>2051.8000000000002</v>
      </c>
      <c r="M900" s="7">
        <f t="shared" si="503"/>
        <v>65.163400768571151</v>
      </c>
    </row>
    <row r="901" spans="1:13" ht="78.75" x14ac:dyDescent="0.25">
      <c r="A901" s="31" t="s">
        <v>178</v>
      </c>
      <c r="B901" s="42" t="s">
        <v>295</v>
      </c>
      <c r="C901" s="42" t="s">
        <v>171</v>
      </c>
      <c r="D901" s="42" t="s">
        <v>311</v>
      </c>
      <c r="E901" s="42" t="s">
        <v>179</v>
      </c>
      <c r="F901" s="7">
        <f>F902</f>
        <v>2884.1000000000004</v>
      </c>
      <c r="G901" s="7">
        <f t="shared" ref="G901:L901" si="535">G902</f>
        <v>2884.1000000000004</v>
      </c>
      <c r="H901" s="7">
        <f t="shared" si="535"/>
        <v>2884.1000000000004</v>
      </c>
      <c r="I901" s="7">
        <f t="shared" si="535"/>
        <v>2884.1000000000004</v>
      </c>
      <c r="J901" s="7">
        <f t="shared" si="535"/>
        <v>2884.1000000000004</v>
      </c>
      <c r="K901" s="7">
        <f t="shared" si="535"/>
        <v>2857.3</v>
      </c>
      <c r="L901" s="7">
        <f t="shared" si="535"/>
        <v>1959.3</v>
      </c>
      <c r="M901" s="7">
        <f t="shared" si="503"/>
        <v>68.571728554929464</v>
      </c>
    </row>
    <row r="902" spans="1:13" ht="31.5" x14ac:dyDescent="0.25">
      <c r="A902" s="31" t="s">
        <v>180</v>
      </c>
      <c r="B902" s="42" t="s">
        <v>295</v>
      </c>
      <c r="C902" s="42" t="s">
        <v>171</v>
      </c>
      <c r="D902" s="42" t="s">
        <v>311</v>
      </c>
      <c r="E902" s="42" t="s">
        <v>181</v>
      </c>
      <c r="F902" s="7">
        <f>'Прил.№4 ведомств.'!G239</f>
        <v>2884.1000000000004</v>
      </c>
      <c r="G902" s="7">
        <f>'Прил.№4 ведомств.'!I239</f>
        <v>2884.1000000000004</v>
      </c>
      <c r="H902" s="7">
        <f>'Прил.№4 ведомств.'!J239</f>
        <v>2884.1000000000004</v>
      </c>
      <c r="I902" s="7">
        <f>'Прил.№4 ведомств.'!K239</f>
        <v>2884.1000000000004</v>
      </c>
      <c r="J902" s="7">
        <f>'Прил.№4 ведомств.'!L239</f>
        <v>2884.1000000000004</v>
      </c>
      <c r="K902" s="7">
        <f>'Прил.№4 ведомств.'!M239</f>
        <v>2857.3</v>
      </c>
      <c r="L902" s="7">
        <f>'Прил.№4 ведомств.'!N239</f>
        <v>1959.3</v>
      </c>
      <c r="M902" s="7">
        <f t="shared" si="503"/>
        <v>68.571728554929464</v>
      </c>
    </row>
    <row r="903" spans="1:13" ht="31.5" x14ac:dyDescent="0.25">
      <c r="A903" s="31" t="s">
        <v>182</v>
      </c>
      <c r="B903" s="42" t="s">
        <v>295</v>
      </c>
      <c r="C903" s="42" t="s">
        <v>171</v>
      </c>
      <c r="D903" s="42" t="s">
        <v>311</v>
      </c>
      <c r="E903" s="42" t="s">
        <v>183</v>
      </c>
      <c r="F903" s="7">
        <f>F904</f>
        <v>264.39999999999998</v>
      </c>
      <c r="G903" s="7">
        <f t="shared" ref="G903:L903" si="536">G904</f>
        <v>264.39999999999998</v>
      </c>
      <c r="H903" s="7">
        <f t="shared" si="536"/>
        <v>264.39999999999998</v>
      </c>
      <c r="I903" s="7">
        <f t="shared" si="536"/>
        <v>264.39999999999998</v>
      </c>
      <c r="J903" s="7">
        <f t="shared" si="536"/>
        <v>264.39999999999998</v>
      </c>
      <c r="K903" s="7">
        <f t="shared" si="536"/>
        <v>291.39999999999998</v>
      </c>
      <c r="L903" s="7">
        <f t="shared" si="536"/>
        <v>92.5</v>
      </c>
      <c r="M903" s="7">
        <f t="shared" si="503"/>
        <v>31.743308167467397</v>
      </c>
    </row>
    <row r="904" spans="1:13" ht="47.25" x14ac:dyDescent="0.25">
      <c r="A904" s="31" t="s">
        <v>184</v>
      </c>
      <c r="B904" s="42" t="s">
        <v>295</v>
      </c>
      <c r="C904" s="42" t="s">
        <v>171</v>
      </c>
      <c r="D904" s="42" t="s">
        <v>311</v>
      </c>
      <c r="E904" s="42" t="s">
        <v>185</v>
      </c>
      <c r="F904" s="7">
        <f>'Прил.№4 ведомств.'!G241</f>
        <v>264.39999999999998</v>
      </c>
      <c r="G904" s="7">
        <f>'Прил.№4 ведомств.'!I241</f>
        <v>264.39999999999998</v>
      </c>
      <c r="H904" s="7">
        <f>'Прил.№4 ведомств.'!J241</f>
        <v>264.39999999999998</v>
      </c>
      <c r="I904" s="7">
        <f>'Прил.№4 ведомств.'!K241</f>
        <v>264.39999999999998</v>
      </c>
      <c r="J904" s="7">
        <f>'Прил.№4 ведомств.'!L241</f>
        <v>264.39999999999998</v>
      </c>
      <c r="K904" s="7">
        <f>'Прил.№4 ведомств.'!M241</f>
        <v>291.39999999999998</v>
      </c>
      <c r="L904" s="7">
        <f>'Прил.№4 ведомств.'!N241</f>
        <v>92.5</v>
      </c>
      <c r="M904" s="7">
        <f t="shared" si="503"/>
        <v>31.743308167467397</v>
      </c>
    </row>
    <row r="905" spans="1:13" ht="15.75" x14ac:dyDescent="0.25">
      <c r="A905" s="31" t="s">
        <v>192</v>
      </c>
      <c r="B905" s="42" t="s">
        <v>295</v>
      </c>
      <c r="C905" s="42" t="s">
        <v>171</v>
      </c>
      <c r="D905" s="42" t="s">
        <v>193</v>
      </c>
      <c r="E905" s="42"/>
      <c r="F905" s="7">
        <f>F906</f>
        <v>87.1</v>
      </c>
      <c r="G905" s="7">
        <f t="shared" ref="G905:L907" si="537">G906</f>
        <v>87.1</v>
      </c>
      <c r="H905" s="7">
        <f t="shared" si="537"/>
        <v>107.8</v>
      </c>
      <c r="I905" s="7">
        <f t="shared" si="537"/>
        <v>107.8</v>
      </c>
      <c r="J905" s="7">
        <f t="shared" si="537"/>
        <v>107.8</v>
      </c>
      <c r="K905" s="7">
        <f t="shared" si="537"/>
        <v>36.099999999999994</v>
      </c>
      <c r="L905" s="7">
        <f t="shared" si="537"/>
        <v>36.1</v>
      </c>
      <c r="M905" s="7">
        <f t="shared" si="503"/>
        <v>100.00000000000003</v>
      </c>
    </row>
    <row r="906" spans="1:13" ht="15.75" x14ac:dyDescent="0.25">
      <c r="A906" s="31" t="s">
        <v>624</v>
      </c>
      <c r="B906" s="42" t="s">
        <v>295</v>
      </c>
      <c r="C906" s="42" t="s">
        <v>171</v>
      </c>
      <c r="D906" s="42" t="s">
        <v>690</v>
      </c>
      <c r="E906" s="42"/>
      <c r="F906" s="7">
        <f>F907</f>
        <v>87.1</v>
      </c>
      <c r="G906" s="7">
        <f t="shared" si="537"/>
        <v>87.1</v>
      </c>
      <c r="H906" s="7">
        <f t="shared" si="537"/>
        <v>107.8</v>
      </c>
      <c r="I906" s="7">
        <f t="shared" si="537"/>
        <v>107.8</v>
      </c>
      <c r="J906" s="7">
        <f t="shared" si="537"/>
        <v>107.8</v>
      </c>
      <c r="K906" s="7">
        <f t="shared" si="537"/>
        <v>36.099999999999994</v>
      </c>
      <c r="L906" s="7">
        <f t="shared" si="537"/>
        <v>36.1</v>
      </c>
      <c r="M906" s="7">
        <f t="shared" si="503"/>
        <v>100.00000000000003</v>
      </c>
    </row>
    <row r="907" spans="1:13" ht="15.75" x14ac:dyDescent="0.25">
      <c r="A907" s="31" t="s">
        <v>186</v>
      </c>
      <c r="B907" s="42" t="s">
        <v>295</v>
      </c>
      <c r="C907" s="42" t="s">
        <v>171</v>
      </c>
      <c r="D907" s="42" t="s">
        <v>690</v>
      </c>
      <c r="E907" s="42" t="s">
        <v>196</v>
      </c>
      <c r="F907" s="7">
        <f>F908</f>
        <v>87.1</v>
      </c>
      <c r="G907" s="7">
        <f t="shared" si="537"/>
        <v>87.1</v>
      </c>
      <c r="H907" s="7">
        <f t="shared" si="537"/>
        <v>107.8</v>
      </c>
      <c r="I907" s="7">
        <f t="shared" si="537"/>
        <v>107.8</v>
      </c>
      <c r="J907" s="7">
        <f t="shared" si="537"/>
        <v>107.8</v>
      </c>
      <c r="K907" s="7">
        <f t="shared" si="537"/>
        <v>36.099999999999994</v>
      </c>
      <c r="L907" s="7">
        <f t="shared" si="537"/>
        <v>36.1</v>
      </c>
      <c r="M907" s="7">
        <f t="shared" si="503"/>
        <v>100.00000000000003</v>
      </c>
    </row>
    <row r="908" spans="1:13" ht="47.25" x14ac:dyDescent="0.25">
      <c r="A908" s="31" t="s">
        <v>235</v>
      </c>
      <c r="B908" s="42" t="s">
        <v>295</v>
      </c>
      <c r="C908" s="42" t="s">
        <v>171</v>
      </c>
      <c r="D908" s="42" t="s">
        <v>690</v>
      </c>
      <c r="E908" s="42" t="s">
        <v>211</v>
      </c>
      <c r="F908" s="7">
        <f>'Прил.№4 ведомств.'!G1074</f>
        <v>87.1</v>
      </c>
      <c r="G908" s="7">
        <f>'Прил.№4 ведомств.'!I1074</f>
        <v>87.1</v>
      </c>
      <c r="H908" s="7">
        <f>'Прил.№4 ведомств.'!J1074</f>
        <v>107.8</v>
      </c>
      <c r="I908" s="7">
        <f>'Прил.№4 ведомств.'!K1074</f>
        <v>107.8</v>
      </c>
      <c r="J908" s="7">
        <f>'Прил.№4 ведомств.'!L1074</f>
        <v>107.8</v>
      </c>
      <c r="K908" s="7">
        <f>'Прил.№4 ведомств.'!M1074</f>
        <v>36.099999999999994</v>
      </c>
      <c r="L908" s="7">
        <f>'Прил.№4 ведомств.'!N1074</f>
        <v>36.1</v>
      </c>
      <c r="M908" s="7">
        <f t="shared" si="503"/>
        <v>100.00000000000003</v>
      </c>
    </row>
    <row r="909" spans="1:13" ht="31.5" x14ac:dyDescent="0.25">
      <c r="A909" s="26" t="s">
        <v>361</v>
      </c>
      <c r="B909" s="42" t="s">
        <v>295</v>
      </c>
      <c r="C909" s="42" t="s">
        <v>171</v>
      </c>
      <c r="D909" s="21" t="s">
        <v>637</v>
      </c>
      <c r="E909" s="42"/>
      <c r="F909" s="7"/>
      <c r="G909" s="7"/>
      <c r="H909" s="7"/>
      <c r="I909" s="7"/>
      <c r="J909" s="7"/>
      <c r="K909" s="7">
        <f>K910</f>
        <v>51</v>
      </c>
      <c r="L909" s="7">
        <f t="shared" ref="L909:L911" si="538">L910</f>
        <v>16.2</v>
      </c>
      <c r="M909" s="7">
        <f t="shared" ref="M909:M972" si="539">L909/K909*100</f>
        <v>31.764705882352938</v>
      </c>
    </row>
    <row r="910" spans="1:13" ht="15.75" x14ac:dyDescent="0.25">
      <c r="A910" s="31" t="s">
        <v>624</v>
      </c>
      <c r="B910" s="42" t="s">
        <v>295</v>
      </c>
      <c r="C910" s="42" t="s">
        <v>171</v>
      </c>
      <c r="D910" s="21" t="s">
        <v>1021</v>
      </c>
      <c r="E910" s="42"/>
      <c r="F910" s="7"/>
      <c r="G910" s="7"/>
      <c r="H910" s="7"/>
      <c r="I910" s="7"/>
      <c r="J910" s="7"/>
      <c r="K910" s="7">
        <f>K911</f>
        <v>51</v>
      </c>
      <c r="L910" s="7">
        <f t="shared" si="538"/>
        <v>16.2</v>
      </c>
      <c r="M910" s="7">
        <f t="shared" si="539"/>
        <v>31.764705882352938</v>
      </c>
    </row>
    <row r="911" spans="1:13" ht="31.5" x14ac:dyDescent="0.25">
      <c r="A911" s="31" t="s">
        <v>182</v>
      </c>
      <c r="B911" s="42" t="s">
        <v>295</v>
      </c>
      <c r="C911" s="42" t="s">
        <v>171</v>
      </c>
      <c r="D911" s="21" t="s">
        <v>1021</v>
      </c>
      <c r="E911" s="42" t="s">
        <v>183</v>
      </c>
      <c r="F911" s="7"/>
      <c r="G911" s="7"/>
      <c r="H911" s="7"/>
      <c r="I911" s="7"/>
      <c r="J911" s="7"/>
      <c r="K911" s="7">
        <f>K912</f>
        <v>51</v>
      </c>
      <c r="L911" s="7">
        <f t="shared" si="538"/>
        <v>16.2</v>
      </c>
      <c r="M911" s="7">
        <f t="shared" si="539"/>
        <v>31.764705882352938</v>
      </c>
    </row>
    <row r="912" spans="1:13" ht="47.25" x14ac:dyDescent="0.25">
      <c r="A912" s="31" t="s">
        <v>184</v>
      </c>
      <c r="B912" s="42" t="s">
        <v>295</v>
      </c>
      <c r="C912" s="42" t="s">
        <v>171</v>
      </c>
      <c r="D912" s="21" t="s">
        <v>1021</v>
      </c>
      <c r="E912" s="42" t="s">
        <v>185</v>
      </c>
      <c r="F912" s="7"/>
      <c r="G912" s="7"/>
      <c r="H912" s="7"/>
      <c r="I912" s="7"/>
      <c r="J912" s="7"/>
      <c r="K912" s="7">
        <f>'Прил.№4 ведомств.'!M1078</f>
        <v>51</v>
      </c>
      <c r="L912" s="7">
        <f>'Прил.№4 ведомств.'!N1078</f>
        <v>16.2</v>
      </c>
      <c r="M912" s="7">
        <f t="shared" si="539"/>
        <v>31.764705882352938</v>
      </c>
    </row>
    <row r="913" spans="1:15" ht="15.75" x14ac:dyDescent="0.25">
      <c r="A913" s="43" t="s">
        <v>542</v>
      </c>
      <c r="B913" s="8" t="s">
        <v>543</v>
      </c>
      <c r="C913" s="42"/>
      <c r="D913" s="42"/>
      <c r="E913" s="42"/>
      <c r="F913" s="4">
        <f t="shared" ref="F913:K913" si="540">F914+F941</f>
        <v>34702.699999999997</v>
      </c>
      <c r="G913" s="4">
        <f t="shared" si="540"/>
        <v>40816.800000000003</v>
      </c>
      <c r="H913" s="4">
        <f t="shared" si="540"/>
        <v>64029.599999999999</v>
      </c>
      <c r="I913" s="4">
        <f t="shared" si="540"/>
        <v>65815.3</v>
      </c>
      <c r="J913" s="4">
        <f t="shared" si="540"/>
        <v>66895.899999999994</v>
      </c>
      <c r="K913" s="4">
        <f t="shared" si="540"/>
        <v>51617.8</v>
      </c>
      <c r="L913" s="4">
        <f t="shared" ref="L913" si="541">L914+L941</f>
        <v>33596.100000000006</v>
      </c>
      <c r="M913" s="4">
        <f t="shared" si="539"/>
        <v>65.086268690258024</v>
      </c>
    </row>
    <row r="914" spans="1:15" ht="15.75" x14ac:dyDescent="0.25">
      <c r="A914" s="43" t="s">
        <v>544</v>
      </c>
      <c r="B914" s="8" t="s">
        <v>543</v>
      </c>
      <c r="C914" s="8" t="s">
        <v>169</v>
      </c>
      <c r="D914" s="42"/>
      <c r="E914" s="42"/>
      <c r="F914" s="4">
        <f>F915+F936</f>
        <v>23173.9</v>
      </c>
      <c r="G914" s="4">
        <f>G915+G936</f>
        <v>28397</v>
      </c>
      <c r="H914" s="4">
        <f>H915+H936</f>
        <v>52737</v>
      </c>
      <c r="I914" s="4">
        <f>I915+I936</f>
        <v>54355.7</v>
      </c>
      <c r="J914" s="4">
        <f>J915+J936</f>
        <v>55263.1</v>
      </c>
      <c r="K914" s="4">
        <f>K915+K936+K932</f>
        <v>40805.5</v>
      </c>
      <c r="L914" s="4">
        <f t="shared" ref="L914" si="542">L915+L936+L932</f>
        <v>25874.200000000004</v>
      </c>
      <c r="M914" s="4">
        <f t="shared" si="539"/>
        <v>63.408609133572689</v>
      </c>
      <c r="N914" s="23"/>
      <c r="O914" s="23"/>
    </row>
    <row r="915" spans="1:15" ht="47.25" x14ac:dyDescent="0.25">
      <c r="A915" s="31" t="s">
        <v>533</v>
      </c>
      <c r="B915" s="42" t="s">
        <v>543</v>
      </c>
      <c r="C915" s="42" t="s">
        <v>169</v>
      </c>
      <c r="D915" s="42" t="s">
        <v>534</v>
      </c>
      <c r="E915" s="42"/>
      <c r="F915" s="7">
        <f>F916</f>
        <v>22673.9</v>
      </c>
      <c r="G915" s="7">
        <f t="shared" ref="G915:L915" si="543">G916</f>
        <v>27897</v>
      </c>
      <c r="H915" s="7">
        <f t="shared" si="543"/>
        <v>52737</v>
      </c>
      <c r="I915" s="7">
        <f t="shared" si="543"/>
        <v>54355.7</v>
      </c>
      <c r="J915" s="7">
        <f t="shared" si="543"/>
        <v>55263.1</v>
      </c>
      <c r="K915" s="7">
        <f t="shared" si="543"/>
        <v>39760.5</v>
      </c>
      <c r="L915" s="7">
        <f t="shared" si="543"/>
        <v>24929.300000000003</v>
      </c>
      <c r="M915" s="7">
        <f t="shared" si="539"/>
        <v>62.698658216068715</v>
      </c>
    </row>
    <row r="916" spans="1:15" ht="47.25" x14ac:dyDescent="0.25">
      <c r="A916" s="47" t="s">
        <v>545</v>
      </c>
      <c r="B916" s="42" t="s">
        <v>543</v>
      </c>
      <c r="C916" s="42" t="s">
        <v>691</v>
      </c>
      <c r="D916" s="42" t="s">
        <v>546</v>
      </c>
      <c r="E916" s="42"/>
      <c r="F916" s="7">
        <f>F918+F921+F924+F927+F929</f>
        <v>22673.9</v>
      </c>
      <c r="G916" s="7">
        <f t="shared" ref="G916:K916" si="544">G918+G921+G924+G927+G929</f>
        <v>27897</v>
      </c>
      <c r="H916" s="7">
        <f t="shared" si="544"/>
        <v>52737</v>
      </c>
      <c r="I916" s="7">
        <f t="shared" si="544"/>
        <v>54355.7</v>
      </c>
      <c r="J916" s="7">
        <f t="shared" si="544"/>
        <v>55263.1</v>
      </c>
      <c r="K916" s="7">
        <f t="shared" si="544"/>
        <v>39760.5</v>
      </c>
      <c r="L916" s="7">
        <f t="shared" ref="L916" si="545">L918+L921+L924+L927+L929</f>
        <v>24929.300000000003</v>
      </c>
      <c r="M916" s="7">
        <f t="shared" si="539"/>
        <v>62.698658216068715</v>
      </c>
    </row>
    <row r="917" spans="1:15" ht="31.5" x14ac:dyDescent="0.25">
      <c r="A917" s="31" t="s">
        <v>547</v>
      </c>
      <c r="B917" s="42" t="s">
        <v>543</v>
      </c>
      <c r="C917" s="42" t="s">
        <v>169</v>
      </c>
      <c r="D917" s="42" t="s">
        <v>548</v>
      </c>
      <c r="E917" s="42"/>
      <c r="F917" s="7">
        <f>F918</f>
        <v>22376.400000000001</v>
      </c>
      <c r="G917" s="7">
        <f t="shared" ref="G917:L918" si="546">G918</f>
        <v>27599.5</v>
      </c>
      <c r="H917" s="7">
        <f t="shared" si="546"/>
        <v>50955.8</v>
      </c>
      <c r="I917" s="7">
        <f t="shared" si="546"/>
        <v>52684.5</v>
      </c>
      <c r="J917" s="7">
        <f t="shared" si="546"/>
        <v>54166.9</v>
      </c>
      <c r="K917" s="7">
        <f t="shared" si="546"/>
        <v>38540.600000000006</v>
      </c>
      <c r="L917" s="7">
        <f t="shared" si="546"/>
        <v>23709.4</v>
      </c>
      <c r="M917" s="7">
        <f t="shared" si="539"/>
        <v>61.51798363284432</v>
      </c>
    </row>
    <row r="918" spans="1:15" ht="47.25" x14ac:dyDescent="0.25">
      <c r="A918" s="31" t="s">
        <v>323</v>
      </c>
      <c r="B918" s="42" t="s">
        <v>543</v>
      </c>
      <c r="C918" s="42" t="s">
        <v>169</v>
      </c>
      <c r="D918" s="42" t="s">
        <v>548</v>
      </c>
      <c r="E918" s="42" t="s">
        <v>324</v>
      </c>
      <c r="F918" s="7">
        <f>F919</f>
        <v>22376.400000000001</v>
      </c>
      <c r="G918" s="7">
        <f t="shared" si="546"/>
        <v>27599.5</v>
      </c>
      <c r="H918" s="7">
        <f t="shared" si="546"/>
        <v>50955.8</v>
      </c>
      <c r="I918" s="7">
        <f t="shared" si="546"/>
        <v>52684.5</v>
      </c>
      <c r="J918" s="7">
        <f t="shared" si="546"/>
        <v>54166.9</v>
      </c>
      <c r="K918" s="7">
        <f t="shared" si="546"/>
        <v>38540.600000000006</v>
      </c>
      <c r="L918" s="7">
        <f t="shared" si="546"/>
        <v>23709.4</v>
      </c>
      <c r="M918" s="7">
        <f t="shared" si="539"/>
        <v>61.51798363284432</v>
      </c>
    </row>
    <row r="919" spans="1:15" ht="15.75" x14ac:dyDescent="0.25">
      <c r="A919" s="31" t="s">
        <v>325</v>
      </c>
      <c r="B919" s="42" t="s">
        <v>543</v>
      </c>
      <c r="C919" s="42" t="s">
        <v>169</v>
      </c>
      <c r="D919" s="42" t="s">
        <v>548</v>
      </c>
      <c r="E919" s="42" t="s">
        <v>326</v>
      </c>
      <c r="F919" s="7">
        <f>'Прил.№4 ведомств.'!G827</f>
        <v>22376.400000000001</v>
      </c>
      <c r="G919" s="7">
        <f>'Прил.№4 ведомств.'!I827</f>
        <v>27599.5</v>
      </c>
      <c r="H919" s="7">
        <f>'Прил.№4 ведомств.'!J827</f>
        <v>50955.8</v>
      </c>
      <c r="I919" s="7">
        <f>'Прил.№4 ведомств.'!K827</f>
        <v>52684.5</v>
      </c>
      <c r="J919" s="7">
        <f>'Прил.№4 ведомств.'!L827</f>
        <v>54166.9</v>
      </c>
      <c r="K919" s="7">
        <f>'Прил.№4 ведомств.'!M827</f>
        <v>38540.600000000006</v>
      </c>
      <c r="L919" s="7">
        <f>'Прил.№4 ведомств.'!N827</f>
        <v>23709.4</v>
      </c>
      <c r="M919" s="7">
        <f t="shared" si="539"/>
        <v>61.51798363284432</v>
      </c>
    </row>
    <row r="920" spans="1:15" ht="31.5" hidden="1" x14ac:dyDescent="0.25">
      <c r="A920" s="31" t="s">
        <v>329</v>
      </c>
      <c r="B920" s="42" t="s">
        <v>543</v>
      </c>
      <c r="C920" s="42" t="s">
        <v>169</v>
      </c>
      <c r="D920" s="42" t="s">
        <v>549</v>
      </c>
      <c r="E920" s="42"/>
      <c r="F920" s="7">
        <f>F921</f>
        <v>297.5</v>
      </c>
      <c r="G920" s="7">
        <f t="shared" ref="G920:L921" si="547">G921</f>
        <v>297.5</v>
      </c>
      <c r="H920" s="7">
        <f t="shared" si="547"/>
        <v>0</v>
      </c>
      <c r="I920" s="7">
        <f t="shared" si="547"/>
        <v>0</v>
      </c>
      <c r="J920" s="7">
        <f t="shared" si="547"/>
        <v>0</v>
      </c>
      <c r="K920" s="7">
        <f t="shared" si="547"/>
        <v>398.7</v>
      </c>
      <c r="L920" s="7">
        <f t="shared" si="547"/>
        <v>398.7</v>
      </c>
      <c r="M920" s="7">
        <f t="shared" si="539"/>
        <v>100</v>
      </c>
    </row>
    <row r="921" spans="1:15" ht="47.25" hidden="1" x14ac:dyDescent="0.25">
      <c r="A921" s="31" t="s">
        <v>323</v>
      </c>
      <c r="B921" s="42" t="s">
        <v>543</v>
      </c>
      <c r="C921" s="42" t="s">
        <v>169</v>
      </c>
      <c r="D921" s="42" t="s">
        <v>549</v>
      </c>
      <c r="E921" s="42" t="s">
        <v>324</v>
      </c>
      <c r="F921" s="7">
        <f>F922</f>
        <v>297.5</v>
      </c>
      <c r="G921" s="7">
        <f t="shared" si="547"/>
        <v>297.5</v>
      </c>
      <c r="H921" s="7">
        <f t="shared" si="547"/>
        <v>0</v>
      </c>
      <c r="I921" s="7">
        <f t="shared" si="547"/>
        <v>0</v>
      </c>
      <c r="J921" s="7">
        <f t="shared" si="547"/>
        <v>0</v>
      </c>
      <c r="K921" s="7">
        <f t="shared" si="547"/>
        <v>398.7</v>
      </c>
      <c r="L921" s="7">
        <f t="shared" si="547"/>
        <v>398.7</v>
      </c>
      <c r="M921" s="7">
        <f t="shared" si="539"/>
        <v>100</v>
      </c>
    </row>
    <row r="922" spans="1:15" ht="15.75" hidden="1" x14ac:dyDescent="0.25">
      <c r="A922" s="31" t="s">
        <v>325</v>
      </c>
      <c r="B922" s="42" t="s">
        <v>543</v>
      </c>
      <c r="C922" s="42" t="s">
        <v>169</v>
      </c>
      <c r="D922" s="42" t="s">
        <v>549</v>
      </c>
      <c r="E922" s="42" t="s">
        <v>326</v>
      </c>
      <c r="F922" s="7">
        <f>'Прил.№4 ведомств.'!G830</f>
        <v>297.5</v>
      </c>
      <c r="G922" s="7">
        <f>'Прил.№4 ведомств.'!I830</f>
        <v>297.5</v>
      </c>
      <c r="H922" s="7">
        <f>'Прил.№4 ведомств.'!J830</f>
        <v>0</v>
      </c>
      <c r="I922" s="7">
        <f>'Прил.№4 ведомств.'!K830</f>
        <v>0</v>
      </c>
      <c r="J922" s="7">
        <f>'Прил.№4 ведомств.'!L830</f>
        <v>0</v>
      </c>
      <c r="K922" s="7">
        <f>'Прил.№4 ведомств.'!M830</f>
        <v>398.7</v>
      </c>
      <c r="L922" s="7">
        <f>'Прил.№4 ведомств.'!N830</f>
        <v>398.7</v>
      </c>
      <c r="M922" s="7">
        <f t="shared" si="539"/>
        <v>100</v>
      </c>
    </row>
    <row r="923" spans="1:15" ht="31.5" hidden="1" customHeight="1" x14ac:dyDescent="0.25">
      <c r="A923" s="31" t="s">
        <v>331</v>
      </c>
      <c r="B923" s="42" t="s">
        <v>543</v>
      </c>
      <c r="C923" s="42" t="s">
        <v>169</v>
      </c>
      <c r="D923" s="42" t="s">
        <v>550</v>
      </c>
      <c r="E923" s="42"/>
      <c r="F923" s="7">
        <f>F924</f>
        <v>0</v>
      </c>
      <c r="G923" s="7">
        <f t="shared" ref="G923:L924" si="548">G924</f>
        <v>0</v>
      </c>
      <c r="H923" s="7">
        <f t="shared" si="548"/>
        <v>685</v>
      </c>
      <c r="I923" s="7">
        <f t="shared" si="548"/>
        <v>300</v>
      </c>
      <c r="J923" s="7">
        <f t="shared" si="548"/>
        <v>0</v>
      </c>
      <c r="K923" s="7">
        <f t="shared" si="548"/>
        <v>0</v>
      </c>
      <c r="L923" s="7">
        <f t="shared" si="548"/>
        <v>0</v>
      </c>
      <c r="M923" s="7" t="e">
        <f t="shared" si="539"/>
        <v>#DIV/0!</v>
      </c>
    </row>
    <row r="924" spans="1:15" ht="47.25" hidden="1" customHeight="1" x14ac:dyDescent="0.25">
      <c r="A924" s="31" t="s">
        <v>323</v>
      </c>
      <c r="B924" s="42" t="s">
        <v>543</v>
      </c>
      <c r="C924" s="42" t="s">
        <v>169</v>
      </c>
      <c r="D924" s="42" t="s">
        <v>550</v>
      </c>
      <c r="E924" s="42" t="s">
        <v>324</v>
      </c>
      <c r="F924" s="7">
        <f>F925</f>
        <v>0</v>
      </c>
      <c r="G924" s="7">
        <f t="shared" si="548"/>
        <v>0</v>
      </c>
      <c r="H924" s="7">
        <f t="shared" si="548"/>
        <v>685</v>
      </c>
      <c r="I924" s="7">
        <f t="shared" si="548"/>
        <v>300</v>
      </c>
      <c r="J924" s="7">
        <f t="shared" si="548"/>
        <v>0</v>
      </c>
      <c r="K924" s="7">
        <f t="shared" si="548"/>
        <v>0</v>
      </c>
      <c r="L924" s="7">
        <f t="shared" si="548"/>
        <v>0</v>
      </c>
      <c r="M924" s="7" t="e">
        <f t="shared" si="539"/>
        <v>#DIV/0!</v>
      </c>
    </row>
    <row r="925" spans="1:15" ht="15.75" hidden="1" customHeight="1" x14ac:dyDescent="0.25">
      <c r="A925" s="31" t="s">
        <v>325</v>
      </c>
      <c r="B925" s="42" t="s">
        <v>543</v>
      </c>
      <c r="C925" s="42" t="s">
        <v>169</v>
      </c>
      <c r="D925" s="42" t="s">
        <v>550</v>
      </c>
      <c r="E925" s="42" t="s">
        <v>326</v>
      </c>
      <c r="F925" s="7">
        <f>'Прил.№4 ведомств.'!G833</f>
        <v>0</v>
      </c>
      <c r="G925" s="7">
        <f>'Прил.№4 ведомств.'!I833</f>
        <v>0</v>
      </c>
      <c r="H925" s="7">
        <f>'Прил.№4 ведомств.'!J833</f>
        <v>685</v>
      </c>
      <c r="I925" s="7">
        <f>'Прил.№4 ведомств.'!K833</f>
        <v>300</v>
      </c>
      <c r="J925" s="7">
        <f>'Прил.№4 ведомств.'!L833</f>
        <v>0</v>
      </c>
      <c r="K925" s="7">
        <f>'Прил.№4 ведомств.'!M833</f>
        <v>0</v>
      </c>
      <c r="L925" s="7">
        <f>'Прил.№4 ведомств.'!N833</f>
        <v>0</v>
      </c>
      <c r="M925" s="7" t="e">
        <f t="shared" si="539"/>
        <v>#DIV/0!</v>
      </c>
    </row>
    <row r="926" spans="1:15" ht="31.5" customHeight="1" x14ac:dyDescent="0.25">
      <c r="A926" s="31" t="s">
        <v>335</v>
      </c>
      <c r="B926" s="42" t="s">
        <v>543</v>
      </c>
      <c r="C926" s="42" t="s">
        <v>169</v>
      </c>
      <c r="D926" s="42" t="s">
        <v>551</v>
      </c>
      <c r="E926" s="42"/>
      <c r="F926" s="7">
        <f>F927</f>
        <v>0</v>
      </c>
      <c r="G926" s="7">
        <f t="shared" ref="G926:L927" si="549">G927</f>
        <v>0</v>
      </c>
      <c r="H926" s="7">
        <f t="shared" si="549"/>
        <v>275</v>
      </c>
      <c r="I926" s="7">
        <f t="shared" si="549"/>
        <v>550</v>
      </c>
      <c r="J926" s="7">
        <f t="shared" si="549"/>
        <v>275</v>
      </c>
      <c r="K926" s="7">
        <f t="shared" si="549"/>
        <v>100</v>
      </c>
      <c r="L926" s="7">
        <f t="shared" si="549"/>
        <v>100</v>
      </c>
      <c r="M926" s="7">
        <f t="shared" si="539"/>
        <v>100</v>
      </c>
    </row>
    <row r="927" spans="1:15" ht="47.25" customHeight="1" x14ac:dyDescent="0.25">
      <c r="A927" s="31" t="s">
        <v>323</v>
      </c>
      <c r="B927" s="42" t="s">
        <v>543</v>
      </c>
      <c r="C927" s="42" t="s">
        <v>169</v>
      </c>
      <c r="D927" s="42" t="s">
        <v>551</v>
      </c>
      <c r="E927" s="42" t="s">
        <v>324</v>
      </c>
      <c r="F927" s="7">
        <f>F928</f>
        <v>0</v>
      </c>
      <c r="G927" s="7">
        <f t="shared" si="549"/>
        <v>0</v>
      </c>
      <c r="H927" s="7">
        <f t="shared" si="549"/>
        <v>275</v>
      </c>
      <c r="I927" s="7">
        <f t="shared" si="549"/>
        <v>550</v>
      </c>
      <c r="J927" s="7">
        <f t="shared" si="549"/>
        <v>275</v>
      </c>
      <c r="K927" s="7">
        <f t="shared" si="549"/>
        <v>100</v>
      </c>
      <c r="L927" s="7">
        <f t="shared" si="549"/>
        <v>100</v>
      </c>
      <c r="M927" s="7">
        <f t="shared" si="539"/>
        <v>100</v>
      </c>
    </row>
    <row r="928" spans="1:15" ht="15.75" customHeight="1" x14ac:dyDescent="0.25">
      <c r="A928" s="31" t="s">
        <v>325</v>
      </c>
      <c r="B928" s="42" t="s">
        <v>543</v>
      </c>
      <c r="C928" s="42" t="s">
        <v>169</v>
      </c>
      <c r="D928" s="42" t="s">
        <v>551</v>
      </c>
      <c r="E928" s="42" t="s">
        <v>326</v>
      </c>
      <c r="F928" s="7">
        <f>'Прил.№4 ведомств.'!G836</f>
        <v>0</v>
      </c>
      <c r="G928" s="7">
        <f>'Прил.№4 ведомств.'!I836</f>
        <v>0</v>
      </c>
      <c r="H928" s="7">
        <f>'Прил.№4 ведомств.'!J836</f>
        <v>275</v>
      </c>
      <c r="I928" s="7">
        <f>'Прил.№4 ведомств.'!K836</f>
        <v>550</v>
      </c>
      <c r="J928" s="7">
        <f>'Прил.№4 ведомств.'!L836</f>
        <v>275</v>
      </c>
      <c r="K928" s="7">
        <f>'Прил.№4 ведомств.'!M836</f>
        <v>100</v>
      </c>
      <c r="L928" s="7">
        <f>'Прил.№4 ведомств.'!N836</f>
        <v>100</v>
      </c>
      <c r="M928" s="7">
        <f t="shared" si="539"/>
        <v>100</v>
      </c>
    </row>
    <row r="929" spans="1:13" ht="34.5" customHeight="1" x14ac:dyDescent="0.25">
      <c r="A929" s="47" t="s">
        <v>861</v>
      </c>
      <c r="B929" s="21" t="s">
        <v>543</v>
      </c>
      <c r="C929" s="21" t="s">
        <v>169</v>
      </c>
      <c r="D929" s="21" t="s">
        <v>869</v>
      </c>
      <c r="E929" s="21"/>
      <c r="F929" s="7">
        <f>F930</f>
        <v>0</v>
      </c>
      <c r="G929" s="7">
        <f t="shared" ref="G929:L930" si="550">G930</f>
        <v>0</v>
      </c>
      <c r="H929" s="7">
        <f t="shared" si="550"/>
        <v>821.2</v>
      </c>
      <c r="I929" s="7">
        <f t="shared" si="550"/>
        <v>821.2</v>
      </c>
      <c r="J929" s="7">
        <f t="shared" si="550"/>
        <v>821.2</v>
      </c>
      <c r="K929" s="7">
        <f t="shared" si="550"/>
        <v>721.2</v>
      </c>
      <c r="L929" s="7">
        <f t="shared" si="550"/>
        <v>721.2</v>
      </c>
      <c r="M929" s="7">
        <f t="shared" si="539"/>
        <v>100</v>
      </c>
    </row>
    <row r="930" spans="1:13" ht="15.75" customHeight="1" x14ac:dyDescent="0.25">
      <c r="A930" s="33" t="s">
        <v>323</v>
      </c>
      <c r="B930" s="21" t="s">
        <v>543</v>
      </c>
      <c r="C930" s="21" t="s">
        <v>169</v>
      </c>
      <c r="D930" s="21" t="s">
        <v>869</v>
      </c>
      <c r="E930" s="21" t="s">
        <v>324</v>
      </c>
      <c r="F930" s="7">
        <f>F931</f>
        <v>0</v>
      </c>
      <c r="G930" s="7">
        <f t="shared" si="550"/>
        <v>0</v>
      </c>
      <c r="H930" s="7">
        <f t="shared" si="550"/>
        <v>821.2</v>
      </c>
      <c r="I930" s="7">
        <f t="shared" si="550"/>
        <v>821.2</v>
      </c>
      <c r="J930" s="7">
        <f t="shared" si="550"/>
        <v>821.2</v>
      </c>
      <c r="K930" s="7">
        <f t="shared" si="550"/>
        <v>721.2</v>
      </c>
      <c r="L930" s="7">
        <f t="shared" si="550"/>
        <v>721.2</v>
      </c>
      <c r="M930" s="7">
        <f t="shared" si="539"/>
        <v>100</v>
      </c>
    </row>
    <row r="931" spans="1:13" ht="15.75" customHeight="1" x14ac:dyDescent="0.25">
      <c r="A931" s="33" t="s">
        <v>325</v>
      </c>
      <c r="B931" s="21" t="s">
        <v>543</v>
      </c>
      <c r="C931" s="21" t="s">
        <v>169</v>
      </c>
      <c r="D931" s="21" t="s">
        <v>869</v>
      </c>
      <c r="E931" s="21" t="s">
        <v>326</v>
      </c>
      <c r="F931" s="7">
        <f>'Прил.№4 ведомств.'!G839</f>
        <v>0</v>
      </c>
      <c r="G931" s="7">
        <f>'Прил.№4 ведомств.'!I839</f>
        <v>0</v>
      </c>
      <c r="H931" s="7">
        <f>'Прил.№4 ведомств.'!J839</f>
        <v>821.2</v>
      </c>
      <c r="I931" s="7">
        <f>'Прил.№4 ведомств.'!K839</f>
        <v>821.2</v>
      </c>
      <c r="J931" s="7">
        <f>'Прил.№4 ведомств.'!L839</f>
        <v>821.2</v>
      </c>
      <c r="K931" s="7">
        <f>'Прил.№4 ведомств.'!M839</f>
        <v>721.2</v>
      </c>
      <c r="L931" s="7">
        <f>'Прил.№4 ведомств.'!N839</f>
        <v>721.2</v>
      </c>
      <c r="M931" s="7">
        <f t="shared" si="539"/>
        <v>100</v>
      </c>
    </row>
    <row r="932" spans="1:13" ht="47.25" customHeight="1" x14ac:dyDescent="0.25">
      <c r="A932" s="33" t="s">
        <v>952</v>
      </c>
      <c r="B932" s="21" t="s">
        <v>543</v>
      </c>
      <c r="C932" s="21" t="s">
        <v>169</v>
      </c>
      <c r="D932" s="21" t="s">
        <v>375</v>
      </c>
      <c r="E932" s="21"/>
      <c r="F932" s="7"/>
      <c r="G932" s="7"/>
      <c r="H932" s="7"/>
      <c r="I932" s="7"/>
      <c r="J932" s="7"/>
      <c r="K932" s="7">
        <f>K933</f>
        <v>545</v>
      </c>
      <c r="L932" s="7">
        <f t="shared" ref="L932:L934" si="551">L933</f>
        <v>545</v>
      </c>
      <c r="M932" s="7">
        <f t="shared" si="539"/>
        <v>100</v>
      </c>
    </row>
    <row r="933" spans="1:13" ht="47.25" x14ac:dyDescent="0.25">
      <c r="A933" s="33" t="s">
        <v>376</v>
      </c>
      <c r="B933" s="21" t="s">
        <v>543</v>
      </c>
      <c r="C933" s="21" t="s">
        <v>169</v>
      </c>
      <c r="D933" s="21" t="s">
        <v>377</v>
      </c>
      <c r="E933" s="21"/>
      <c r="F933" s="7"/>
      <c r="G933" s="7"/>
      <c r="H933" s="7"/>
      <c r="I933" s="7"/>
      <c r="J933" s="7"/>
      <c r="K933" s="7">
        <f>K934</f>
        <v>545</v>
      </c>
      <c r="L933" s="7">
        <f t="shared" si="551"/>
        <v>545</v>
      </c>
      <c r="M933" s="7">
        <f t="shared" si="539"/>
        <v>100</v>
      </c>
    </row>
    <row r="934" spans="1:13" ht="47.25" x14ac:dyDescent="0.25">
      <c r="A934" s="33" t="s">
        <v>323</v>
      </c>
      <c r="B934" s="21" t="s">
        <v>543</v>
      </c>
      <c r="C934" s="21" t="s">
        <v>169</v>
      </c>
      <c r="D934" s="21" t="s">
        <v>377</v>
      </c>
      <c r="E934" s="21" t="s">
        <v>324</v>
      </c>
      <c r="F934" s="7"/>
      <c r="G934" s="7"/>
      <c r="H934" s="7"/>
      <c r="I934" s="7"/>
      <c r="J934" s="7"/>
      <c r="K934" s="7">
        <f>K935</f>
        <v>545</v>
      </c>
      <c r="L934" s="7">
        <f t="shared" si="551"/>
        <v>545</v>
      </c>
      <c r="M934" s="7">
        <f t="shared" si="539"/>
        <v>100</v>
      </c>
    </row>
    <row r="935" spans="1:13" ht="15.75" customHeight="1" x14ac:dyDescent="0.25">
      <c r="A935" s="33" t="s">
        <v>325</v>
      </c>
      <c r="B935" s="21" t="s">
        <v>543</v>
      </c>
      <c r="C935" s="21" t="s">
        <v>169</v>
      </c>
      <c r="D935" s="21" t="s">
        <v>377</v>
      </c>
      <c r="E935" s="21" t="s">
        <v>326</v>
      </c>
      <c r="F935" s="7"/>
      <c r="G935" s="7"/>
      <c r="H935" s="7"/>
      <c r="I935" s="7"/>
      <c r="J935" s="7"/>
      <c r="K935" s="7">
        <f>'Прил.№4 ведомств.'!M843</f>
        <v>545</v>
      </c>
      <c r="L935" s="7">
        <f>'Прил.№4 ведомств.'!N843</f>
        <v>545</v>
      </c>
      <c r="M935" s="7">
        <f t="shared" si="539"/>
        <v>100</v>
      </c>
    </row>
    <row r="936" spans="1:13" ht="15.75" x14ac:dyDescent="0.25">
      <c r="A936" s="26" t="s">
        <v>172</v>
      </c>
      <c r="B936" s="21" t="s">
        <v>543</v>
      </c>
      <c r="C936" s="21" t="s">
        <v>169</v>
      </c>
      <c r="D936" s="21" t="s">
        <v>173</v>
      </c>
      <c r="E936" s="21"/>
      <c r="F936" s="7">
        <f>F937</f>
        <v>500</v>
      </c>
      <c r="G936" s="7">
        <f t="shared" ref="G936:L939" si="552">G937</f>
        <v>500</v>
      </c>
      <c r="H936" s="7">
        <f t="shared" si="552"/>
        <v>0</v>
      </c>
      <c r="I936" s="7">
        <f t="shared" si="552"/>
        <v>0</v>
      </c>
      <c r="J936" s="7">
        <f t="shared" si="552"/>
        <v>0</v>
      </c>
      <c r="K936" s="7">
        <f t="shared" si="552"/>
        <v>500</v>
      </c>
      <c r="L936" s="7">
        <f t="shared" si="552"/>
        <v>399.9</v>
      </c>
      <c r="M936" s="7">
        <f t="shared" si="539"/>
        <v>79.97999999999999</v>
      </c>
    </row>
    <row r="937" spans="1:13" ht="31.5" x14ac:dyDescent="0.25">
      <c r="A937" s="26" t="s">
        <v>236</v>
      </c>
      <c r="B937" s="21" t="s">
        <v>543</v>
      </c>
      <c r="C937" s="21" t="s">
        <v>169</v>
      </c>
      <c r="D937" s="21" t="s">
        <v>237</v>
      </c>
      <c r="E937" s="21"/>
      <c r="F937" s="7">
        <f>F938</f>
        <v>500</v>
      </c>
      <c r="G937" s="7">
        <f t="shared" si="552"/>
        <v>500</v>
      </c>
      <c r="H937" s="7">
        <f t="shared" si="552"/>
        <v>0</v>
      </c>
      <c r="I937" s="7">
        <f t="shared" si="552"/>
        <v>0</v>
      </c>
      <c r="J937" s="7">
        <f t="shared" si="552"/>
        <v>0</v>
      </c>
      <c r="K937" s="7">
        <f t="shared" si="552"/>
        <v>500</v>
      </c>
      <c r="L937" s="7">
        <f t="shared" si="552"/>
        <v>399.9</v>
      </c>
      <c r="M937" s="7">
        <f t="shared" si="539"/>
        <v>79.97999999999999</v>
      </c>
    </row>
    <row r="938" spans="1:13" ht="47.25" x14ac:dyDescent="0.25">
      <c r="A938" s="26" t="s">
        <v>1005</v>
      </c>
      <c r="B938" s="21" t="s">
        <v>543</v>
      </c>
      <c r="C938" s="21" t="s">
        <v>169</v>
      </c>
      <c r="D938" s="21" t="s">
        <v>1006</v>
      </c>
      <c r="E938" s="21"/>
      <c r="F938" s="7">
        <f>F939</f>
        <v>500</v>
      </c>
      <c r="G938" s="7">
        <f t="shared" si="552"/>
        <v>500</v>
      </c>
      <c r="H938" s="7">
        <f t="shared" si="552"/>
        <v>0</v>
      </c>
      <c r="I938" s="7">
        <f t="shared" si="552"/>
        <v>0</v>
      </c>
      <c r="J938" s="7">
        <f t="shared" si="552"/>
        <v>0</v>
      </c>
      <c r="K938" s="7">
        <f t="shared" si="552"/>
        <v>500</v>
      </c>
      <c r="L938" s="7">
        <f t="shared" si="552"/>
        <v>399.9</v>
      </c>
      <c r="M938" s="7">
        <f t="shared" si="539"/>
        <v>79.97999999999999</v>
      </c>
    </row>
    <row r="939" spans="1:13" ht="47.25" x14ac:dyDescent="0.25">
      <c r="A939" s="26" t="s">
        <v>323</v>
      </c>
      <c r="B939" s="21" t="s">
        <v>543</v>
      </c>
      <c r="C939" s="21" t="s">
        <v>169</v>
      </c>
      <c r="D939" s="21" t="s">
        <v>1006</v>
      </c>
      <c r="E939" s="21" t="s">
        <v>324</v>
      </c>
      <c r="F939" s="7">
        <f>F940</f>
        <v>500</v>
      </c>
      <c r="G939" s="7">
        <f t="shared" si="552"/>
        <v>500</v>
      </c>
      <c r="H939" s="7">
        <f t="shared" si="552"/>
        <v>0</v>
      </c>
      <c r="I939" s="7">
        <f t="shared" si="552"/>
        <v>0</v>
      </c>
      <c r="J939" s="7">
        <f t="shared" si="552"/>
        <v>0</v>
      </c>
      <c r="K939" s="7">
        <f t="shared" si="552"/>
        <v>500</v>
      </c>
      <c r="L939" s="7">
        <f t="shared" si="552"/>
        <v>399.9</v>
      </c>
      <c r="M939" s="7">
        <f t="shared" si="539"/>
        <v>79.97999999999999</v>
      </c>
    </row>
    <row r="940" spans="1:13" ht="15.75" x14ac:dyDescent="0.25">
      <c r="A940" s="26" t="s">
        <v>325</v>
      </c>
      <c r="B940" s="21" t="s">
        <v>543</v>
      </c>
      <c r="C940" s="21" t="s">
        <v>169</v>
      </c>
      <c r="D940" s="21" t="s">
        <v>1006</v>
      </c>
      <c r="E940" s="21" t="s">
        <v>326</v>
      </c>
      <c r="F940" s="7">
        <f>'Прил.№4 ведомств.'!G848</f>
        <v>500</v>
      </c>
      <c r="G940" s="7">
        <f>'Прил.№4 ведомств.'!I848</f>
        <v>500</v>
      </c>
      <c r="H940" s="7">
        <f>'Прил.№4 ведомств.'!J848</f>
        <v>0</v>
      </c>
      <c r="I940" s="7">
        <f>'Прил.№4 ведомств.'!K848</f>
        <v>0</v>
      </c>
      <c r="J940" s="7">
        <f>'Прил.№4 ведомств.'!L848</f>
        <v>0</v>
      </c>
      <c r="K940" s="7">
        <f>'Прил.№4 ведомств.'!M848</f>
        <v>500</v>
      </c>
      <c r="L940" s="7">
        <f>'Прил.№4 ведомств.'!N848</f>
        <v>399.9</v>
      </c>
      <c r="M940" s="7">
        <f t="shared" si="539"/>
        <v>79.97999999999999</v>
      </c>
    </row>
    <row r="941" spans="1:13" ht="31.5" x14ac:dyDescent="0.25">
      <c r="A941" s="43" t="s">
        <v>552</v>
      </c>
      <c r="B941" s="8" t="s">
        <v>543</v>
      </c>
      <c r="C941" s="8" t="s">
        <v>285</v>
      </c>
      <c r="D941" s="8"/>
      <c r="E941" s="8"/>
      <c r="F941" s="4">
        <f>F949+F942</f>
        <v>11528.8</v>
      </c>
      <c r="G941" s="4">
        <f t="shared" ref="G941:K941" si="553">G949+G942</f>
        <v>12419.8</v>
      </c>
      <c r="H941" s="4">
        <f t="shared" si="553"/>
        <v>11292.6</v>
      </c>
      <c r="I941" s="4">
        <f t="shared" si="553"/>
        <v>11459.6</v>
      </c>
      <c r="J941" s="4">
        <f t="shared" si="553"/>
        <v>11632.800000000001</v>
      </c>
      <c r="K941" s="4">
        <f t="shared" si="553"/>
        <v>10812.3</v>
      </c>
      <c r="L941" s="4">
        <f t="shared" ref="L941" si="554">L949+L942</f>
        <v>7721.9</v>
      </c>
      <c r="M941" s="4">
        <f t="shared" si="539"/>
        <v>71.417737206699783</v>
      </c>
    </row>
    <row r="942" spans="1:13" ht="47.25" x14ac:dyDescent="0.25">
      <c r="A942" s="31" t="s">
        <v>533</v>
      </c>
      <c r="B942" s="42" t="s">
        <v>543</v>
      </c>
      <c r="C942" s="42" t="s">
        <v>285</v>
      </c>
      <c r="D942" s="42" t="s">
        <v>534</v>
      </c>
      <c r="E942" s="42"/>
      <c r="F942" s="7">
        <f>F943</f>
        <v>3047</v>
      </c>
      <c r="G942" s="7">
        <f t="shared" ref="G942:L943" si="555">G943</f>
        <v>3047</v>
      </c>
      <c r="H942" s="7">
        <f t="shared" si="555"/>
        <v>3177.9</v>
      </c>
      <c r="I942" s="7">
        <f t="shared" si="555"/>
        <v>3314.6</v>
      </c>
      <c r="J942" s="7">
        <f t="shared" si="555"/>
        <v>3457.1</v>
      </c>
      <c r="K942" s="7">
        <f t="shared" si="555"/>
        <v>2400</v>
      </c>
      <c r="L942" s="7">
        <f t="shared" si="555"/>
        <v>1654.4</v>
      </c>
      <c r="M942" s="7">
        <f t="shared" si="539"/>
        <v>68.933333333333337</v>
      </c>
    </row>
    <row r="943" spans="1:13" ht="47.25" x14ac:dyDescent="0.25">
      <c r="A943" s="47" t="s">
        <v>553</v>
      </c>
      <c r="B943" s="42" t="s">
        <v>543</v>
      </c>
      <c r="C943" s="42" t="s">
        <v>285</v>
      </c>
      <c r="D943" s="42" t="s">
        <v>554</v>
      </c>
      <c r="E943" s="8"/>
      <c r="F943" s="7">
        <f>F944</f>
        <v>3047</v>
      </c>
      <c r="G943" s="7">
        <f t="shared" si="555"/>
        <v>3047</v>
      </c>
      <c r="H943" s="7">
        <f t="shared" si="555"/>
        <v>3177.9</v>
      </c>
      <c r="I943" s="7">
        <f t="shared" si="555"/>
        <v>3314.6</v>
      </c>
      <c r="J943" s="7">
        <f t="shared" si="555"/>
        <v>3457.1</v>
      </c>
      <c r="K943" s="7">
        <f t="shared" si="555"/>
        <v>2400</v>
      </c>
      <c r="L943" s="7">
        <f t="shared" si="555"/>
        <v>1654.4</v>
      </c>
      <c r="M943" s="7">
        <f t="shared" si="539"/>
        <v>68.933333333333337</v>
      </c>
    </row>
    <row r="944" spans="1:13" ht="31.5" x14ac:dyDescent="0.25">
      <c r="A944" s="31" t="s">
        <v>208</v>
      </c>
      <c r="B944" s="42" t="s">
        <v>543</v>
      </c>
      <c r="C944" s="42" t="s">
        <v>285</v>
      </c>
      <c r="D944" s="42" t="s">
        <v>555</v>
      </c>
      <c r="E944" s="8"/>
      <c r="F944" s="7">
        <f>F947+F945</f>
        <v>3047</v>
      </c>
      <c r="G944" s="7">
        <f t="shared" ref="G944:K944" si="556">G947+G945</f>
        <v>3047</v>
      </c>
      <c r="H944" s="7">
        <f t="shared" si="556"/>
        <v>3177.9</v>
      </c>
      <c r="I944" s="7">
        <f t="shared" si="556"/>
        <v>3314.6</v>
      </c>
      <c r="J944" s="7">
        <f t="shared" si="556"/>
        <v>3457.1</v>
      </c>
      <c r="K944" s="7">
        <f t="shared" si="556"/>
        <v>2400</v>
      </c>
      <c r="L944" s="7">
        <f t="shared" ref="L944" si="557">L947+L945</f>
        <v>1654.4</v>
      </c>
      <c r="M944" s="7">
        <f t="shared" si="539"/>
        <v>68.933333333333337</v>
      </c>
    </row>
    <row r="945" spans="1:13" ht="78.75" x14ac:dyDescent="0.25">
      <c r="A945" s="26" t="s">
        <v>178</v>
      </c>
      <c r="B945" s="42" t="s">
        <v>543</v>
      </c>
      <c r="C945" s="42" t="s">
        <v>285</v>
      </c>
      <c r="D945" s="42" t="s">
        <v>555</v>
      </c>
      <c r="E945" s="42" t="s">
        <v>179</v>
      </c>
      <c r="F945" s="7">
        <f>F946</f>
        <v>2111</v>
      </c>
      <c r="G945" s="7">
        <f t="shared" ref="G945:L945" si="558">G946</f>
        <v>2111</v>
      </c>
      <c r="H945" s="7">
        <f t="shared" si="558"/>
        <v>2111</v>
      </c>
      <c r="I945" s="7">
        <f t="shared" si="558"/>
        <v>2111</v>
      </c>
      <c r="J945" s="7">
        <f t="shared" si="558"/>
        <v>2111</v>
      </c>
      <c r="K945" s="7">
        <f t="shared" si="558"/>
        <v>1611</v>
      </c>
      <c r="L945" s="7">
        <f t="shared" si="558"/>
        <v>1212.5</v>
      </c>
      <c r="M945" s="7">
        <f t="shared" si="539"/>
        <v>75.263811297330847</v>
      </c>
    </row>
    <row r="946" spans="1:13" ht="31.5" x14ac:dyDescent="0.25">
      <c r="A946" s="26" t="s">
        <v>180</v>
      </c>
      <c r="B946" s="42" t="s">
        <v>543</v>
      </c>
      <c r="C946" s="42" t="s">
        <v>285</v>
      </c>
      <c r="D946" s="42" t="s">
        <v>555</v>
      </c>
      <c r="E946" s="42" t="s">
        <v>181</v>
      </c>
      <c r="F946" s="7">
        <f>'Прил.№4 ведомств.'!G854</f>
        <v>2111</v>
      </c>
      <c r="G946" s="7">
        <f>'Прил.№4 ведомств.'!I854</f>
        <v>2111</v>
      </c>
      <c r="H946" s="7">
        <f>'Прил.№4 ведомств.'!J854</f>
        <v>2111</v>
      </c>
      <c r="I946" s="7">
        <f>'Прил.№4 ведомств.'!K854</f>
        <v>2111</v>
      </c>
      <c r="J946" s="7">
        <f>'Прил.№4 ведомств.'!L854</f>
        <v>2111</v>
      </c>
      <c r="K946" s="7">
        <f>'Прил.№4 ведомств.'!M854</f>
        <v>1611</v>
      </c>
      <c r="L946" s="7">
        <f>'Прил.№4 ведомств.'!N854</f>
        <v>1212.5</v>
      </c>
      <c r="M946" s="7">
        <f t="shared" si="539"/>
        <v>75.263811297330847</v>
      </c>
    </row>
    <row r="947" spans="1:13" ht="31.5" x14ac:dyDescent="0.25">
      <c r="A947" s="31" t="s">
        <v>182</v>
      </c>
      <c r="B947" s="42" t="s">
        <v>543</v>
      </c>
      <c r="C947" s="42" t="s">
        <v>285</v>
      </c>
      <c r="D947" s="42" t="s">
        <v>555</v>
      </c>
      <c r="E947" s="42" t="s">
        <v>183</v>
      </c>
      <c r="F947" s="7">
        <f>F948</f>
        <v>936</v>
      </c>
      <c r="G947" s="7">
        <f t="shared" ref="G947:L947" si="559">G948</f>
        <v>936</v>
      </c>
      <c r="H947" s="7">
        <f t="shared" si="559"/>
        <v>1066.9000000000001</v>
      </c>
      <c r="I947" s="7">
        <f t="shared" si="559"/>
        <v>1203.5999999999999</v>
      </c>
      <c r="J947" s="7">
        <f t="shared" si="559"/>
        <v>1346.1</v>
      </c>
      <c r="K947" s="7">
        <f t="shared" si="559"/>
        <v>789</v>
      </c>
      <c r="L947" s="7">
        <f t="shared" si="559"/>
        <v>441.9</v>
      </c>
      <c r="M947" s="7">
        <f t="shared" si="539"/>
        <v>56.007604562737647</v>
      </c>
    </row>
    <row r="948" spans="1:13" ht="47.25" x14ac:dyDescent="0.25">
      <c r="A948" s="31" t="s">
        <v>184</v>
      </c>
      <c r="B948" s="42" t="s">
        <v>543</v>
      </c>
      <c r="C948" s="42" t="s">
        <v>285</v>
      </c>
      <c r="D948" s="42" t="s">
        <v>555</v>
      </c>
      <c r="E948" s="42" t="s">
        <v>185</v>
      </c>
      <c r="F948" s="7">
        <f>'Прил.№4 ведомств.'!G856</f>
        <v>936</v>
      </c>
      <c r="G948" s="7">
        <f>'Прил.№4 ведомств.'!I856</f>
        <v>936</v>
      </c>
      <c r="H948" s="7">
        <f>'Прил.№4 ведомств.'!J856</f>
        <v>1066.9000000000001</v>
      </c>
      <c r="I948" s="7">
        <f>'Прил.№4 ведомств.'!K856</f>
        <v>1203.5999999999999</v>
      </c>
      <c r="J948" s="7">
        <f>'Прил.№4 ведомств.'!L856</f>
        <v>1346.1</v>
      </c>
      <c r="K948" s="7">
        <f>'Прил.№4 ведомств.'!M856</f>
        <v>789</v>
      </c>
      <c r="L948" s="7">
        <f>'Прил.№4 ведомств.'!N856</f>
        <v>441.9</v>
      </c>
      <c r="M948" s="7">
        <f t="shared" si="539"/>
        <v>56.007604562737647</v>
      </c>
    </row>
    <row r="949" spans="1:13" ht="15.75" x14ac:dyDescent="0.25">
      <c r="A949" s="31" t="s">
        <v>172</v>
      </c>
      <c r="B949" s="42" t="s">
        <v>543</v>
      </c>
      <c r="C949" s="42" t="s">
        <v>285</v>
      </c>
      <c r="D949" s="42" t="s">
        <v>173</v>
      </c>
      <c r="E949" s="42"/>
      <c r="F949" s="7">
        <f>F956+F950</f>
        <v>8481.7999999999993</v>
      </c>
      <c r="G949" s="7">
        <f t="shared" ref="G949:K949" si="560">G956+G950</f>
        <v>9372.7999999999993</v>
      </c>
      <c r="H949" s="7">
        <f t="shared" si="560"/>
        <v>8114.7000000000007</v>
      </c>
      <c r="I949" s="7">
        <f t="shared" si="560"/>
        <v>8145</v>
      </c>
      <c r="J949" s="7">
        <f t="shared" si="560"/>
        <v>8175.7000000000007</v>
      </c>
      <c r="K949" s="7">
        <f t="shared" si="560"/>
        <v>8412.2999999999993</v>
      </c>
      <c r="L949" s="7">
        <f t="shared" ref="L949" si="561">L956+L950</f>
        <v>6067.5</v>
      </c>
      <c r="M949" s="7">
        <f t="shared" si="539"/>
        <v>72.126529011090909</v>
      </c>
    </row>
    <row r="950" spans="1:13" ht="31.5" x14ac:dyDescent="0.25">
      <c r="A950" s="31" t="s">
        <v>174</v>
      </c>
      <c r="B950" s="42" t="s">
        <v>543</v>
      </c>
      <c r="C950" s="42" t="s">
        <v>285</v>
      </c>
      <c r="D950" s="42" t="s">
        <v>175</v>
      </c>
      <c r="E950" s="42"/>
      <c r="F950" s="7">
        <f>F951</f>
        <v>3599.8</v>
      </c>
      <c r="G950" s="7">
        <f t="shared" ref="G950:L950" si="562">G951</f>
        <v>4307.8999999999996</v>
      </c>
      <c r="H950" s="7">
        <f t="shared" si="562"/>
        <v>3788.6</v>
      </c>
      <c r="I950" s="7">
        <f t="shared" si="562"/>
        <v>3788.6</v>
      </c>
      <c r="J950" s="7">
        <f t="shared" si="562"/>
        <v>3788.6</v>
      </c>
      <c r="K950" s="7">
        <f t="shared" si="562"/>
        <v>3829.8</v>
      </c>
      <c r="L950" s="7">
        <f t="shared" si="562"/>
        <v>3045.9</v>
      </c>
      <c r="M950" s="7">
        <f t="shared" si="539"/>
        <v>79.531568228105911</v>
      </c>
    </row>
    <row r="951" spans="1:13" ht="33.75" customHeight="1" x14ac:dyDescent="0.25">
      <c r="A951" s="31" t="s">
        <v>176</v>
      </c>
      <c r="B951" s="42" t="s">
        <v>543</v>
      </c>
      <c r="C951" s="42" t="s">
        <v>285</v>
      </c>
      <c r="D951" s="42" t="s">
        <v>177</v>
      </c>
      <c r="E951" s="42"/>
      <c r="F951" s="7">
        <f>F952+F954</f>
        <v>3599.8</v>
      </c>
      <c r="G951" s="7">
        <f t="shared" ref="G951:K951" si="563">G952+G954</f>
        <v>4307.8999999999996</v>
      </c>
      <c r="H951" s="7">
        <f t="shared" si="563"/>
        <v>3788.6</v>
      </c>
      <c r="I951" s="7">
        <f t="shared" si="563"/>
        <v>3788.6</v>
      </c>
      <c r="J951" s="7">
        <f t="shared" si="563"/>
        <v>3788.6</v>
      </c>
      <c r="K951" s="7">
        <f t="shared" si="563"/>
        <v>3829.8</v>
      </c>
      <c r="L951" s="7">
        <f t="shared" ref="L951" si="564">L952+L954</f>
        <v>3045.9</v>
      </c>
      <c r="M951" s="7">
        <f t="shared" si="539"/>
        <v>79.531568228105911</v>
      </c>
    </row>
    <row r="952" spans="1:13" ht="78.75" x14ac:dyDescent="0.25">
      <c r="A952" s="31" t="s">
        <v>178</v>
      </c>
      <c r="B952" s="42" t="s">
        <v>543</v>
      </c>
      <c r="C952" s="42" t="s">
        <v>285</v>
      </c>
      <c r="D952" s="42" t="s">
        <v>177</v>
      </c>
      <c r="E952" s="42" t="s">
        <v>179</v>
      </c>
      <c r="F952" s="63">
        <f>F953</f>
        <v>3599.8</v>
      </c>
      <c r="G952" s="63">
        <f t="shared" ref="G952:L952" si="565">G953</f>
        <v>4307.8999999999996</v>
      </c>
      <c r="H952" s="63">
        <f t="shared" si="565"/>
        <v>3135.5</v>
      </c>
      <c r="I952" s="63">
        <f t="shared" si="565"/>
        <v>3135.5</v>
      </c>
      <c r="J952" s="63">
        <f t="shared" si="565"/>
        <v>3135.5</v>
      </c>
      <c r="K952" s="63">
        <f t="shared" si="565"/>
        <v>3829.8</v>
      </c>
      <c r="L952" s="63">
        <f t="shared" si="565"/>
        <v>3045.9</v>
      </c>
      <c r="M952" s="7">
        <f t="shared" si="539"/>
        <v>79.531568228105911</v>
      </c>
    </row>
    <row r="953" spans="1:13" ht="31.5" x14ac:dyDescent="0.25">
      <c r="A953" s="31" t="s">
        <v>180</v>
      </c>
      <c r="B953" s="42" t="s">
        <v>543</v>
      </c>
      <c r="C953" s="42" t="s">
        <v>285</v>
      </c>
      <c r="D953" s="42" t="s">
        <v>177</v>
      </c>
      <c r="E953" s="42" t="s">
        <v>181</v>
      </c>
      <c r="F953" s="63">
        <f>'Прил.№4 ведомств.'!G861</f>
        <v>3599.8</v>
      </c>
      <c r="G953" s="63">
        <f>'Прил.№4 ведомств.'!I861</f>
        <v>4307.8999999999996</v>
      </c>
      <c r="H953" s="63">
        <f>'Прил.№4 ведомств.'!J861</f>
        <v>3135.5</v>
      </c>
      <c r="I953" s="63">
        <f>'Прил.№4 ведомств.'!K861</f>
        <v>3135.5</v>
      </c>
      <c r="J953" s="63">
        <f>'Прил.№4 ведомств.'!L861</f>
        <v>3135.5</v>
      </c>
      <c r="K953" s="63">
        <f>'Прил.№4 ведомств.'!M861</f>
        <v>3829.8</v>
      </c>
      <c r="L953" s="63">
        <f>'Прил.№4 ведомств.'!N861</f>
        <v>3045.9</v>
      </c>
      <c r="M953" s="7">
        <f t="shared" si="539"/>
        <v>79.531568228105911</v>
      </c>
    </row>
    <row r="954" spans="1:13" ht="31.5" hidden="1" customHeight="1" x14ac:dyDescent="0.25">
      <c r="A954" s="31" t="s">
        <v>182</v>
      </c>
      <c r="B954" s="42" t="s">
        <v>543</v>
      </c>
      <c r="C954" s="42" t="s">
        <v>285</v>
      </c>
      <c r="D954" s="42" t="s">
        <v>177</v>
      </c>
      <c r="E954" s="42" t="s">
        <v>183</v>
      </c>
      <c r="F954" s="63">
        <f>F955</f>
        <v>0</v>
      </c>
      <c r="G954" s="63">
        <f t="shared" ref="G954:L954" si="566">G955</f>
        <v>0</v>
      </c>
      <c r="H954" s="63">
        <f t="shared" si="566"/>
        <v>653.1</v>
      </c>
      <c r="I954" s="63">
        <f t="shared" si="566"/>
        <v>653.1</v>
      </c>
      <c r="J954" s="63">
        <f t="shared" si="566"/>
        <v>653.1</v>
      </c>
      <c r="K954" s="63">
        <f t="shared" si="566"/>
        <v>0</v>
      </c>
      <c r="L954" s="63">
        <f t="shared" si="566"/>
        <v>0</v>
      </c>
      <c r="M954" s="7" t="e">
        <f t="shared" si="539"/>
        <v>#DIV/0!</v>
      </c>
    </row>
    <row r="955" spans="1:13" ht="47.25" hidden="1" customHeight="1" x14ac:dyDescent="0.25">
      <c r="A955" s="31" t="s">
        <v>184</v>
      </c>
      <c r="B955" s="42" t="s">
        <v>543</v>
      </c>
      <c r="C955" s="42" t="s">
        <v>285</v>
      </c>
      <c r="D955" s="42" t="s">
        <v>177</v>
      </c>
      <c r="E955" s="42" t="s">
        <v>185</v>
      </c>
      <c r="F955" s="63">
        <v>0</v>
      </c>
      <c r="G955" s="63">
        <v>0</v>
      </c>
      <c r="H955" s="63">
        <f>'Прил.№4 ведомств.'!J863</f>
        <v>653.1</v>
      </c>
      <c r="I955" s="63">
        <f>'Прил.№4 ведомств.'!K863</f>
        <v>653.1</v>
      </c>
      <c r="J955" s="63">
        <f>'Прил.№4 ведомств.'!L863</f>
        <v>653.1</v>
      </c>
      <c r="K955" s="63">
        <f>'Прил.№4 ведомств.'!M863</f>
        <v>0</v>
      </c>
      <c r="L955" s="63">
        <f>'Прил.№4 ведомств.'!N863</f>
        <v>0</v>
      </c>
      <c r="M955" s="7" t="e">
        <f t="shared" si="539"/>
        <v>#DIV/0!</v>
      </c>
    </row>
    <row r="956" spans="1:13" ht="15.75" x14ac:dyDescent="0.25">
      <c r="A956" s="31" t="s">
        <v>192</v>
      </c>
      <c r="B956" s="42" t="s">
        <v>543</v>
      </c>
      <c r="C956" s="42" t="s">
        <v>285</v>
      </c>
      <c r="D956" s="42" t="s">
        <v>193</v>
      </c>
      <c r="E956" s="42"/>
      <c r="F956" s="7">
        <f>F957</f>
        <v>4882</v>
      </c>
      <c r="G956" s="7">
        <f t="shared" ref="G956:L956" si="567">G957</f>
        <v>5064.9000000000005</v>
      </c>
      <c r="H956" s="7">
        <f t="shared" si="567"/>
        <v>4326.1000000000004</v>
      </c>
      <c r="I956" s="7">
        <f t="shared" si="567"/>
        <v>4356.4000000000005</v>
      </c>
      <c r="J956" s="7">
        <f t="shared" si="567"/>
        <v>4387.1000000000004</v>
      </c>
      <c r="K956" s="7">
        <f t="shared" si="567"/>
        <v>4582.4999999999991</v>
      </c>
      <c r="L956" s="7">
        <f t="shared" si="567"/>
        <v>3021.6</v>
      </c>
      <c r="M956" s="7">
        <f t="shared" si="539"/>
        <v>65.937806873977095</v>
      </c>
    </row>
    <row r="957" spans="1:13" ht="31.5" x14ac:dyDescent="0.25">
      <c r="A957" s="26" t="s">
        <v>391</v>
      </c>
      <c r="B957" s="42" t="s">
        <v>543</v>
      </c>
      <c r="C957" s="42" t="s">
        <v>285</v>
      </c>
      <c r="D957" s="42" t="s">
        <v>392</v>
      </c>
      <c r="E957" s="42"/>
      <c r="F957" s="7">
        <f>F958+F960+F962</f>
        <v>4882</v>
      </c>
      <c r="G957" s="7">
        <f t="shared" ref="G957:K957" si="568">G958+G960+G962</f>
        <v>5064.9000000000005</v>
      </c>
      <c r="H957" s="7">
        <f t="shared" si="568"/>
        <v>4326.1000000000004</v>
      </c>
      <c r="I957" s="7">
        <f t="shared" si="568"/>
        <v>4356.4000000000005</v>
      </c>
      <c r="J957" s="7">
        <f t="shared" si="568"/>
        <v>4387.1000000000004</v>
      </c>
      <c r="K957" s="7">
        <f t="shared" si="568"/>
        <v>4582.4999999999991</v>
      </c>
      <c r="L957" s="7">
        <f t="shared" ref="L957" si="569">L958+L960+L962</f>
        <v>3021.6</v>
      </c>
      <c r="M957" s="7">
        <f t="shared" si="539"/>
        <v>65.937806873977095</v>
      </c>
    </row>
    <row r="958" spans="1:13" ht="78.75" x14ac:dyDescent="0.25">
      <c r="A958" s="31" t="s">
        <v>178</v>
      </c>
      <c r="B958" s="42" t="s">
        <v>543</v>
      </c>
      <c r="C958" s="42" t="s">
        <v>285</v>
      </c>
      <c r="D958" s="42" t="s">
        <v>392</v>
      </c>
      <c r="E958" s="42" t="s">
        <v>179</v>
      </c>
      <c r="F958" s="63">
        <f>F959</f>
        <v>3660.7</v>
      </c>
      <c r="G958" s="63">
        <f t="shared" ref="G958:L958" si="570">G959</f>
        <v>3779.8</v>
      </c>
      <c r="H958" s="63">
        <f t="shared" si="570"/>
        <v>3033</v>
      </c>
      <c r="I958" s="63">
        <f t="shared" si="570"/>
        <v>3063.3</v>
      </c>
      <c r="J958" s="63">
        <f t="shared" si="570"/>
        <v>3094</v>
      </c>
      <c r="K958" s="63">
        <f t="shared" si="570"/>
        <v>3767.1</v>
      </c>
      <c r="L958" s="63">
        <f t="shared" si="570"/>
        <v>2616.1999999999998</v>
      </c>
      <c r="M958" s="7">
        <f t="shared" si="539"/>
        <v>69.448647500730004</v>
      </c>
    </row>
    <row r="959" spans="1:13" ht="31.5" x14ac:dyDescent="0.25">
      <c r="A959" s="31" t="s">
        <v>393</v>
      </c>
      <c r="B959" s="42" t="s">
        <v>543</v>
      </c>
      <c r="C959" s="42" t="s">
        <v>285</v>
      </c>
      <c r="D959" s="42" t="s">
        <v>392</v>
      </c>
      <c r="E959" s="42" t="s">
        <v>260</v>
      </c>
      <c r="F959" s="63">
        <f>'Прил.№4 ведомств.'!G867</f>
        <v>3660.7</v>
      </c>
      <c r="G959" s="63">
        <f>'Прил.№4 ведомств.'!I867</f>
        <v>3779.8</v>
      </c>
      <c r="H959" s="63">
        <f>'Прил.№4 ведомств.'!J867</f>
        <v>3033</v>
      </c>
      <c r="I959" s="63">
        <f>'Прил.№4 ведомств.'!K867</f>
        <v>3063.3</v>
      </c>
      <c r="J959" s="63">
        <f>'Прил.№4 ведомств.'!L867</f>
        <v>3094</v>
      </c>
      <c r="K959" s="63">
        <f>'Прил.№4 ведомств.'!M867</f>
        <v>3767.1</v>
      </c>
      <c r="L959" s="63">
        <f>'Прил.№4 ведомств.'!N867</f>
        <v>2616.1999999999998</v>
      </c>
      <c r="M959" s="7">
        <f t="shared" si="539"/>
        <v>69.448647500730004</v>
      </c>
    </row>
    <row r="960" spans="1:13" ht="31.5" x14ac:dyDescent="0.25">
      <c r="A960" s="31" t="s">
        <v>182</v>
      </c>
      <c r="B960" s="42" t="s">
        <v>543</v>
      </c>
      <c r="C960" s="42" t="s">
        <v>285</v>
      </c>
      <c r="D960" s="42" t="s">
        <v>392</v>
      </c>
      <c r="E960" s="42" t="s">
        <v>183</v>
      </c>
      <c r="F960" s="63">
        <f>F961</f>
        <v>1194.1999999999998</v>
      </c>
      <c r="G960" s="63">
        <f t="shared" ref="G960:L960" si="571">G961</f>
        <v>1258</v>
      </c>
      <c r="H960" s="63">
        <f t="shared" si="571"/>
        <v>1266</v>
      </c>
      <c r="I960" s="63">
        <f t="shared" si="571"/>
        <v>1266</v>
      </c>
      <c r="J960" s="63">
        <f t="shared" si="571"/>
        <v>1266</v>
      </c>
      <c r="K960" s="63">
        <f t="shared" si="571"/>
        <v>764.19999999999982</v>
      </c>
      <c r="L960" s="63">
        <f t="shared" si="571"/>
        <v>400.3</v>
      </c>
      <c r="M960" s="7">
        <f t="shared" si="539"/>
        <v>52.381575503794828</v>
      </c>
    </row>
    <row r="961" spans="1:13" ht="47.25" x14ac:dyDescent="0.25">
      <c r="A961" s="31" t="s">
        <v>184</v>
      </c>
      <c r="B961" s="42" t="s">
        <v>543</v>
      </c>
      <c r="C961" s="42" t="s">
        <v>285</v>
      </c>
      <c r="D961" s="42" t="s">
        <v>392</v>
      </c>
      <c r="E961" s="42" t="s">
        <v>185</v>
      </c>
      <c r="F961" s="63">
        <f>'Прил.№4 ведомств.'!G869</f>
        <v>1194.1999999999998</v>
      </c>
      <c r="G961" s="63">
        <f>'Прил.№4 ведомств.'!I869</f>
        <v>1258</v>
      </c>
      <c r="H961" s="63">
        <f>'Прил.№4 ведомств.'!J869</f>
        <v>1266</v>
      </c>
      <c r="I961" s="63">
        <f>'Прил.№4 ведомств.'!K869</f>
        <v>1266</v>
      </c>
      <c r="J961" s="63">
        <f>'Прил.№4 ведомств.'!L869</f>
        <v>1266</v>
      </c>
      <c r="K961" s="63">
        <f>'Прил.№4 ведомств.'!M869</f>
        <v>764.19999999999982</v>
      </c>
      <c r="L961" s="63">
        <f>'Прил.№4 ведомств.'!N869</f>
        <v>400.3</v>
      </c>
      <c r="M961" s="7">
        <f t="shared" si="539"/>
        <v>52.381575503794828</v>
      </c>
    </row>
    <row r="962" spans="1:13" ht="15.75" x14ac:dyDescent="0.25">
      <c r="A962" s="31" t="s">
        <v>186</v>
      </c>
      <c r="B962" s="42" t="s">
        <v>543</v>
      </c>
      <c r="C962" s="42" t="s">
        <v>285</v>
      </c>
      <c r="D962" s="42" t="s">
        <v>392</v>
      </c>
      <c r="E962" s="42" t="s">
        <v>196</v>
      </c>
      <c r="F962" s="7">
        <f>F963</f>
        <v>27.1</v>
      </c>
      <c r="G962" s="7">
        <f t="shared" ref="G962:L962" si="572">G963</f>
        <v>27.1</v>
      </c>
      <c r="H962" s="7">
        <f t="shared" si="572"/>
        <v>27.1</v>
      </c>
      <c r="I962" s="7">
        <f t="shared" si="572"/>
        <v>27.1</v>
      </c>
      <c r="J962" s="7">
        <f t="shared" si="572"/>
        <v>27.1</v>
      </c>
      <c r="K962" s="7">
        <f t="shared" si="572"/>
        <v>51.2</v>
      </c>
      <c r="L962" s="7">
        <f t="shared" si="572"/>
        <v>5.0999999999999996</v>
      </c>
      <c r="M962" s="7">
        <f t="shared" si="539"/>
        <v>9.9609374999999982</v>
      </c>
    </row>
    <row r="963" spans="1:13" ht="15.75" x14ac:dyDescent="0.25">
      <c r="A963" s="31" t="s">
        <v>188</v>
      </c>
      <c r="B963" s="42" t="s">
        <v>543</v>
      </c>
      <c r="C963" s="42" t="s">
        <v>285</v>
      </c>
      <c r="D963" s="42" t="s">
        <v>392</v>
      </c>
      <c r="E963" s="42" t="s">
        <v>189</v>
      </c>
      <c r="F963" s="7">
        <f>'Прил.№4 ведомств.'!G871</f>
        <v>27.1</v>
      </c>
      <c r="G963" s="7">
        <f>'Прил.№4 ведомств.'!I871</f>
        <v>27.1</v>
      </c>
      <c r="H963" s="7">
        <f>'Прил.№4 ведомств.'!J871</f>
        <v>27.1</v>
      </c>
      <c r="I963" s="7">
        <f>'Прил.№4 ведомств.'!K871</f>
        <v>27.1</v>
      </c>
      <c r="J963" s="7">
        <f>'Прил.№4 ведомств.'!L871</f>
        <v>27.1</v>
      </c>
      <c r="K963" s="7">
        <f>'Прил.№4 ведомств.'!M871</f>
        <v>51.2</v>
      </c>
      <c r="L963" s="7">
        <f>'Прил.№4 ведомств.'!N871</f>
        <v>5.0999999999999996</v>
      </c>
      <c r="M963" s="7">
        <f t="shared" si="539"/>
        <v>9.9609374999999982</v>
      </c>
    </row>
    <row r="964" spans="1:13" ht="15.75" x14ac:dyDescent="0.25">
      <c r="A964" s="43" t="s">
        <v>634</v>
      </c>
      <c r="B964" s="8" t="s">
        <v>289</v>
      </c>
      <c r="C964" s="42"/>
      <c r="D964" s="42"/>
      <c r="E964" s="42"/>
      <c r="F964" s="4">
        <f>F965</f>
        <v>6309.8</v>
      </c>
      <c r="G964" s="4">
        <f t="shared" ref="G964:L967" si="573">G965</f>
        <v>6309.8</v>
      </c>
      <c r="H964" s="4">
        <f t="shared" si="573"/>
        <v>8181.7000000000007</v>
      </c>
      <c r="I964" s="4">
        <f t="shared" si="573"/>
        <v>8258.7000000000007</v>
      </c>
      <c r="J964" s="4">
        <f t="shared" si="573"/>
        <v>8332.7000000000007</v>
      </c>
      <c r="K964" s="4">
        <f t="shared" si="573"/>
        <v>6283.5</v>
      </c>
      <c r="L964" s="4">
        <f t="shared" si="573"/>
        <v>4413.2000000000007</v>
      </c>
      <c r="M964" s="4">
        <f t="shared" si="539"/>
        <v>70.234741784037567</v>
      </c>
    </row>
    <row r="965" spans="1:13" ht="15.75" x14ac:dyDescent="0.25">
      <c r="A965" s="43" t="s">
        <v>635</v>
      </c>
      <c r="B965" s="8" t="s">
        <v>289</v>
      </c>
      <c r="C965" s="8" t="s">
        <v>264</v>
      </c>
      <c r="D965" s="8"/>
      <c r="E965" s="8"/>
      <c r="F965" s="4">
        <f>F966</f>
        <v>6309.8</v>
      </c>
      <c r="G965" s="4">
        <f t="shared" si="573"/>
        <v>6309.8</v>
      </c>
      <c r="H965" s="4">
        <f t="shared" si="573"/>
        <v>8181.7000000000007</v>
      </c>
      <c r="I965" s="4">
        <f t="shared" si="573"/>
        <v>8258.7000000000007</v>
      </c>
      <c r="J965" s="4">
        <f t="shared" si="573"/>
        <v>8332.7000000000007</v>
      </c>
      <c r="K965" s="4">
        <f t="shared" si="573"/>
        <v>6283.5</v>
      </c>
      <c r="L965" s="4">
        <f t="shared" si="573"/>
        <v>4413.2000000000007</v>
      </c>
      <c r="M965" s="4">
        <f t="shared" si="539"/>
        <v>70.234741784037567</v>
      </c>
    </row>
    <row r="966" spans="1:13" ht="15.75" x14ac:dyDescent="0.25">
      <c r="A966" s="31" t="s">
        <v>172</v>
      </c>
      <c r="B966" s="42" t="s">
        <v>289</v>
      </c>
      <c r="C966" s="42" t="s">
        <v>264</v>
      </c>
      <c r="D966" s="42" t="s">
        <v>173</v>
      </c>
      <c r="E966" s="42"/>
      <c r="F966" s="7">
        <f>F967</f>
        <v>6309.8</v>
      </c>
      <c r="G966" s="7">
        <f t="shared" si="573"/>
        <v>6309.8</v>
      </c>
      <c r="H966" s="7">
        <f t="shared" si="573"/>
        <v>8181.7000000000007</v>
      </c>
      <c r="I966" s="7">
        <f t="shared" si="573"/>
        <v>8258.7000000000007</v>
      </c>
      <c r="J966" s="7">
        <f t="shared" si="573"/>
        <v>8332.7000000000007</v>
      </c>
      <c r="K966" s="7">
        <f t="shared" si="573"/>
        <v>6283.5</v>
      </c>
      <c r="L966" s="7">
        <f t="shared" si="573"/>
        <v>4413.2000000000007</v>
      </c>
      <c r="M966" s="7">
        <f t="shared" si="539"/>
        <v>70.234741784037567</v>
      </c>
    </row>
    <row r="967" spans="1:13" ht="31.5" x14ac:dyDescent="0.25">
      <c r="A967" s="31" t="s">
        <v>636</v>
      </c>
      <c r="B967" s="42" t="s">
        <v>289</v>
      </c>
      <c r="C967" s="42" t="s">
        <v>264</v>
      </c>
      <c r="D967" s="42" t="s">
        <v>637</v>
      </c>
      <c r="E967" s="42"/>
      <c r="F967" s="7">
        <f>F968</f>
        <v>6309.8</v>
      </c>
      <c r="G967" s="7">
        <f t="shared" si="573"/>
        <v>6309.8</v>
      </c>
      <c r="H967" s="7">
        <f t="shared" si="573"/>
        <v>8181.7000000000007</v>
      </c>
      <c r="I967" s="7">
        <f t="shared" si="573"/>
        <v>8258.7000000000007</v>
      </c>
      <c r="J967" s="7">
        <f t="shared" si="573"/>
        <v>8332.7000000000007</v>
      </c>
      <c r="K967" s="7">
        <f t="shared" si="573"/>
        <v>6283.5</v>
      </c>
      <c r="L967" s="7">
        <f t="shared" si="573"/>
        <v>4413.2000000000007</v>
      </c>
      <c r="M967" s="7">
        <f t="shared" si="539"/>
        <v>70.234741784037567</v>
      </c>
    </row>
    <row r="968" spans="1:13" ht="31.5" x14ac:dyDescent="0.25">
      <c r="A968" s="31" t="s">
        <v>692</v>
      </c>
      <c r="B968" s="42" t="s">
        <v>289</v>
      </c>
      <c r="C968" s="42" t="s">
        <v>264</v>
      </c>
      <c r="D968" s="42" t="s">
        <v>638</v>
      </c>
      <c r="E968" s="42"/>
      <c r="F968" s="7">
        <f>F969+F971+F973</f>
        <v>6309.8</v>
      </c>
      <c r="G968" s="7">
        <f t="shared" ref="G968:K968" si="574">G969+G971+G973</f>
        <v>6309.8</v>
      </c>
      <c r="H968" s="7">
        <f t="shared" si="574"/>
        <v>8181.7000000000007</v>
      </c>
      <c r="I968" s="7">
        <f t="shared" si="574"/>
        <v>8258.7000000000007</v>
      </c>
      <c r="J968" s="7">
        <f t="shared" si="574"/>
        <v>8332.7000000000007</v>
      </c>
      <c r="K968" s="7">
        <f t="shared" si="574"/>
        <v>6283.5</v>
      </c>
      <c r="L968" s="7">
        <f t="shared" ref="L968" si="575">L969+L971+L973</f>
        <v>4413.2000000000007</v>
      </c>
      <c r="M968" s="7">
        <f t="shared" si="539"/>
        <v>70.234741784037567</v>
      </c>
    </row>
    <row r="969" spans="1:13" ht="78.75" x14ac:dyDescent="0.25">
      <c r="A969" s="31" t="s">
        <v>178</v>
      </c>
      <c r="B969" s="42" t="s">
        <v>289</v>
      </c>
      <c r="C969" s="42" t="s">
        <v>264</v>
      </c>
      <c r="D969" s="42" t="s">
        <v>638</v>
      </c>
      <c r="E969" s="42" t="s">
        <v>179</v>
      </c>
      <c r="F969" s="63">
        <f>F970</f>
        <v>5371.7</v>
      </c>
      <c r="G969" s="63">
        <f t="shared" ref="G969:L969" si="576">G970</f>
        <v>5371.7</v>
      </c>
      <c r="H969" s="63">
        <f t="shared" si="576"/>
        <v>5696.1</v>
      </c>
      <c r="I969" s="63">
        <f t="shared" si="576"/>
        <v>5753.1</v>
      </c>
      <c r="J969" s="63">
        <f t="shared" si="576"/>
        <v>5810.7</v>
      </c>
      <c r="K969" s="63">
        <f t="shared" si="576"/>
        <v>5371.7</v>
      </c>
      <c r="L969" s="63">
        <f t="shared" si="576"/>
        <v>3936.8</v>
      </c>
      <c r="M969" s="7">
        <f t="shared" si="539"/>
        <v>73.287785989537767</v>
      </c>
    </row>
    <row r="970" spans="1:13" ht="31.5" x14ac:dyDescent="0.25">
      <c r="A970" s="31" t="s">
        <v>259</v>
      </c>
      <c r="B970" s="42" t="s">
        <v>289</v>
      </c>
      <c r="C970" s="42" t="s">
        <v>264</v>
      </c>
      <c r="D970" s="42" t="s">
        <v>638</v>
      </c>
      <c r="E970" s="42" t="s">
        <v>260</v>
      </c>
      <c r="F970" s="63">
        <f>'Прил.№4 ведомств.'!G1130</f>
        <v>5371.7</v>
      </c>
      <c r="G970" s="63">
        <f>'Прил.№4 ведомств.'!I1130</f>
        <v>5371.7</v>
      </c>
      <c r="H970" s="63">
        <f>'Прил.№4 ведомств.'!J1130</f>
        <v>5696.1</v>
      </c>
      <c r="I970" s="63">
        <f>'Прил.№4 ведомств.'!K1130</f>
        <v>5753.1</v>
      </c>
      <c r="J970" s="63">
        <f>'Прил.№4 ведомств.'!L1130</f>
        <v>5810.7</v>
      </c>
      <c r="K970" s="63">
        <f>'Прил.№4 ведомств.'!M1130</f>
        <v>5371.7</v>
      </c>
      <c r="L970" s="63">
        <f>'Прил.№4 ведомств.'!N1130</f>
        <v>3936.8</v>
      </c>
      <c r="M970" s="7">
        <f t="shared" si="539"/>
        <v>73.287785989537767</v>
      </c>
    </row>
    <row r="971" spans="1:13" ht="31.5" x14ac:dyDescent="0.25">
      <c r="A971" s="31" t="s">
        <v>182</v>
      </c>
      <c r="B971" s="42" t="s">
        <v>289</v>
      </c>
      <c r="C971" s="42" t="s">
        <v>264</v>
      </c>
      <c r="D971" s="42" t="s">
        <v>638</v>
      </c>
      <c r="E971" s="42" t="s">
        <v>183</v>
      </c>
      <c r="F971" s="7">
        <f>F972</f>
        <v>928.1</v>
      </c>
      <c r="G971" s="7">
        <f t="shared" ref="G971:L971" si="577">G972</f>
        <v>928.1</v>
      </c>
      <c r="H971" s="7">
        <f t="shared" si="577"/>
        <v>2475.6</v>
      </c>
      <c r="I971" s="7">
        <f t="shared" si="577"/>
        <v>2495.6</v>
      </c>
      <c r="J971" s="7">
        <f t="shared" si="577"/>
        <v>2512</v>
      </c>
      <c r="K971" s="7">
        <f t="shared" si="577"/>
        <v>901.8</v>
      </c>
      <c r="L971" s="7">
        <f t="shared" si="577"/>
        <v>475.6</v>
      </c>
      <c r="M971" s="7">
        <f t="shared" si="539"/>
        <v>52.738966511421602</v>
      </c>
    </row>
    <row r="972" spans="1:13" ht="47.25" x14ac:dyDescent="0.25">
      <c r="A972" s="31" t="s">
        <v>184</v>
      </c>
      <c r="B972" s="42" t="s">
        <v>289</v>
      </c>
      <c r="C972" s="42" t="s">
        <v>264</v>
      </c>
      <c r="D972" s="42" t="s">
        <v>638</v>
      </c>
      <c r="E972" s="42" t="s">
        <v>185</v>
      </c>
      <c r="F972" s="7">
        <f>'Прил.№4 ведомств.'!G1132</f>
        <v>928.1</v>
      </c>
      <c r="G972" s="7">
        <f>'Прил.№4 ведомств.'!I1132</f>
        <v>928.1</v>
      </c>
      <c r="H972" s="7">
        <f>'Прил.№4 ведомств.'!J1132</f>
        <v>2475.6</v>
      </c>
      <c r="I972" s="7">
        <f>'Прил.№4 ведомств.'!K1132</f>
        <v>2495.6</v>
      </c>
      <c r="J972" s="7">
        <f>'Прил.№4 ведомств.'!L1132</f>
        <v>2512</v>
      </c>
      <c r="K972" s="7">
        <f>'Прил.№4 ведомств.'!M1132</f>
        <v>901.8</v>
      </c>
      <c r="L972" s="7">
        <f>'Прил.№4 ведомств.'!N1132</f>
        <v>475.6</v>
      </c>
      <c r="M972" s="7">
        <f t="shared" si="539"/>
        <v>52.738966511421602</v>
      </c>
    </row>
    <row r="973" spans="1:13" ht="15.75" x14ac:dyDescent="0.25">
      <c r="A973" s="31" t="s">
        <v>186</v>
      </c>
      <c r="B973" s="42" t="s">
        <v>289</v>
      </c>
      <c r="C973" s="42" t="s">
        <v>264</v>
      </c>
      <c r="D973" s="42" t="s">
        <v>638</v>
      </c>
      <c r="E973" s="42" t="s">
        <v>196</v>
      </c>
      <c r="F973" s="7">
        <f>F974</f>
        <v>10</v>
      </c>
      <c r="G973" s="7">
        <f t="shared" ref="G973:L973" si="578">G974</f>
        <v>10</v>
      </c>
      <c r="H973" s="7">
        <f t="shared" si="578"/>
        <v>10</v>
      </c>
      <c r="I973" s="7">
        <f t="shared" si="578"/>
        <v>10</v>
      </c>
      <c r="J973" s="7">
        <f t="shared" si="578"/>
        <v>10</v>
      </c>
      <c r="K973" s="7">
        <f t="shared" si="578"/>
        <v>10</v>
      </c>
      <c r="L973" s="7">
        <f t="shared" si="578"/>
        <v>0.8</v>
      </c>
      <c r="M973" s="7">
        <f t="shared" ref="M973:M975" si="579">L973/K973*100</f>
        <v>8</v>
      </c>
    </row>
    <row r="974" spans="1:13" ht="15.75" x14ac:dyDescent="0.25">
      <c r="A974" s="31" t="s">
        <v>188</v>
      </c>
      <c r="B974" s="42" t="s">
        <v>289</v>
      </c>
      <c r="C974" s="42" t="s">
        <v>264</v>
      </c>
      <c r="D974" s="42" t="s">
        <v>638</v>
      </c>
      <c r="E974" s="42" t="s">
        <v>189</v>
      </c>
      <c r="F974" s="7">
        <f>'Прил.№4 ведомств.'!G1134</f>
        <v>10</v>
      </c>
      <c r="G974" s="7">
        <f>'Прил.№4 ведомств.'!I1134</f>
        <v>10</v>
      </c>
      <c r="H974" s="7">
        <f>'Прил.№4 ведомств.'!J1134</f>
        <v>10</v>
      </c>
      <c r="I974" s="7">
        <f>'Прил.№4 ведомств.'!K1134</f>
        <v>10</v>
      </c>
      <c r="J974" s="7">
        <f>'Прил.№4 ведомств.'!L1134</f>
        <v>10</v>
      </c>
      <c r="K974" s="7">
        <f>'Прил.№4 ведомств.'!M1134</f>
        <v>10</v>
      </c>
      <c r="L974" s="7">
        <f>'Прил.№4 ведомств.'!N1134</f>
        <v>0.8</v>
      </c>
      <c r="M974" s="7">
        <f t="shared" si="579"/>
        <v>8</v>
      </c>
    </row>
    <row r="975" spans="1:13" ht="15.75" x14ac:dyDescent="0.25">
      <c r="A975" s="71" t="s">
        <v>639</v>
      </c>
      <c r="B975" s="8"/>
      <c r="C975" s="8"/>
      <c r="D975" s="8"/>
      <c r="E975" s="8"/>
      <c r="F975" s="72">
        <f t="shared" ref="F975:K975" si="580">F12+F214+F232+F277+F440+F682+F804+F913+F964+F207</f>
        <v>665442.20000000007</v>
      </c>
      <c r="G975" s="72">
        <f t="shared" si="580"/>
        <v>638134.33647058834</v>
      </c>
      <c r="H975" s="72">
        <f t="shared" si="580"/>
        <v>747288</v>
      </c>
      <c r="I975" s="72">
        <f t="shared" si="580"/>
        <v>743098.70000000007</v>
      </c>
      <c r="J975" s="72">
        <f t="shared" si="580"/>
        <v>741645.10000000009</v>
      </c>
      <c r="K975" s="72">
        <f t="shared" si="580"/>
        <v>740005.38000000012</v>
      </c>
      <c r="L975" s="72">
        <f t="shared" ref="L975" si="581">L12+L214+L232+L277+L440+L682+L804+L913+L964+L207</f>
        <v>530697.60000000009</v>
      </c>
      <c r="M975" s="4">
        <f t="shared" si="579"/>
        <v>71.715370501765804</v>
      </c>
    </row>
    <row r="976" spans="1:13" hidden="1" x14ac:dyDescent="0.25">
      <c r="H976">
        <f>'Прил.№4 ведомств.'!J1135</f>
        <v>747927.99999999988</v>
      </c>
      <c r="I976">
        <f>'Прил.№4 ведомств.'!K1135</f>
        <v>743098.70000000007</v>
      </c>
      <c r="J976">
        <f>'Прил.№4 ведомств.'!L1135</f>
        <v>741645.1</v>
      </c>
      <c r="K976">
        <f>'Прил.№4 ведомств.'!M1135</f>
        <v>740005.38</v>
      </c>
      <c r="L976">
        <f>'Прил.№4 ведомств.'!N1135</f>
        <v>530697.60000000009</v>
      </c>
      <c r="M976">
        <f>'Прил.№4 ведомств.'!O1135</f>
        <v>71.715370501765818</v>
      </c>
    </row>
    <row r="977" spans="8:13" hidden="1" x14ac:dyDescent="0.25">
      <c r="H977" s="23">
        <f>H976-H975</f>
        <v>639.99999999988358</v>
      </c>
      <c r="I977" s="23">
        <f t="shared" ref="I977:K977" si="582">I976-I975</f>
        <v>0</v>
      </c>
      <c r="J977" s="23">
        <f t="shared" si="582"/>
        <v>0</v>
      </c>
      <c r="K977" s="23">
        <f t="shared" si="582"/>
        <v>0</v>
      </c>
      <c r="L977" s="23">
        <f t="shared" ref="L977:M977" si="583">L976-L975</f>
        <v>0</v>
      </c>
      <c r="M977" s="23">
        <f t="shared" si="583"/>
        <v>0</v>
      </c>
    </row>
  </sheetData>
  <mergeCells count="14">
    <mergeCell ref="A7:M7"/>
    <mergeCell ref="A9:A10"/>
    <mergeCell ref="B9:B10"/>
    <mergeCell ref="C9:C10"/>
    <mergeCell ref="D9:D10"/>
    <mergeCell ref="E9:E10"/>
    <mergeCell ref="L9:L10"/>
    <mergeCell ref="M9:M10"/>
    <mergeCell ref="F9:F10"/>
    <mergeCell ref="G9:G10"/>
    <mergeCell ref="H9:H10"/>
    <mergeCell ref="I9:I10"/>
    <mergeCell ref="J9:J10"/>
    <mergeCell ref="K9:K10"/>
  </mergeCells>
  <pageMargins left="0.39370078740157483" right="0.39370078740157483" top="1.1811023622047245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88"/>
  <sheetViews>
    <sheetView view="pageBreakPreview" zoomScaleNormal="100" zoomScaleSheetLayoutView="100" workbookViewId="0">
      <selection activeCell="A7" sqref="A7:O7"/>
    </sheetView>
  </sheetViews>
  <sheetFormatPr defaultRowHeight="15" x14ac:dyDescent="0.25"/>
  <cols>
    <col min="1" max="1" width="48.42578125" style="1" customWidth="1"/>
    <col min="2" max="2" width="7" style="1" customWidth="1"/>
    <col min="3" max="3" width="4.28515625" style="1" customWidth="1"/>
    <col min="4" max="4" width="4.85546875" style="1" customWidth="1"/>
    <col min="5" max="5" width="12.42578125" style="1" customWidth="1"/>
    <col min="6" max="6" width="5.7109375" style="1" customWidth="1"/>
    <col min="7" max="8" width="13.85546875" style="1" hidden="1" customWidth="1"/>
    <col min="9" max="9" width="13.7109375" style="1" hidden="1" customWidth="1"/>
    <col min="10" max="10" width="13.42578125" style="1" hidden="1" customWidth="1"/>
    <col min="11" max="11" width="14.140625" style="1" hidden="1" customWidth="1"/>
    <col min="12" max="12" width="14" style="1" hidden="1" customWidth="1"/>
    <col min="13" max="15" width="17.28515625" style="1" customWidth="1"/>
    <col min="16" max="16384" width="9.140625" style="1"/>
  </cols>
  <sheetData>
    <row r="1" spans="1:15" ht="17.25" customHeight="1" x14ac:dyDescent="0.3">
      <c r="A1" s="74"/>
      <c r="B1" s="74"/>
      <c r="C1" s="74"/>
      <c r="D1" s="74"/>
      <c r="E1" s="299"/>
      <c r="G1" s="74"/>
      <c r="H1" s="74"/>
      <c r="I1" s="209"/>
      <c r="N1" s="303" t="s">
        <v>643</v>
      </c>
      <c r="O1" s="275"/>
    </row>
    <row r="2" spans="1:15" ht="17.25" customHeight="1" x14ac:dyDescent="0.3">
      <c r="A2" s="74"/>
      <c r="B2" s="74"/>
      <c r="C2" s="74"/>
      <c r="D2" s="74"/>
      <c r="E2" s="299"/>
      <c r="G2" s="74"/>
      <c r="H2" s="74"/>
      <c r="I2" s="209"/>
      <c r="N2" s="303" t="s">
        <v>1050</v>
      </c>
      <c r="O2" s="275"/>
    </row>
    <row r="3" spans="1:15" ht="17.25" customHeight="1" x14ac:dyDescent="0.3">
      <c r="A3" s="336"/>
      <c r="B3" s="336"/>
      <c r="C3" s="336"/>
      <c r="D3" s="336"/>
      <c r="E3" s="336"/>
      <c r="F3" s="336"/>
      <c r="G3" s="336"/>
      <c r="H3" s="298"/>
      <c r="I3" s="209"/>
      <c r="N3" s="303" t="s">
        <v>1052</v>
      </c>
      <c r="O3" s="275"/>
    </row>
    <row r="4" spans="1:15" ht="17.25" customHeight="1" x14ac:dyDescent="0.3">
      <c r="A4" s="298"/>
      <c r="B4" s="298"/>
      <c r="C4" s="298"/>
      <c r="D4" s="298"/>
      <c r="E4" s="298"/>
      <c r="F4" s="298"/>
      <c r="G4" s="298"/>
      <c r="H4" s="298"/>
      <c r="I4" s="209"/>
      <c r="N4" s="303" t="s">
        <v>1051</v>
      </c>
      <c r="O4" s="316"/>
    </row>
    <row r="5" spans="1:15" ht="17.25" customHeight="1" x14ac:dyDescent="0.3">
      <c r="A5" s="317"/>
      <c r="B5" s="317"/>
      <c r="C5" s="317"/>
      <c r="D5" s="317"/>
      <c r="E5" s="317"/>
      <c r="F5" s="317"/>
      <c r="G5" s="317"/>
      <c r="H5" s="317"/>
      <c r="I5" s="209"/>
      <c r="N5" s="303" t="s">
        <v>1053</v>
      </c>
      <c r="O5" s="316"/>
    </row>
    <row r="6" spans="1:15" ht="15.75" x14ac:dyDescent="0.25">
      <c r="A6" s="298"/>
      <c r="B6" s="298"/>
      <c r="C6" s="298"/>
      <c r="D6" s="298"/>
      <c r="E6" s="298"/>
      <c r="F6" s="298"/>
      <c r="G6" s="298"/>
      <c r="H6" s="298"/>
      <c r="I6" s="209"/>
    </row>
    <row r="7" spans="1:15" ht="35.25" customHeight="1" x14ac:dyDescent="0.25">
      <c r="A7" s="329" t="s">
        <v>1054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</row>
    <row r="8" spans="1:15" ht="15.75" x14ac:dyDescent="0.25">
      <c r="A8" s="14"/>
      <c r="B8" s="14"/>
      <c r="C8" s="14"/>
      <c r="D8" s="14"/>
      <c r="E8" s="14"/>
      <c r="F8" s="14"/>
      <c r="G8" s="127" t="s">
        <v>1</v>
      </c>
      <c r="H8" s="127"/>
      <c r="I8" s="209"/>
      <c r="M8" s="265"/>
      <c r="N8" s="265"/>
      <c r="O8" s="265"/>
    </row>
    <row r="9" spans="1:15" ht="63" x14ac:dyDescent="0.25">
      <c r="A9" s="297" t="s">
        <v>161</v>
      </c>
      <c r="B9" s="297" t="s">
        <v>162</v>
      </c>
      <c r="C9" s="16" t="s">
        <v>163</v>
      </c>
      <c r="D9" s="16" t="s">
        <v>164</v>
      </c>
      <c r="E9" s="16" t="s">
        <v>165</v>
      </c>
      <c r="F9" s="16" t="s">
        <v>166</v>
      </c>
      <c r="G9" s="297" t="s">
        <v>4</v>
      </c>
      <c r="H9" s="297" t="s">
        <v>881</v>
      </c>
      <c r="I9" s="215" t="s">
        <v>860</v>
      </c>
      <c r="J9" s="216" t="s">
        <v>871</v>
      </c>
      <c r="K9" s="216" t="s">
        <v>872</v>
      </c>
      <c r="L9" s="216" t="s">
        <v>873</v>
      </c>
      <c r="M9" s="300" t="s">
        <v>1027</v>
      </c>
      <c r="N9" s="300" t="s">
        <v>1028</v>
      </c>
      <c r="O9" s="215" t="s">
        <v>1026</v>
      </c>
    </row>
    <row r="10" spans="1:15" ht="15.75" x14ac:dyDescent="0.25">
      <c r="A10" s="1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7</v>
      </c>
      <c r="N10" s="19">
        <v>8</v>
      </c>
      <c r="O10" s="19">
        <v>9</v>
      </c>
    </row>
    <row r="11" spans="1:15" ht="31.5" x14ac:dyDescent="0.25">
      <c r="A11" s="20" t="s">
        <v>167</v>
      </c>
      <c r="B11" s="217">
        <v>901</v>
      </c>
      <c r="C11" s="218"/>
      <c r="D11" s="218"/>
      <c r="E11" s="218"/>
      <c r="F11" s="218"/>
      <c r="G11" s="22">
        <f>G12</f>
        <v>14164.460000000001</v>
      </c>
      <c r="H11" s="22">
        <f>H12</f>
        <v>7737.9</v>
      </c>
      <c r="I11" s="22">
        <f t="shared" ref="I11:L11" si="0">I12</f>
        <v>13445.199999999999</v>
      </c>
      <c r="J11" s="22">
        <f t="shared" si="0"/>
        <v>14362</v>
      </c>
      <c r="K11" s="22">
        <f t="shared" si="0"/>
        <v>14362</v>
      </c>
      <c r="L11" s="22">
        <f t="shared" si="0"/>
        <v>14362</v>
      </c>
      <c r="M11" s="22">
        <f t="shared" ref="M11:N11" si="1">M12</f>
        <v>14362</v>
      </c>
      <c r="N11" s="22">
        <f t="shared" si="1"/>
        <v>8577.6</v>
      </c>
      <c r="O11" s="22">
        <f>N11/M11*100</f>
        <v>59.724272385461639</v>
      </c>
    </row>
    <row r="12" spans="1:15" ht="15.75" x14ac:dyDescent="0.25">
      <c r="A12" s="24" t="s">
        <v>168</v>
      </c>
      <c r="B12" s="217">
        <v>901</v>
      </c>
      <c r="C12" s="219" t="s">
        <v>169</v>
      </c>
      <c r="D12" s="218"/>
      <c r="E12" s="218"/>
      <c r="F12" s="218"/>
      <c r="G12" s="22">
        <f>G13+G23</f>
        <v>14164.460000000001</v>
      </c>
      <c r="H12" s="22">
        <f>H13+H23</f>
        <v>7737.9</v>
      </c>
      <c r="I12" s="22">
        <f t="shared" ref="I12:L12" si="2">I13+I23</f>
        <v>13445.199999999999</v>
      </c>
      <c r="J12" s="22">
        <f t="shared" si="2"/>
        <v>14362</v>
      </c>
      <c r="K12" s="22">
        <f t="shared" si="2"/>
        <v>14362</v>
      </c>
      <c r="L12" s="22">
        <f t="shared" si="2"/>
        <v>14362</v>
      </c>
      <c r="M12" s="22">
        <f t="shared" ref="M12:N12" si="3">M13+M23</f>
        <v>14362</v>
      </c>
      <c r="N12" s="22">
        <f t="shared" si="3"/>
        <v>8577.6</v>
      </c>
      <c r="O12" s="22">
        <f t="shared" ref="O12:O75" si="4">N12/M12*100</f>
        <v>59.724272385461639</v>
      </c>
    </row>
    <row r="13" spans="1:15" ht="63" x14ac:dyDescent="0.25">
      <c r="A13" s="24" t="s">
        <v>170</v>
      </c>
      <c r="B13" s="217">
        <v>901</v>
      </c>
      <c r="C13" s="219" t="s">
        <v>169</v>
      </c>
      <c r="D13" s="219" t="s">
        <v>171</v>
      </c>
      <c r="E13" s="219"/>
      <c r="F13" s="219"/>
      <c r="G13" s="22">
        <f>G14</f>
        <v>14114.460000000001</v>
      </c>
      <c r="H13" s="22">
        <f t="shared" ref="H13:H15" si="5">H14</f>
        <v>7687.9</v>
      </c>
      <c r="I13" s="22">
        <f t="shared" ref="I13:L15" si="6">I14</f>
        <v>13395.199999999999</v>
      </c>
      <c r="J13" s="22">
        <f t="shared" si="6"/>
        <v>14362</v>
      </c>
      <c r="K13" s="22">
        <f t="shared" si="6"/>
        <v>14362</v>
      </c>
      <c r="L13" s="22">
        <f t="shared" si="6"/>
        <v>14362</v>
      </c>
      <c r="M13" s="22">
        <f t="shared" ref="M13:N15" si="7">M14</f>
        <v>14362</v>
      </c>
      <c r="N13" s="22">
        <f t="shared" si="7"/>
        <v>8577.6</v>
      </c>
      <c r="O13" s="22">
        <f t="shared" si="4"/>
        <v>59.724272385461639</v>
      </c>
    </row>
    <row r="14" spans="1:15" ht="15.75" x14ac:dyDescent="0.25">
      <c r="A14" s="26" t="s">
        <v>172</v>
      </c>
      <c r="B14" s="220">
        <v>901</v>
      </c>
      <c r="C14" s="218" t="s">
        <v>169</v>
      </c>
      <c r="D14" s="218" t="s">
        <v>171</v>
      </c>
      <c r="E14" s="218" t="s">
        <v>173</v>
      </c>
      <c r="F14" s="218"/>
      <c r="G14" s="27">
        <f>G15</f>
        <v>14114.460000000001</v>
      </c>
      <c r="H14" s="27">
        <f t="shared" si="5"/>
        <v>7687.9</v>
      </c>
      <c r="I14" s="27">
        <f t="shared" si="6"/>
        <v>13395.199999999999</v>
      </c>
      <c r="J14" s="27">
        <f t="shared" si="6"/>
        <v>14362</v>
      </c>
      <c r="K14" s="27">
        <f t="shared" si="6"/>
        <v>14362</v>
      </c>
      <c r="L14" s="27">
        <f t="shared" si="6"/>
        <v>14362</v>
      </c>
      <c r="M14" s="27">
        <f t="shared" si="7"/>
        <v>14362</v>
      </c>
      <c r="N14" s="27">
        <f t="shared" si="7"/>
        <v>8577.6</v>
      </c>
      <c r="O14" s="27">
        <f t="shared" si="4"/>
        <v>59.724272385461639</v>
      </c>
    </row>
    <row r="15" spans="1:15" ht="31.5" x14ac:dyDescent="0.25">
      <c r="A15" s="26" t="s">
        <v>174</v>
      </c>
      <c r="B15" s="220">
        <v>901</v>
      </c>
      <c r="C15" s="218" t="s">
        <v>169</v>
      </c>
      <c r="D15" s="218" t="s">
        <v>171</v>
      </c>
      <c r="E15" s="218" t="s">
        <v>175</v>
      </c>
      <c r="F15" s="218"/>
      <c r="G15" s="27">
        <f>G16</f>
        <v>14114.460000000001</v>
      </c>
      <c r="H15" s="27">
        <f t="shared" si="5"/>
        <v>7687.9</v>
      </c>
      <c r="I15" s="27">
        <f t="shared" si="6"/>
        <v>13395.199999999999</v>
      </c>
      <c r="J15" s="27">
        <f t="shared" si="6"/>
        <v>14362</v>
      </c>
      <c r="K15" s="27">
        <f t="shared" si="6"/>
        <v>14362</v>
      </c>
      <c r="L15" s="27">
        <f t="shared" si="6"/>
        <v>14362</v>
      </c>
      <c r="M15" s="27">
        <f t="shared" si="7"/>
        <v>14362</v>
      </c>
      <c r="N15" s="27">
        <f t="shared" si="7"/>
        <v>8577.6</v>
      </c>
      <c r="O15" s="27">
        <f t="shared" si="4"/>
        <v>59.724272385461639</v>
      </c>
    </row>
    <row r="16" spans="1:15" ht="47.25" x14ac:dyDescent="0.25">
      <c r="A16" s="26" t="s">
        <v>176</v>
      </c>
      <c r="B16" s="220">
        <v>901</v>
      </c>
      <c r="C16" s="218" t="s">
        <v>169</v>
      </c>
      <c r="D16" s="218" t="s">
        <v>171</v>
      </c>
      <c r="E16" s="218" t="s">
        <v>177</v>
      </c>
      <c r="F16" s="218"/>
      <c r="G16" s="27">
        <f>G17+G19+G21</f>
        <v>14114.460000000001</v>
      </c>
      <c r="H16" s="27">
        <f>H17+H19+H21</f>
        <v>7687.9</v>
      </c>
      <c r="I16" s="27">
        <f t="shared" ref="I16:L16" si="8">I17+I19+I21</f>
        <v>13395.199999999999</v>
      </c>
      <c r="J16" s="27">
        <f t="shared" si="8"/>
        <v>14362</v>
      </c>
      <c r="K16" s="27">
        <f t="shared" si="8"/>
        <v>14362</v>
      </c>
      <c r="L16" s="27">
        <f t="shared" si="8"/>
        <v>14362</v>
      </c>
      <c r="M16" s="27">
        <f t="shared" ref="M16:N16" si="9">M17+M19+M21</f>
        <v>14362</v>
      </c>
      <c r="N16" s="27">
        <f t="shared" si="9"/>
        <v>8577.6</v>
      </c>
      <c r="O16" s="27">
        <f t="shared" si="4"/>
        <v>59.724272385461639</v>
      </c>
    </row>
    <row r="17" spans="1:15" ht="94.5" x14ac:dyDescent="0.25">
      <c r="A17" s="26" t="s">
        <v>178</v>
      </c>
      <c r="B17" s="220">
        <v>901</v>
      </c>
      <c r="C17" s="218" t="s">
        <v>169</v>
      </c>
      <c r="D17" s="218" t="s">
        <v>171</v>
      </c>
      <c r="E17" s="218" t="s">
        <v>177</v>
      </c>
      <c r="F17" s="218" t="s">
        <v>179</v>
      </c>
      <c r="G17" s="27">
        <f>G18</f>
        <v>12784.1</v>
      </c>
      <c r="H17" s="27">
        <f>H18</f>
        <v>7262.8</v>
      </c>
      <c r="I17" s="27">
        <f t="shared" ref="I17:L17" si="10">I18</f>
        <v>12053.8</v>
      </c>
      <c r="J17" s="27">
        <f t="shared" si="10"/>
        <v>12470</v>
      </c>
      <c r="K17" s="27">
        <f t="shared" si="10"/>
        <v>12470</v>
      </c>
      <c r="L17" s="27">
        <f t="shared" si="10"/>
        <v>12470</v>
      </c>
      <c r="M17" s="27">
        <f t="shared" ref="M17:N17" si="11">M18</f>
        <v>12801.6</v>
      </c>
      <c r="N17" s="27">
        <f t="shared" si="11"/>
        <v>8197.7999999999993</v>
      </c>
      <c r="O17" s="27">
        <f t="shared" si="4"/>
        <v>64.037307836520426</v>
      </c>
    </row>
    <row r="18" spans="1:15" ht="31.5" x14ac:dyDescent="0.25">
      <c r="A18" s="26" t="s">
        <v>180</v>
      </c>
      <c r="B18" s="220">
        <v>901</v>
      </c>
      <c r="C18" s="218" t="s">
        <v>169</v>
      </c>
      <c r="D18" s="218" t="s">
        <v>171</v>
      </c>
      <c r="E18" s="218" t="s">
        <v>177</v>
      </c>
      <c r="F18" s="218" t="s">
        <v>181</v>
      </c>
      <c r="G18" s="28">
        <v>12784.1</v>
      </c>
      <c r="H18" s="28">
        <v>7262.8</v>
      </c>
      <c r="I18" s="28">
        <v>12053.8</v>
      </c>
      <c r="J18" s="28">
        <v>12470</v>
      </c>
      <c r="K18" s="28">
        <f>J18</f>
        <v>12470</v>
      </c>
      <c r="L18" s="28">
        <f>K18</f>
        <v>12470</v>
      </c>
      <c r="M18" s="28">
        <f>12926-124.4</f>
        <v>12801.6</v>
      </c>
      <c r="N18" s="28">
        <v>8197.7999999999993</v>
      </c>
      <c r="O18" s="27">
        <f t="shared" si="4"/>
        <v>64.037307836520426</v>
      </c>
    </row>
    <row r="19" spans="1:15" ht="31.5" x14ac:dyDescent="0.25">
      <c r="A19" s="26" t="s">
        <v>182</v>
      </c>
      <c r="B19" s="220">
        <v>901</v>
      </c>
      <c r="C19" s="218" t="s">
        <v>169</v>
      </c>
      <c r="D19" s="218" t="s">
        <v>171</v>
      </c>
      <c r="E19" s="218" t="s">
        <v>177</v>
      </c>
      <c r="F19" s="218" t="s">
        <v>183</v>
      </c>
      <c r="G19" s="27">
        <f>G20</f>
        <v>1302.3599999999999</v>
      </c>
      <c r="H19" s="27">
        <f>H20</f>
        <v>424.2</v>
      </c>
      <c r="I19" s="27">
        <f t="shared" ref="I19:L19" si="12">I20</f>
        <v>1302.4000000000001</v>
      </c>
      <c r="J19" s="27">
        <f t="shared" si="12"/>
        <v>1864</v>
      </c>
      <c r="K19" s="27">
        <f t="shared" si="12"/>
        <v>1864</v>
      </c>
      <c r="L19" s="27">
        <f t="shared" si="12"/>
        <v>1864</v>
      </c>
      <c r="M19" s="27">
        <f t="shared" ref="M19:N19" si="13">M20</f>
        <v>1532.4</v>
      </c>
      <c r="N19" s="27">
        <f t="shared" si="13"/>
        <v>379.1</v>
      </c>
      <c r="O19" s="27">
        <f t="shared" si="4"/>
        <v>24.738971547898721</v>
      </c>
    </row>
    <row r="20" spans="1:15" ht="47.25" x14ac:dyDescent="0.25">
      <c r="A20" s="26" t="s">
        <v>184</v>
      </c>
      <c r="B20" s="220">
        <v>901</v>
      </c>
      <c r="C20" s="218" t="s">
        <v>169</v>
      </c>
      <c r="D20" s="218" t="s">
        <v>171</v>
      </c>
      <c r="E20" s="218" t="s">
        <v>177</v>
      </c>
      <c r="F20" s="218" t="s">
        <v>185</v>
      </c>
      <c r="G20" s="28">
        <v>1302.3599999999999</v>
      </c>
      <c r="H20" s="28">
        <v>424.2</v>
      </c>
      <c r="I20" s="28">
        <v>1302.4000000000001</v>
      </c>
      <c r="J20" s="28">
        <f>1892-J22</f>
        <v>1864</v>
      </c>
      <c r="K20" s="28">
        <f>J20</f>
        <v>1864</v>
      </c>
      <c r="L20" s="28">
        <f>K20</f>
        <v>1864</v>
      </c>
      <c r="M20" s="28">
        <f>1408+124.4</f>
        <v>1532.4</v>
      </c>
      <c r="N20" s="28">
        <v>379.1</v>
      </c>
      <c r="O20" s="27">
        <f t="shared" si="4"/>
        <v>24.738971547898721</v>
      </c>
    </row>
    <row r="21" spans="1:15" ht="15.75" x14ac:dyDescent="0.25">
      <c r="A21" s="26" t="s">
        <v>186</v>
      </c>
      <c r="B21" s="220">
        <v>901</v>
      </c>
      <c r="C21" s="218" t="s">
        <v>169</v>
      </c>
      <c r="D21" s="218" t="s">
        <v>171</v>
      </c>
      <c r="E21" s="218" t="s">
        <v>177</v>
      </c>
      <c r="F21" s="218" t="s">
        <v>187</v>
      </c>
      <c r="G21" s="27">
        <f>G22</f>
        <v>28</v>
      </c>
      <c r="H21" s="27">
        <f>H22</f>
        <v>0.9</v>
      </c>
      <c r="I21" s="27">
        <f t="shared" ref="I21:L21" si="14">I22</f>
        <v>39</v>
      </c>
      <c r="J21" s="27">
        <f t="shared" si="14"/>
        <v>28</v>
      </c>
      <c r="K21" s="27">
        <f t="shared" si="14"/>
        <v>28</v>
      </c>
      <c r="L21" s="27">
        <f t="shared" si="14"/>
        <v>28</v>
      </c>
      <c r="M21" s="27">
        <f t="shared" ref="M21:N21" si="15">M22</f>
        <v>28</v>
      </c>
      <c r="N21" s="27">
        <f t="shared" si="15"/>
        <v>0.7</v>
      </c>
      <c r="O21" s="27">
        <f t="shared" si="4"/>
        <v>2.5</v>
      </c>
    </row>
    <row r="22" spans="1:15" ht="15.75" x14ac:dyDescent="0.25">
      <c r="A22" s="26" t="s">
        <v>620</v>
      </c>
      <c r="B22" s="220">
        <v>901</v>
      </c>
      <c r="C22" s="218" t="s">
        <v>169</v>
      </c>
      <c r="D22" s="218" t="s">
        <v>171</v>
      </c>
      <c r="E22" s="218" t="s">
        <v>177</v>
      </c>
      <c r="F22" s="218" t="s">
        <v>189</v>
      </c>
      <c r="G22" s="27">
        <v>28</v>
      </c>
      <c r="H22" s="27">
        <v>0.9</v>
      </c>
      <c r="I22" s="27">
        <v>39</v>
      </c>
      <c r="J22" s="27">
        <v>28</v>
      </c>
      <c r="K22" s="27">
        <v>28</v>
      </c>
      <c r="L22" s="27">
        <v>28</v>
      </c>
      <c r="M22" s="27">
        <v>28</v>
      </c>
      <c r="N22" s="27">
        <v>0.7</v>
      </c>
      <c r="O22" s="27">
        <f t="shared" si="4"/>
        <v>2.5</v>
      </c>
    </row>
    <row r="23" spans="1:15" ht="18.75" hidden="1" customHeight="1" x14ac:dyDescent="0.25">
      <c r="A23" s="24" t="s">
        <v>190</v>
      </c>
      <c r="B23" s="217">
        <v>901</v>
      </c>
      <c r="C23" s="219" t="s">
        <v>169</v>
      </c>
      <c r="D23" s="219" t="s">
        <v>191</v>
      </c>
      <c r="E23" s="219"/>
      <c r="F23" s="219"/>
      <c r="G23" s="22">
        <f>G24</f>
        <v>50</v>
      </c>
      <c r="H23" s="22">
        <f t="shared" ref="H23:H26" si="16">H24</f>
        <v>50</v>
      </c>
      <c r="I23" s="22">
        <f t="shared" ref="I23:L26" si="17">I24</f>
        <v>50</v>
      </c>
      <c r="J23" s="22">
        <f t="shared" si="17"/>
        <v>0</v>
      </c>
      <c r="K23" s="22">
        <f t="shared" si="17"/>
        <v>0</v>
      </c>
      <c r="L23" s="22">
        <f t="shared" si="17"/>
        <v>0</v>
      </c>
      <c r="M23" s="22">
        <f t="shared" ref="M23:N26" si="18">M24</f>
        <v>0</v>
      </c>
      <c r="N23" s="22">
        <f t="shared" si="18"/>
        <v>0</v>
      </c>
      <c r="O23" s="27" t="e">
        <f t="shared" si="4"/>
        <v>#DIV/0!</v>
      </c>
    </row>
    <row r="24" spans="1:15" ht="15.75" hidden="1" x14ac:dyDescent="0.25">
      <c r="A24" s="26" t="s">
        <v>192</v>
      </c>
      <c r="B24" s="220">
        <v>901</v>
      </c>
      <c r="C24" s="218" t="s">
        <v>169</v>
      </c>
      <c r="D24" s="218" t="s">
        <v>191</v>
      </c>
      <c r="E24" s="218" t="s">
        <v>193</v>
      </c>
      <c r="F24" s="218"/>
      <c r="G24" s="27">
        <f>G25</f>
        <v>50</v>
      </c>
      <c r="H24" s="27">
        <f t="shared" si="16"/>
        <v>50</v>
      </c>
      <c r="I24" s="27">
        <f t="shared" si="17"/>
        <v>50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8"/>
        <v>0</v>
      </c>
      <c r="N24" s="27">
        <f t="shared" si="18"/>
        <v>0</v>
      </c>
      <c r="O24" s="27" t="e">
        <f t="shared" si="4"/>
        <v>#DIV/0!</v>
      </c>
    </row>
    <row r="25" spans="1:15" ht="15.75" hidden="1" x14ac:dyDescent="0.25">
      <c r="A25" s="26" t="s">
        <v>194</v>
      </c>
      <c r="B25" s="220">
        <v>901</v>
      </c>
      <c r="C25" s="218" t="s">
        <v>169</v>
      </c>
      <c r="D25" s="218" t="s">
        <v>191</v>
      </c>
      <c r="E25" s="218" t="s">
        <v>195</v>
      </c>
      <c r="F25" s="218"/>
      <c r="G25" s="27">
        <f>G26</f>
        <v>50</v>
      </c>
      <c r="H25" s="27">
        <f t="shared" si="16"/>
        <v>50</v>
      </c>
      <c r="I25" s="27">
        <f t="shared" si="17"/>
        <v>50</v>
      </c>
      <c r="J25" s="27">
        <f t="shared" si="17"/>
        <v>0</v>
      </c>
      <c r="K25" s="27">
        <f t="shared" si="17"/>
        <v>0</v>
      </c>
      <c r="L25" s="27">
        <f t="shared" si="17"/>
        <v>0</v>
      </c>
      <c r="M25" s="27">
        <f t="shared" si="18"/>
        <v>0</v>
      </c>
      <c r="N25" s="27">
        <f t="shared" si="18"/>
        <v>0</v>
      </c>
      <c r="O25" s="27" t="e">
        <f t="shared" si="4"/>
        <v>#DIV/0!</v>
      </c>
    </row>
    <row r="26" spans="1:15" ht="15.75" hidden="1" x14ac:dyDescent="0.25">
      <c r="A26" s="26" t="s">
        <v>186</v>
      </c>
      <c r="B26" s="220">
        <v>901</v>
      </c>
      <c r="C26" s="218" t="s">
        <v>169</v>
      </c>
      <c r="D26" s="218" t="s">
        <v>191</v>
      </c>
      <c r="E26" s="218" t="s">
        <v>195</v>
      </c>
      <c r="F26" s="218" t="s">
        <v>196</v>
      </c>
      <c r="G26" s="27">
        <f>G27</f>
        <v>50</v>
      </c>
      <c r="H26" s="27">
        <f t="shared" si="16"/>
        <v>50</v>
      </c>
      <c r="I26" s="27">
        <f t="shared" si="17"/>
        <v>50</v>
      </c>
      <c r="J26" s="27">
        <f t="shared" si="17"/>
        <v>0</v>
      </c>
      <c r="K26" s="27">
        <f t="shared" si="17"/>
        <v>0</v>
      </c>
      <c r="L26" s="27">
        <f t="shared" si="17"/>
        <v>0</v>
      </c>
      <c r="M26" s="27">
        <f t="shared" si="18"/>
        <v>0</v>
      </c>
      <c r="N26" s="27">
        <f t="shared" si="18"/>
        <v>0</v>
      </c>
      <c r="O26" s="27" t="e">
        <f t="shared" si="4"/>
        <v>#DIV/0!</v>
      </c>
    </row>
    <row r="27" spans="1:15" ht="15.75" hidden="1" x14ac:dyDescent="0.25">
      <c r="A27" s="26" t="s">
        <v>197</v>
      </c>
      <c r="B27" s="220">
        <v>901</v>
      </c>
      <c r="C27" s="218" t="s">
        <v>169</v>
      </c>
      <c r="D27" s="218" t="s">
        <v>191</v>
      </c>
      <c r="E27" s="218" t="s">
        <v>195</v>
      </c>
      <c r="F27" s="218" t="s">
        <v>198</v>
      </c>
      <c r="G27" s="27">
        <v>50</v>
      </c>
      <c r="H27" s="27">
        <v>50</v>
      </c>
      <c r="I27" s="27">
        <v>50</v>
      </c>
      <c r="J27" s="27">
        <v>0</v>
      </c>
      <c r="K27" s="27">
        <v>0</v>
      </c>
      <c r="L27" s="27">
        <v>0</v>
      </c>
      <c r="M27" s="27"/>
      <c r="N27" s="27"/>
      <c r="O27" s="27" t="e">
        <f t="shared" si="4"/>
        <v>#DIV/0!</v>
      </c>
    </row>
    <row r="28" spans="1:15" ht="31.5" x14ac:dyDescent="0.25">
      <c r="A28" s="20" t="s">
        <v>199</v>
      </c>
      <c r="B28" s="217">
        <v>902</v>
      </c>
      <c r="C28" s="218"/>
      <c r="D28" s="218"/>
      <c r="E28" s="218"/>
      <c r="F28" s="218"/>
      <c r="G28" s="22">
        <f>G29+G167+G185+G217+G160</f>
        <v>87268.39999999998</v>
      </c>
      <c r="H28" s="22">
        <f>H29+H167+H185+H217</f>
        <v>59953.899999999994</v>
      </c>
      <c r="I28" s="22">
        <f t="shared" ref="I28:N28" si="19">I29+I167+I185+I217+I160</f>
        <v>83261.003921568612</v>
      </c>
      <c r="J28" s="22">
        <f t="shared" si="19"/>
        <v>92033.599999999991</v>
      </c>
      <c r="K28" s="22">
        <f t="shared" si="19"/>
        <v>90820.500000000015</v>
      </c>
      <c r="L28" s="22">
        <f t="shared" si="19"/>
        <v>91204.6</v>
      </c>
      <c r="M28" s="22">
        <f t="shared" si="19"/>
        <v>87357.9</v>
      </c>
      <c r="N28" s="22">
        <f t="shared" si="19"/>
        <v>57472.700000000004</v>
      </c>
      <c r="O28" s="22">
        <f t="shared" si="4"/>
        <v>65.78992855826435</v>
      </c>
    </row>
    <row r="29" spans="1:15" ht="15.75" x14ac:dyDescent="0.25">
      <c r="A29" s="24" t="s">
        <v>168</v>
      </c>
      <c r="B29" s="217">
        <v>902</v>
      </c>
      <c r="C29" s="219" t="s">
        <v>169</v>
      </c>
      <c r="D29" s="218"/>
      <c r="E29" s="218"/>
      <c r="F29" s="218"/>
      <c r="G29" s="22">
        <f t="shared" ref="G29:M29" si="20">G30+G54+G62</f>
        <v>66062.7</v>
      </c>
      <c r="H29" s="22">
        <f t="shared" si="20"/>
        <v>46256</v>
      </c>
      <c r="I29" s="22">
        <f t="shared" si="20"/>
        <v>63684.337254901955</v>
      </c>
      <c r="J29" s="22">
        <f t="shared" si="20"/>
        <v>66693.400000000009</v>
      </c>
      <c r="K29" s="22">
        <f t="shared" si="20"/>
        <v>67188.200000000012</v>
      </c>
      <c r="L29" s="22">
        <f t="shared" si="20"/>
        <v>67525.8</v>
      </c>
      <c r="M29" s="22">
        <f t="shared" si="20"/>
        <v>63778.599999999991</v>
      </c>
      <c r="N29" s="22">
        <f t="shared" ref="N29" si="21">N30+N54+N62</f>
        <v>43802.5</v>
      </c>
      <c r="O29" s="22">
        <f t="shared" si="4"/>
        <v>68.67899264016458</v>
      </c>
    </row>
    <row r="30" spans="1:15" ht="78.75" x14ac:dyDescent="0.25">
      <c r="A30" s="24" t="s">
        <v>200</v>
      </c>
      <c r="B30" s="217">
        <v>902</v>
      </c>
      <c r="C30" s="219" t="s">
        <v>169</v>
      </c>
      <c r="D30" s="219" t="s">
        <v>201</v>
      </c>
      <c r="E30" s="219"/>
      <c r="F30" s="219"/>
      <c r="G30" s="22">
        <f>G31</f>
        <v>51508.2</v>
      </c>
      <c r="H30" s="22">
        <f>H31</f>
        <v>36342.1</v>
      </c>
      <c r="I30" s="22">
        <f t="shared" ref="I30:L30" si="22">I31</f>
        <v>49198.937254901961</v>
      </c>
      <c r="J30" s="22">
        <f t="shared" si="22"/>
        <v>49603.8</v>
      </c>
      <c r="K30" s="22">
        <f t="shared" si="22"/>
        <v>49952.700000000004</v>
      </c>
      <c r="L30" s="22">
        <f t="shared" si="22"/>
        <v>50164</v>
      </c>
      <c r="M30" s="22">
        <f t="shared" ref="M30:N30" si="23">M31</f>
        <v>52193.899999999994</v>
      </c>
      <c r="N30" s="22">
        <f t="shared" si="23"/>
        <v>35768.5</v>
      </c>
      <c r="O30" s="22">
        <f t="shared" si="4"/>
        <v>68.530038950911901</v>
      </c>
    </row>
    <row r="31" spans="1:15" ht="15.75" x14ac:dyDescent="0.25">
      <c r="A31" s="26" t="s">
        <v>172</v>
      </c>
      <c r="B31" s="220">
        <v>902</v>
      </c>
      <c r="C31" s="218" t="s">
        <v>169</v>
      </c>
      <c r="D31" s="218" t="s">
        <v>201</v>
      </c>
      <c r="E31" s="218" t="s">
        <v>173</v>
      </c>
      <c r="F31" s="218"/>
      <c r="G31" s="28">
        <f t="shared" ref="G31:M31" si="24">G32+G48</f>
        <v>51508.2</v>
      </c>
      <c r="H31" s="28">
        <f t="shared" si="24"/>
        <v>36342.1</v>
      </c>
      <c r="I31" s="28">
        <f t="shared" si="24"/>
        <v>49198.937254901961</v>
      </c>
      <c r="J31" s="28">
        <f t="shared" si="24"/>
        <v>49603.8</v>
      </c>
      <c r="K31" s="28">
        <f t="shared" si="24"/>
        <v>49952.700000000004</v>
      </c>
      <c r="L31" s="28">
        <f t="shared" si="24"/>
        <v>50164</v>
      </c>
      <c r="M31" s="28">
        <f t="shared" si="24"/>
        <v>52193.899999999994</v>
      </c>
      <c r="N31" s="28">
        <f t="shared" ref="N31" si="25">N32+N48</f>
        <v>35768.5</v>
      </c>
      <c r="O31" s="27">
        <f t="shared" si="4"/>
        <v>68.530038950911901</v>
      </c>
    </row>
    <row r="32" spans="1:15" ht="31.5" x14ac:dyDescent="0.25">
      <c r="A32" s="26" t="s">
        <v>174</v>
      </c>
      <c r="B32" s="220">
        <v>902</v>
      </c>
      <c r="C32" s="218" t="s">
        <v>169</v>
      </c>
      <c r="D32" s="218" t="s">
        <v>201</v>
      </c>
      <c r="E32" s="218" t="s">
        <v>175</v>
      </c>
      <c r="F32" s="218"/>
      <c r="G32" s="28">
        <f>G33+G40</f>
        <v>43429.2</v>
      </c>
      <c r="H32" s="28">
        <f>H33+H40</f>
        <v>29295.199999999997</v>
      </c>
      <c r="I32" s="28">
        <f t="shared" ref="I32:L32" si="26">I33+I40</f>
        <v>41163.337254901962</v>
      </c>
      <c r="J32" s="28">
        <f t="shared" si="26"/>
        <v>47263.9</v>
      </c>
      <c r="K32" s="28">
        <f t="shared" si="26"/>
        <v>47612.800000000003</v>
      </c>
      <c r="L32" s="28">
        <f t="shared" si="26"/>
        <v>47824.1</v>
      </c>
      <c r="M32" s="28">
        <f>M33+M40+M43</f>
        <v>49640.399999999994</v>
      </c>
      <c r="N32" s="28">
        <f>N33+N40+N43</f>
        <v>33966.800000000003</v>
      </c>
      <c r="O32" s="27">
        <f t="shared" si="4"/>
        <v>68.425717762145368</v>
      </c>
    </row>
    <row r="33" spans="1:15" ht="47.25" x14ac:dyDescent="0.25">
      <c r="A33" s="26" t="s">
        <v>176</v>
      </c>
      <c r="B33" s="220">
        <v>902</v>
      </c>
      <c r="C33" s="218" t="s">
        <v>169</v>
      </c>
      <c r="D33" s="218" t="s">
        <v>201</v>
      </c>
      <c r="E33" s="218" t="s">
        <v>177</v>
      </c>
      <c r="F33" s="218"/>
      <c r="G33" s="27">
        <f>G34+G36+G38</f>
        <v>39883.599999999999</v>
      </c>
      <c r="H33" s="27">
        <f>H34+H36+H38</f>
        <v>26835.599999999999</v>
      </c>
      <c r="I33" s="27">
        <f t="shared" ref="I33:L33" si="27">I34+I36+I38</f>
        <v>37617.737254901964</v>
      </c>
      <c r="J33" s="27">
        <f t="shared" si="27"/>
        <v>44031.1</v>
      </c>
      <c r="K33" s="27">
        <f t="shared" si="27"/>
        <v>44380</v>
      </c>
      <c r="L33" s="27">
        <f t="shared" si="27"/>
        <v>44591.299999999996</v>
      </c>
      <c r="M33" s="27">
        <f t="shared" ref="M33:N33" si="28">M34+M36+M38</f>
        <v>43143.199999999997</v>
      </c>
      <c r="N33" s="27">
        <f t="shared" si="28"/>
        <v>29785.4</v>
      </c>
      <c r="O33" s="27">
        <f t="shared" si="4"/>
        <v>69.038457972519424</v>
      </c>
    </row>
    <row r="34" spans="1:15" ht="94.5" x14ac:dyDescent="0.25">
      <c r="A34" s="26" t="s">
        <v>178</v>
      </c>
      <c r="B34" s="220">
        <v>902</v>
      </c>
      <c r="C34" s="218" t="s">
        <v>169</v>
      </c>
      <c r="D34" s="218" t="s">
        <v>201</v>
      </c>
      <c r="E34" s="218" t="s">
        <v>177</v>
      </c>
      <c r="F34" s="218" t="s">
        <v>179</v>
      </c>
      <c r="G34" s="27">
        <f>G35</f>
        <v>34170.5</v>
      </c>
      <c r="H34" s="27">
        <f>H35</f>
        <v>23843.4</v>
      </c>
      <c r="I34" s="27">
        <f t="shared" ref="I34:L34" si="29">I35</f>
        <v>33661.270588235297</v>
      </c>
      <c r="J34" s="27">
        <f t="shared" si="29"/>
        <v>36671.5</v>
      </c>
      <c r="K34" s="27">
        <f t="shared" si="29"/>
        <v>36671.5</v>
      </c>
      <c r="L34" s="27">
        <f t="shared" si="29"/>
        <v>36671.5</v>
      </c>
      <c r="M34" s="27">
        <f t="shared" ref="M34:N34" si="30">M35</f>
        <v>35964.199999999997</v>
      </c>
      <c r="N34" s="27">
        <f t="shared" si="30"/>
        <v>26738.9</v>
      </c>
      <c r="O34" s="27">
        <f t="shared" si="4"/>
        <v>74.348657831955123</v>
      </c>
    </row>
    <row r="35" spans="1:15" ht="31.5" x14ac:dyDescent="0.25">
      <c r="A35" s="26" t="s">
        <v>180</v>
      </c>
      <c r="B35" s="220">
        <v>902</v>
      </c>
      <c r="C35" s="218" t="s">
        <v>169</v>
      </c>
      <c r="D35" s="218" t="s">
        <v>201</v>
      </c>
      <c r="E35" s="218" t="s">
        <v>177</v>
      </c>
      <c r="F35" s="218" t="s">
        <v>181</v>
      </c>
      <c r="G35" s="28">
        <f>36517.7-553.5-1733.7-60</f>
        <v>34170.5</v>
      </c>
      <c r="H35" s="28">
        <v>23843.4</v>
      </c>
      <c r="I35" s="28">
        <f>H35/8.5*12</f>
        <v>33661.270588235297</v>
      </c>
      <c r="J35" s="28">
        <v>36671.5</v>
      </c>
      <c r="K35" s="28">
        <f>J35</f>
        <v>36671.5</v>
      </c>
      <c r="L35" s="28">
        <f>K35</f>
        <v>36671.5</v>
      </c>
      <c r="M35" s="28">
        <f>36671.5-253.5-453.8</f>
        <v>35964.199999999997</v>
      </c>
      <c r="N35" s="28">
        <v>26738.9</v>
      </c>
      <c r="O35" s="27">
        <f t="shared" si="4"/>
        <v>74.348657831955123</v>
      </c>
    </row>
    <row r="36" spans="1:15" ht="31.5" x14ac:dyDescent="0.25">
      <c r="A36" s="26" t="s">
        <v>182</v>
      </c>
      <c r="B36" s="220">
        <v>902</v>
      </c>
      <c r="C36" s="218" t="s">
        <v>169</v>
      </c>
      <c r="D36" s="218" t="s">
        <v>201</v>
      </c>
      <c r="E36" s="218" t="s">
        <v>177</v>
      </c>
      <c r="F36" s="218" t="s">
        <v>183</v>
      </c>
      <c r="G36" s="27">
        <f>G37</f>
        <v>5592.4</v>
      </c>
      <c r="H36" s="27">
        <f>H37</f>
        <v>2765.6</v>
      </c>
      <c r="I36" s="27">
        <f t="shared" ref="I36:L36" si="31">I37</f>
        <v>3687.4666666666667</v>
      </c>
      <c r="J36" s="27">
        <f t="shared" si="31"/>
        <v>7238.9000000000005</v>
      </c>
      <c r="K36" s="27">
        <f t="shared" si="31"/>
        <v>7587.8</v>
      </c>
      <c r="L36" s="27">
        <f t="shared" si="31"/>
        <v>7799.1</v>
      </c>
      <c r="M36" s="27">
        <f t="shared" ref="M36:N36" si="32">M37</f>
        <v>6959.7</v>
      </c>
      <c r="N36" s="27">
        <f t="shared" si="32"/>
        <v>2997.5</v>
      </c>
      <c r="O36" s="27">
        <f t="shared" si="4"/>
        <v>43.069385174648332</v>
      </c>
    </row>
    <row r="37" spans="1:15" ht="47.25" x14ac:dyDescent="0.25">
      <c r="A37" s="26" t="s">
        <v>184</v>
      </c>
      <c r="B37" s="220">
        <v>902</v>
      </c>
      <c r="C37" s="218" t="s">
        <v>169</v>
      </c>
      <c r="D37" s="218" t="s">
        <v>201</v>
      </c>
      <c r="E37" s="218" t="s">
        <v>177</v>
      </c>
      <c r="F37" s="218" t="s">
        <v>185</v>
      </c>
      <c r="G37" s="28">
        <f>3962.7+1800-140.3-30</f>
        <v>5592.4</v>
      </c>
      <c r="H37" s="28">
        <v>2765.6</v>
      </c>
      <c r="I37" s="28">
        <f>H37/9*12</f>
        <v>3687.4666666666667</v>
      </c>
      <c r="J37" s="28">
        <f>7179-J39+180.6</f>
        <v>7238.9000000000005</v>
      </c>
      <c r="K37" s="28">
        <f>7527.9-K39+180.6</f>
        <v>7587.8</v>
      </c>
      <c r="L37" s="28">
        <f>7739.2-L39+180.6</f>
        <v>7799.1</v>
      </c>
      <c r="M37" s="28">
        <v>6959.7</v>
      </c>
      <c r="N37" s="28">
        <v>2997.5</v>
      </c>
      <c r="O37" s="27">
        <f t="shared" si="4"/>
        <v>43.069385174648332</v>
      </c>
    </row>
    <row r="38" spans="1:15" ht="15.75" x14ac:dyDescent="0.25">
      <c r="A38" s="26" t="s">
        <v>186</v>
      </c>
      <c r="B38" s="220">
        <v>902</v>
      </c>
      <c r="C38" s="218" t="s">
        <v>169</v>
      </c>
      <c r="D38" s="218" t="s">
        <v>201</v>
      </c>
      <c r="E38" s="218" t="s">
        <v>177</v>
      </c>
      <c r="F38" s="218" t="s">
        <v>196</v>
      </c>
      <c r="G38" s="27">
        <f>G39</f>
        <v>120.7</v>
      </c>
      <c r="H38" s="27">
        <f>H39</f>
        <v>226.6</v>
      </c>
      <c r="I38" s="27">
        <f t="shared" ref="I38:L38" si="33">I39</f>
        <v>269</v>
      </c>
      <c r="J38" s="27">
        <f t="shared" si="33"/>
        <v>120.7</v>
      </c>
      <c r="K38" s="27">
        <f t="shared" si="33"/>
        <v>120.7</v>
      </c>
      <c r="L38" s="27">
        <f t="shared" si="33"/>
        <v>120.7</v>
      </c>
      <c r="M38" s="27">
        <f t="shared" ref="M38:N38" si="34">M39</f>
        <v>219.3</v>
      </c>
      <c r="N38" s="27">
        <f t="shared" si="34"/>
        <v>49</v>
      </c>
      <c r="O38" s="27">
        <f t="shared" si="4"/>
        <v>22.343821249430004</v>
      </c>
    </row>
    <row r="39" spans="1:15" ht="15.75" x14ac:dyDescent="0.25">
      <c r="A39" s="26" t="s">
        <v>620</v>
      </c>
      <c r="B39" s="220">
        <v>902</v>
      </c>
      <c r="C39" s="218" t="s">
        <v>169</v>
      </c>
      <c r="D39" s="218" t="s">
        <v>201</v>
      </c>
      <c r="E39" s="218" t="s">
        <v>177</v>
      </c>
      <c r="F39" s="218" t="s">
        <v>189</v>
      </c>
      <c r="G39" s="28">
        <f>90.7+30</f>
        <v>120.7</v>
      </c>
      <c r="H39" s="28">
        <v>226.6</v>
      </c>
      <c r="I39" s="28">
        <v>269</v>
      </c>
      <c r="J39" s="28">
        <f t="shared" ref="J39:L39" si="35">90.7+30</f>
        <v>120.7</v>
      </c>
      <c r="K39" s="28">
        <f t="shared" si="35"/>
        <v>120.7</v>
      </c>
      <c r="L39" s="28">
        <f t="shared" si="35"/>
        <v>120.7</v>
      </c>
      <c r="M39" s="28">
        <f>90.7+30+98.6</f>
        <v>219.3</v>
      </c>
      <c r="N39" s="28">
        <v>49</v>
      </c>
      <c r="O39" s="27">
        <f t="shared" si="4"/>
        <v>22.343821249430004</v>
      </c>
    </row>
    <row r="40" spans="1:15" ht="31.5" x14ac:dyDescent="0.25">
      <c r="A40" s="26" t="s">
        <v>202</v>
      </c>
      <c r="B40" s="220">
        <v>902</v>
      </c>
      <c r="C40" s="218" t="s">
        <v>169</v>
      </c>
      <c r="D40" s="218" t="s">
        <v>201</v>
      </c>
      <c r="E40" s="218" t="s">
        <v>203</v>
      </c>
      <c r="F40" s="218"/>
      <c r="G40" s="27">
        <f t="shared" ref="G40:L41" si="36">G41</f>
        <v>3545.6</v>
      </c>
      <c r="H40" s="27">
        <f t="shared" si="36"/>
        <v>2459.6</v>
      </c>
      <c r="I40" s="27">
        <f t="shared" si="36"/>
        <v>3545.6</v>
      </c>
      <c r="J40" s="27">
        <f t="shared" si="36"/>
        <v>3232.8</v>
      </c>
      <c r="K40" s="27">
        <f t="shared" si="36"/>
        <v>3232.8</v>
      </c>
      <c r="L40" s="27">
        <f t="shared" si="36"/>
        <v>3232.8</v>
      </c>
      <c r="M40" s="27">
        <f t="shared" ref="M40:N41" si="37">M41</f>
        <v>3545.6</v>
      </c>
      <c r="N40" s="27">
        <f t="shared" si="37"/>
        <v>2091.6999999999998</v>
      </c>
      <c r="O40" s="27">
        <f t="shared" si="4"/>
        <v>58.994246389891693</v>
      </c>
    </row>
    <row r="41" spans="1:15" ht="94.5" x14ac:dyDescent="0.25">
      <c r="A41" s="26" t="s">
        <v>178</v>
      </c>
      <c r="B41" s="220">
        <v>902</v>
      </c>
      <c r="C41" s="218" t="s">
        <v>169</v>
      </c>
      <c r="D41" s="218" t="s">
        <v>201</v>
      </c>
      <c r="E41" s="218" t="s">
        <v>203</v>
      </c>
      <c r="F41" s="218" t="s">
        <v>179</v>
      </c>
      <c r="G41" s="27">
        <f>G42</f>
        <v>3545.6</v>
      </c>
      <c r="H41" s="27">
        <f>H42</f>
        <v>2459.6</v>
      </c>
      <c r="I41" s="27">
        <f t="shared" si="36"/>
        <v>3545.6</v>
      </c>
      <c r="J41" s="27">
        <f t="shared" si="36"/>
        <v>3232.8</v>
      </c>
      <c r="K41" s="27">
        <f t="shared" si="36"/>
        <v>3232.8</v>
      </c>
      <c r="L41" s="27">
        <f t="shared" si="36"/>
        <v>3232.8</v>
      </c>
      <c r="M41" s="27">
        <f t="shared" si="37"/>
        <v>3545.6</v>
      </c>
      <c r="N41" s="27">
        <f t="shared" si="37"/>
        <v>2091.6999999999998</v>
      </c>
      <c r="O41" s="27">
        <f t="shared" si="4"/>
        <v>58.994246389891693</v>
      </c>
    </row>
    <row r="42" spans="1:15" ht="31.5" x14ac:dyDescent="0.25">
      <c r="A42" s="26" t="s">
        <v>180</v>
      </c>
      <c r="B42" s="220">
        <v>902</v>
      </c>
      <c r="C42" s="218" t="s">
        <v>169</v>
      </c>
      <c r="D42" s="218" t="s">
        <v>201</v>
      </c>
      <c r="E42" s="218" t="s">
        <v>203</v>
      </c>
      <c r="F42" s="218" t="s">
        <v>181</v>
      </c>
      <c r="G42" s="28">
        <v>3545.6</v>
      </c>
      <c r="H42" s="28">
        <v>2459.6</v>
      </c>
      <c r="I42" s="28">
        <v>3545.6</v>
      </c>
      <c r="J42" s="28">
        <v>3232.8</v>
      </c>
      <c r="K42" s="28">
        <f>J42</f>
        <v>3232.8</v>
      </c>
      <c r="L42" s="28">
        <f>K42</f>
        <v>3232.8</v>
      </c>
      <c r="M42" s="28">
        <v>3545.6</v>
      </c>
      <c r="N42" s="28">
        <v>2091.6999999999998</v>
      </c>
      <c r="O42" s="27">
        <f t="shared" si="4"/>
        <v>58.994246389891693</v>
      </c>
    </row>
    <row r="43" spans="1:15" ht="47.25" x14ac:dyDescent="0.25">
      <c r="A43" s="26" t="s">
        <v>261</v>
      </c>
      <c r="B43" s="220">
        <v>902</v>
      </c>
      <c r="C43" s="218" t="s">
        <v>169</v>
      </c>
      <c r="D43" s="218" t="s">
        <v>201</v>
      </c>
      <c r="E43" s="218" t="s">
        <v>960</v>
      </c>
      <c r="F43" s="218"/>
      <c r="G43" s="28"/>
      <c r="H43" s="28"/>
      <c r="I43" s="28"/>
      <c r="J43" s="28"/>
      <c r="K43" s="28"/>
      <c r="L43" s="28"/>
      <c r="M43" s="28">
        <f>M44+M46</f>
        <v>2951.6000000000004</v>
      </c>
      <c r="N43" s="28">
        <f>N44+N46</f>
        <v>2089.6999999999998</v>
      </c>
      <c r="O43" s="27">
        <f t="shared" si="4"/>
        <v>70.798888738311405</v>
      </c>
    </row>
    <row r="44" spans="1:15" ht="94.5" x14ac:dyDescent="0.25">
      <c r="A44" s="26" t="s">
        <v>178</v>
      </c>
      <c r="B44" s="220">
        <v>902</v>
      </c>
      <c r="C44" s="218" t="s">
        <v>169</v>
      </c>
      <c r="D44" s="218" t="s">
        <v>201</v>
      </c>
      <c r="E44" s="218" t="s">
        <v>960</v>
      </c>
      <c r="F44" s="218" t="s">
        <v>179</v>
      </c>
      <c r="G44" s="28"/>
      <c r="H44" s="28"/>
      <c r="I44" s="28"/>
      <c r="J44" s="28"/>
      <c r="K44" s="28"/>
      <c r="L44" s="28"/>
      <c r="M44" s="28">
        <f>M45</f>
        <v>2326.2000000000003</v>
      </c>
      <c r="N44" s="28">
        <f>N45</f>
        <v>1703.5</v>
      </c>
      <c r="O44" s="27">
        <f t="shared" si="4"/>
        <v>73.231020548534076</v>
      </c>
    </row>
    <row r="45" spans="1:15" ht="31.5" x14ac:dyDescent="0.25">
      <c r="A45" s="26" t="s">
        <v>180</v>
      </c>
      <c r="B45" s="220">
        <v>902</v>
      </c>
      <c r="C45" s="218" t="s">
        <v>169</v>
      </c>
      <c r="D45" s="218" t="s">
        <v>201</v>
      </c>
      <c r="E45" s="218" t="s">
        <v>960</v>
      </c>
      <c r="F45" s="218" t="s">
        <v>181</v>
      </c>
      <c r="G45" s="28">
        <f>1952.2-57.2</f>
        <v>1895</v>
      </c>
      <c r="H45" s="28">
        <v>1551.3</v>
      </c>
      <c r="I45" s="28">
        <f t="shared" ref="I45" si="38">1952.2-57.2</f>
        <v>1895</v>
      </c>
      <c r="J45" s="28">
        <v>1777</v>
      </c>
      <c r="K45" s="28">
        <v>1777</v>
      </c>
      <c r="L45" s="28">
        <v>1777</v>
      </c>
      <c r="M45" s="28">
        <f>1777+95.4+453.8</f>
        <v>2326.2000000000003</v>
      </c>
      <c r="N45" s="28">
        <v>1703.5</v>
      </c>
      <c r="O45" s="27">
        <f t="shared" si="4"/>
        <v>73.231020548534076</v>
      </c>
    </row>
    <row r="46" spans="1:15" ht="47.25" x14ac:dyDescent="0.25">
      <c r="A46" s="26" t="s">
        <v>249</v>
      </c>
      <c r="B46" s="220">
        <v>902</v>
      </c>
      <c r="C46" s="218" t="s">
        <v>169</v>
      </c>
      <c r="D46" s="218" t="s">
        <v>201</v>
      </c>
      <c r="E46" s="218" t="s">
        <v>960</v>
      </c>
      <c r="F46" s="218" t="s">
        <v>183</v>
      </c>
      <c r="G46" s="27">
        <f>G47</f>
        <v>625.4</v>
      </c>
      <c r="H46" s="27">
        <f>H47</f>
        <v>322.5</v>
      </c>
      <c r="I46" s="27">
        <f t="shared" ref="I46:N46" si="39">I47</f>
        <v>597.5</v>
      </c>
      <c r="J46" s="27">
        <f t="shared" si="39"/>
        <v>669.3</v>
      </c>
      <c r="K46" s="27">
        <f t="shared" si="39"/>
        <v>700.3</v>
      </c>
      <c r="L46" s="27">
        <f t="shared" si="39"/>
        <v>721.3</v>
      </c>
      <c r="M46" s="27">
        <f t="shared" si="39"/>
        <v>625.4</v>
      </c>
      <c r="N46" s="27">
        <f t="shared" si="39"/>
        <v>386.2</v>
      </c>
      <c r="O46" s="27">
        <f t="shared" si="4"/>
        <v>61.752478413815162</v>
      </c>
    </row>
    <row r="47" spans="1:15" ht="47.25" x14ac:dyDescent="0.25">
      <c r="A47" s="26" t="s">
        <v>184</v>
      </c>
      <c r="B47" s="220">
        <v>902</v>
      </c>
      <c r="C47" s="218" t="s">
        <v>169</v>
      </c>
      <c r="D47" s="218" t="s">
        <v>201</v>
      </c>
      <c r="E47" s="218" t="s">
        <v>960</v>
      </c>
      <c r="F47" s="218" t="s">
        <v>185</v>
      </c>
      <c r="G47" s="27">
        <f>821.9-196.5</f>
        <v>625.4</v>
      </c>
      <c r="H47" s="27">
        <v>322.5</v>
      </c>
      <c r="I47" s="27">
        <v>597.5</v>
      </c>
      <c r="J47" s="27">
        <v>669.3</v>
      </c>
      <c r="K47" s="27">
        <v>700.3</v>
      </c>
      <c r="L47" s="27">
        <v>721.3</v>
      </c>
      <c r="M47" s="27">
        <f t="shared" ref="M47" si="40">821.9-196.5</f>
        <v>625.4</v>
      </c>
      <c r="N47" s="27">
        <v>386.2</v>
      </c>
      <c r="O47" s="27">
        <f t="shared" si="4"/>
        <v>61.752478413815162</v>
      </c>
    </row>
    <row r="48" spans="1:15" ht="15.75" x14ac:dyDescent="0.25">
      <c r="A48" s="26" t="s">
        <v>192</v>
      </c>
      <c r="B48" s="220">
        <v>902</v>
      </c>
      <c r="C48" s="218" t="s">
        <v>169</v>
      </c>
      <c r="D48" s="218" t="s">
        <v>201</v>
      </c>
      <c r="E48" s="218" t="s">
        <v>193</v>
      </c>
      <c r="F48" s="218"/>
      <c r="G48" s="30">
        <f>G49</f>
        <v>8079</v>
      </c>
      <c r="H48" s="30">
        <f>H49</f>
        <v>7046.9000000000005</v>
      </c>
      <c r="I48" s="30">
        <f t="shared" ref="I48:L48" si="41">I49</f>
        <v>8035.6</v>
      </c>
      <c r="J48" s="30">
        <f t="shared" si="41"/>
        <v>2339.9</v>
      </c>
      <c r="K48" s="30">
        <f t="shared" si="41"/>
        <v>2339.9</v>
      </c>
      <c r="L48" s="30">
        <f t="shared" si="41"/>
        <v>2339.9</v>
      </c>
      <c r="M48" s="30">
        <f t="shared" ref="M48:N48" si="42">M49</f>
        <v>2553.5</v>
      </c>
      <c r="N48" s="30">
        <f t="shared" si="42"/>
        <v>1801.7</v>
      </c>
      <c r="O48" s="27">
        <f t="shared" si="4"/>
        <v>70.558057568043864</v>
      </c>
    </row>
    <row r="49" spans="1:16" ht="31.5" x14ac:dyDescent="0.25">
      <c r="A49" s="26" t="s">
        <v>204</v>
      </c>
      <c r="B49" s="220">
        <v>902</v>
      </c>
      <c r="C49" s="218" t="s">
        <v>169</v>
      </c>
      <c r="D49" s="218" t="s">
        <v>201</v>
      </c>
      <c r="E49" s="218" t="s">
        <v>205</v>
      </c>
      <c r="F49" s="218"/>
      <c r="G49" s="27">
        <f>G50+G52</f>
        <v>8079</v>
      </c>
      <c r="H49" s="27">
        <f>H50+H52</f>
        <v>7046.9000000000005</v>
      </c>
      <c r="I49" s="27">
        <f t="shared" ref="I49:L49" si="43">I50+I52</f>
        <v>8035.6</v>
      </c>
      <c r="J49" s="27">
        <f t="shared" si="43"/>
        <v>2339.9</v>
      </c>
      <c r="K49" s="27">
        <f t="shared" si="43"/>
        <v>2339.9</v>
      </c>
      <c r="L49" s="27">
        <f t="shared" si="43"/>
        <v>2339.9</v>
      </c>
      <c r="M49" s="27">
        <f t="shared" ref="M49:N49" si="44">M50+M52</f>
        <v>2553.5</v>
      </c>
      <c r="N49" s="27">
        <f t="shared" si="44"/>
        <v>1801.7</v>
      </c>
      <c r="O49" s="27">
        <f t="shared" si="4"/>
        <v>70.558057568043864</v>
      </c>
    </row>
    <row r="50" spans="1:16" ht="94.5" x14ac:dyDescent="0.25">
      <c r="A50" s="26" t="s">
        <v>178</v>
      </c>
      <c r="B50" s="220">
        <v>902</v>
      </c>
      <c r="C50" s="218" t="s">
        <v>169</v>
      </c>
      <c r="D50" s="218" t="s">
        <v>201</v>
      </c>
      <c r="E50" s="218" t="s">
        <v>205</v>
      </c>
      <c r="F50" s="218" t="s">
        <v>179</v>
      </c>
      <c r="G50" s="27">
        <f>G51</f>
        <v>5821.2</v>
      </c>
      <c r="H50" s="27">
        <f>H51</f>
        <v>5210.1000000000004</v>
      </c>
      <c r="I50" s="27">
        <f t="shared" ref="I50:L50" si="45">I51</f>
        <v>5817.2</v>
      </c>
      <c r="J50" s="27">
        <f t="shared" si="45"/>
        <v>2339.9</v>
      </c>
      <c r="K50" s="27">
        <f t="shared" si="45"/>
        <v>2339.9</v>
      </c>
      <c r="L50" s="27">
        <f t="shared" si="45"/>
        <v>2339.9</v>
      </c>
      <c r="M50" s="27">
        <f t="shared" ref="M50:N50" si="46">M51</f>
        <v>2553.5</v>
      </c>
      <c r="N50" s="27">
        <f t="shared" si="46"/>
        <v>1801.7</v>
      </c>
      <c r="O50" s="27">
        <f t="shared" si="4"/>
        <v>70.558057568043864</v>
      </c>
    </row>
    <row r="51" spans="1:16" ht="31.5" x14ac:dyDescent="0.25">
      <c r="A51" s="26" t="s">
        <v>180</v>
      </c>
      <c r="B51" s="220">
        <v>902</v>
      </c>
      <c r="C51" s="218" t="s">
        <v>169</v>
      </c>
      <c r="D51" s="218" t="s">
        <v>201</v>
      </c>
      <c r="E51" s="218" t="s">
        <v>205</v>
      </c>
      <c r="F51" s="218" t="s">
        <v>181</v>
      </c>
      <c r="G51" s="28">
        <f>6958.6+88.4-2398.3+1112.5+60</f>
        <v>5821.2</v>
      </c>
      <c r="H51" s="28">
        <v>5210.1000000000004</v>
      </c>
      <c r="I51" s="28">
        <v>5817.2</v>
      </c>
      <c r="J51" s="28">
        <v>2339.9</v>
      </c>
      <c r="K51" s="28">
        <v>2339.9</v>
      </c>
      <c r="L51" s="28">
        <v>2339.9</v>
      </c>
      <c r="M51" s="28">
        <f>2339.9+250-36.4</f>
        <v>2553.5</v>
      </c>
      <c r="N51" s="28">
        <v>1801.7</v>
      </c>
      <c r="O51" s="27">
        <f t="shared" si="4"/>
        <v>70.558057568043864</v>
      </c>
    </row>
    <row r="52" spans="1:16" ht="31.5" hidden="1" x14ac:dyDescent="0.25">
      <c r="A52" s="26" t="s">
        <v>182</v>
      </c>
      <c r="B52" s="220">
        <v>902</v>
      </c>
      <c r="C52" s="218" t="s">
        <v>169</v>
      </c>
      <c r="D52" s="218" t="s">
        <v>201</v>
      </c>
      <c r="E52" s="218" t="s">
        <v>205</v>
      </c>
      <c r="F52" s="218" t="s">
        <v>183</v>
      </c>
      <c r="G52" s="27">
        <f>G53</f>
        <v>2257.8000000000002</v>
      </c>
      <c r="H52" s="27">
        <f>H53</f>
        <v>1836.8</v>
      </c>
      <c r="I52" s="27">
        <f t="shared" ref="I52:L52" si="47">I53</f>
        <v>2218.4</v>
      </c>
      <c r="J52" s="27">
        <f t="shared" si="47"/>
        <v>0</v>
      </c>
      <c r="K52" s="27">
        <f t="shared" si="47"/>
        <v>0</v>
      </c>
      <c r="L52" s="27">
        <f t="shared" si="47"/>
        <v>0</v>
      </c>
      <c r="M52" s="27">
        <f t="shared" ref="M52:N52" si="48">M53</f>
        <v>0</v>
      </c>
      <c r="N52" s="27">
        <f t="shared" si="48"/>
        <v>0</v>
      </c>
      <c r="O52" s="27" t="e">
        <f t="shared" si="4"/>
        <v>#DIV/0!</v>
      </c>
    </row>
    <row r="53" spans="1:16" ht="47.25" hidden="1" x14ac:dyDescent="0.25">
      <c r="A53" s="26" t="s">
        <v>184</v>
      </c>
      <c r="B53" s="220">
        <v>902</v>
      </c>
      <c r="C53" s="218" t="s">
        <v>169</v>
      </c>
      <c r="D53" s="218" t="s">
        <v>201</v>
      </c>
      <c r="E53" s="218" t="s">
        <v>205</v>
      </c>
      <c r="F53" s="218" t="s">
        <v>185</v>
      </c>
      <c r="G53" s="28">
        <f>2109.3+129.9+835.5-1438.1+621.2</f>
        <v>2257.8000000000002</v>
      </c>
      <c r="H53" s="28">
        <v>1836.8</v>
      </c>
      <c r="I53" s="28">
        <v>2218.4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7" t="e">
        <f t="shared" si="4"/>
        <v>#DIV/0!</v>
      </c>
    </row>
    <row r="54" spans="1:16" ht="63" x14ac:dyDescent="0.25">
      <c r="A54" s="24" t="s">
        <v>170</v>
      </c>
      <c r="B54" s="217">
        <v>902</v>
      </c>
      <c r="C54" s="219" t="s">
        <v>169</v>
      </c>
      <c r="D54" s="219" t="s">
        <v>171</v>
      </c>
      <c r="E54" s="219"/>
      <c r="F54" s="218"/>
      <c r="G54" s="22">
        <f>G55</f>
        <v>1081.7</v>
      </c>
      <c r="H54" s="22">
        <f>H55</f>
        <v>917.4</v>
      </c>
      <c r="I54" s="22">
        <f t="shared" ref="I54:L54" si="49">I55</f>
        <v>1081.7</v>
      </c>
      <c r="J54" s="22">
        <f t="shared" si="49"/>
        <v>2634.4</v>
      </c>
      <c r="K54" s="22">
        <f t="shared" si="49"/>
        <v>2634.4</v>
      </c>
      <c r="L54" s="22">
        <f t="shared" si="49"/>
        <v>2634.4</v>
      </c>
      <c r="M54" s="22">
        <f t="shared" ref="M54:N56" si="50">M55</f>
        <v>1081.7</v>
      </c>
      <c r="N54" s="22">
        <f t="shared" si="50"/>
        <v>847.8</v>
      </c>
      <c r="O54" s="22">
        <f t="shared" si="4"/>
        <v>78.376629379680125</v>
      </c>
    </row>
    <row r="55" spans="1:16" ht="21" customHeight="1" x14ac:dyDescent="0.25">
      <c r="A55" s="26" t="s">
        <v>172</v>
      </c>
      <c r="B55" s="220">
        <v>902</v>
      </c>
      <c r="C55" s="218" t="s">
        <v>169</v>
      </c>
      <c r="D55" s="218" t="s">
        <v>171</v>
      </c>
      <c r="E55" s="218" t="s">
        <v>173</v>
      </c>
      <c r="F55" s="218"/>
      <c r="G55" s="27">
        <f t="shared" ref="G55:L56" si="51">G56</f>
        <v>1081.7</v>
      </c>
      <c r="H55" s="27">
        <f t="shared" si="51"/>
        <v>917.4</v>
      </c>
      <c r="I55" s="27">
        <f t="shared" si="51"/>
        <v>1081.7</v>
      </c>
      <c r="J55" s="27">
        <f t="shared" si="51"/>
        <v>2634.4</v>
      </c>
      <c r="K55" s="27">
        <f t="shared" si="51"/>
        <v>2634.4</v>
      </c>
      <c r="L55" s="27">
        <f t="shared" si="51"/>
        <v>2634.4</v>
      </c>
      <c r="M55" s="27">
        <f t="shared" si="50"/>
        <v>1081.7</v>
      </c>
      <c r="N55" s="27">
        <f t="shared" si="50"/>
        <v>847.8</v>
      </c>
      <c r="O55" s="27">
        <f t="shared" si="4"/>
        <v>78.376629379680125</v>
      </c>
    </row>
    <row r="56" spans="1:16" ht="31.5" x14ac:dyDescent="0.25">
      <c r="A56" s="26" t="s">
        <v>174</v>
      </c>
      <c r="B56" s="220">
        <v>902</v>
      </c>
      <c r="C56" s="218" t="s">
        <v>169</v>
      </c>
      <c r="D56" s="218" t="s">
        <v>171</v>
      </c>
      <c r="E56" s="218" t="s">
        <v>175</v>
      </c>
      <c r="F56" s="218"/>
      <c r="G56" s="27">
        <f>G57</f>
        <v>1081.7</v>
      </c>
      <c r="H56" s="27">
        <f>H57</f>
        <v>917.4</v>
      </c>
      <c r="I56" s="27">
        <f t="shared" si="51"/>
        <v>1081.7</v>
      </c>
      <c r="J56" s="27">
        <f t="shared" si="51"/>
        <v>2634.4</v>
      </c>
      <c r="K56" s="27">
        <f t="shared" si="51"/>
        <v>2634.4</v>
      </c>
      <c r="L56" s="27">
        <f t="shared" si="51"/>
        <v>2634.4</v>
      </c>
      <c r="M56" s="27">
        <f t="shared" si="50"/>
        <v>1081.7</v>
      </c>
      <c r="N56" s="27">
        <f t="shared" si="50"/>
        <v>847.8</v>
      </c>
      <c r="O56" s="27">
        <f t="shared" si="4"/>
        <v>78.376629379680125</v>
      </c>
    </row>
    <row r="57" spans="1:16" ht="47.25" x14ac:dyDescent="0.25">
      <c r="A57" s="26" t="s">
        <v>176</v>
      </c>
      <c r="B57" s="220">
        <v>902</v>
      </c>
      <c r="C57" s="218" t="s">
        <v>169</v>
      </c>
      <c r="D57" s="218" t="s">
        <v>171</v>
      </c>
      <c r="E57" s="218" t="s">
        <v>177</v>
      </c>
      <c r="F57" s="218"/>
      <c r="G57" s="27">
        <f>G58+G60</f>
        <v>1081.7</v>
      </c>
      <c r="H57" s="27">
        <f>H58+H60</f>
        <v>917.4</v>
      </c>
      <c r="I57" s="27">
        <f t="shared" ref="I57:L57" si="52">I58+I60</f>
        <v>1081.7</v>
      </c>
      <c r="J57" s="27">
        <f t="shared" si="52"/>
        <v>2634.4</v>
      </c>
      <c r="K57" s="27">
        <f t="shared" si="52"/>
        <v>2634.4</v>
      </c>
      <c r="L57" s="27">
        <f t="shared" si="52"/>
        <v>2634.4</v>
      </c>
      <c r="M57" s="27">
        <f t="shared" ref="M57:N57" si="53">M58+M60</f>
        <v>1081.7</v>
      </c>
      <c r="N57" s="27">
        <f t="shared" si="53"/>
        <v>847.8</v>
      </c>
      <c r="O57" s="27">
        <f t="shared" si="4"/>
        <v>78.376629379680125</v>
      </c>
    </row>
    <row r="58" spans="1:16" ht="94.5" x14ac:dyDescent="0.25">
      <c r="A58" s="26" t="s">
        <v>178</v>
      </c>
      <c r="B58" s="220">
        <v>902</v>
      </c>
      <c r="C58" s="218" t="s">
        <v>169</v>
      </c>
      <c r="D58" s="218" t="s">
        <v>171</v>
      </c>
      <c r="E58" s="218" t="s">
        <v>177</v>
      </c>
      <c r="F58" s="218" t="s">
        <v>179</v>
      </c>
      <c r="G58" s="27">
        <f>G59</f>
        <v>1081.7</v>
      </c>
      <c r="H58" s="27">
        <f>H59</f>
        <v>917.4</v>
      </c>
      <c r="I58" s="27">
        <f t="shared" ref="I58:L58" si="54">I59</f>
        <v>1081.7</v>
      </c>
      <c r="J58" s="27">
        <f t="shared" si="54"/>
        <v>2634.4</v>
      </c>
      <c r="K58" s="27">
        <f t="shared" si="54"/>
        <v>2634.4</v>
      </c>
      <c r="L58" s="27">
        <f t="shared" si="54"/>
        <v>2634.4</v>
      </c>
      <c r="M58" s="27">
        <f t="shared" ref="M58:N58" si="55">M59</f>
        <v>1081.7</v>
      </c>
      <c r="N58" s="27">
        <f t="shared" si="55"/>
        <v>847.8</v>
      </c>
      <c r="O58" s="27">
        <f t="shared" si="4"/>
        <v>78.376629379680125</v>
      </c>
    </row>
    <row r="59" spans="1:16" ht="31.5" x14ac:dyDescent="0.25">
      <c r="A59" s="26" t="s">
        <v>180</v>
      </c>
      <c r="B59" s="220">
        <v>902</v>
      </c>
      <c r="C59" s="218" t="s">
        <v>169</v>
      </c>
      <c r="D59" s="218" t="s">
        <v>171</v>
      </c>
      <c r="E59" s="218" t="s">
        <v>177</v>
      </c>
      <c r="F59" s="218" t="s">
        <v>181</v>
      </c>
      <c r="G59" s="28">
        <f>1081.7</f>
        <v>1081.7</v>
      </c>
      <c r="H59" s="28">
        <v>917.4</v>
      </c>
      <c r="I59" s="28">
        <v>1081.7</v>
      </c>
      <c r="J59" s="28">
        <v>2634.4</v>
      </c>
      <c r="K59" s="28">
        <v>2634.4</v>
      </c>
      <c r="L59" s="28">
        <v>2634.4</v>
      </c>
      <c r="M59" s="28">
        <f t="shared" ref="M59" si="56">1081.7</f>
        <v>1081.7</v>
      </c>
      <c r="N59" s="28">
        <v>847.8</v>
      </c>
      <c r="O59" s="27">
        <f t="shared" si="4"/>
        <v>78.376629379680125</v>
      </c>
    </row>
    <row r="60" spans="1:16" ht="31.5" hidden="1" customHeight="1" x14ac:dyDescent="0.25">
      <c r="A60" s="26" t="s">
        <v>182</v>
      </c>
      <c r="B60" s="220">
        <v>902</v>
      </c>
      <c r="C60" s="218" t="s">
        <v>169</v>
      </c>
      <c r="D60" s="218" t="s">
        <v>171</v>
      </c>
      <c r="E60" s="218" t="s">
        <v>177</v>
      </c>
      <c r="F60" s="218" t="s">
        <v>183</v>
      </c>
      <c r="G60" s="28">
        <f>G61</f>
        <v>0</v>
      </c>
      <c r="H60" s="28">
        <f>H61</f>
        <v>0</v>
      </c>
      <c r="I60" s="28">
        <f t="shared" ref="I60:L60" si="57">I61</f>
        <v>0</v>
      </c>
      <c r="J60" s="28">
        <f t="shared" si="57"/>
        <v>0</v>
      </c>
      <c r="K60" s="28">
        <f t="shared" si="57"/>
        <v>0</v>
      </c>
      <c r="L60" s="28">
        <f t="shared" si="57"/>
        <v>0</v>
      </c>
      <c r="M60" s="28">
        <f t="shared" ref="M60:N60" si="58">M61</f>
        <v>0</v>
      </c>
      <c r="N60" s="28">
        <f t="shared" si="58"/>
        <v>0</v>
      </c>
      <c r="O60" s="27" t="e">
        <f t="shared" si="4"/>
        <v>#DIV/0!</v>
      </c>
    </row>
    <row r="61" spans="1:16" ht="47.25" hidden="1" customHeight="1" x14ac:dyDescent="0.25">
      <c r="A61" s="26" t="s">
        <v>184</v>
      </c>
      <c r="B61" s="220">
        <v>902</v>
      </c>
      <c r="C61" s="218" t="s">
        <v>169</v>
      </c>
      <c r="D61" s="218" t="s">
        <v>171</v>
      </c>
      <c r="E61" s="218" t="s">
        <v>177</v>
      </c>
      <c r="F61" s="218" t="s">
        <v>185</v>
      </c>
      <c r="G61" s="28"/>
      <c r="H61" s="28"/>
      <c r="I61" s="28"/>
      <c r="J61" s="28"/>
      <c r="K61" s="28"/>
      <c r="L61" s="28"/>
      <c r="M61" s="28"/>
      <c r="N61" s="28"/>
      <c r="O61" s="27" t="e">
        <f t="shared" si="4"/>
        <v>#DIV/0!</v>
      </c>
    </row>
    <row r="62" spans="1:16" ht="15.75" x14ac:dyDescent="0.25">
      <c r="A62" s="24" t="s">
        <v>190</v>
      </c>
      <c r="B62" s="217">
        <v>902</v>
      </c>
      <c r="C62" s="219" t="s">
        <v>169</v>
      </c>
      <c r="D62" s="219" t="s">
        <v>191</v>
      </c>
      <c r="E62" s="219"/>
      <c r="F62" s="219"/>
      <c r="G62" s="22">
        <f>G63+G67+G79+G92+G106+G96</f>
        <v>13472.8</v>
      </c>
      <c r="H62" s="22">
        <f>H63+H67+H79+H92+H106+H96</f>
        <v>8996.5</v>
      </c>
      <c r="I62" s="22">
        <f>I63+I67+I79+I92+I106+I96</f>
        <v>13403.699999999999</v>
      </c>
      <c r="J62" s="22">
        <f t="shared" ref="J62:L62" si="59">J63+J67+J79+J92+J106+J96</f>
        <v>14455.199999999999</v>
      </c>
      <c r="K62" s="22">
        <f t="shared" si="59"/>
        <v>14601.1</v>
      </c>
      <c r="L62" s="22">
        <f t="shared" si="59"/>
        <v>14727.4</v>
      </c>
      <c r="M62" s="22">
        <f>M63+M67+M79+M92+M106+M96</f>
        <v>10503</v>
      </c>
      <c r="N62" s="22">
        <f>N63+N67+N79+N92+N106+N96</f>
        <v>7186.2</v>
      </c>
      <c r="O62" s="22">
        <f t="shared" si="4"/>
        <v>68.420451299628667</v>
      </c>
      <c r="P62" s="142"/>
    </row>
    <row r="63" spans="1:16" ht="51" hidden="1" customHeight="1" x14ac:dyDescent="0.25">
      <c r="A63" s="26" t="s">
        <v>206</v>
      </c>
      <c r="B63" s="220">
        <v>902</v>
      </c>
      <c r="C63" s="218" t="s">
        <v>169</v>
      </c>
      <c r="D63" s="218" t="s">
        <v>191</v>
      </c>
      <c r="E63" s="218" t="s">
        <v>207</v>
      </c>
      <c r="F63" s="218"/>
      <c r="G63" s="27">
        <f>G64</f>
        <v>250</v>
      </c>
      <c r="H63" s="27">
        <f t="shared" ref="H63:H65" si="60">H64</f>
        <v>0</v>
      </c>
      <c r="I63" s="27">
        <f t="shared" ref="I63:L65" si="61">I64</f>
        <v>250</v>
      </c>
      <c r="J63" s="27">
        <f t="shared" si="61"/>
        <v>0</v>
      </c>
      <c r="K63" s="27">
        <f t="shared" si="61"/>
        <v>0</v>
      </c>
      <c r="L63" s="27">
        <f t="shared" si="61"/>
        <v>0</v>
      </c>
      <c r="M63" s="27">
        <f t="shared" ref="M63:N65" si="62">M64</f>
        <v>0</v>
      </c>
      <c r="N63" s="27">
        <f t="shared" si="62"/>
        <v>0</v>
      </c>
      <c r="O63" s="27" t="e">
        <f t="shared" si="4"/>
        <v>#DIV/0!</v>
      </c>
    </row>
    <row r="64" spans="1:16" ht="31.5" hidden="1" x14ac:dyDescent="0.25">
      <c r="A64" s="26" t="s">
        <v>208</v>
      </c>
      <c r="B64" s="220">
        <v>902</v>
      </c>
      <c r="C64" s="218" t="s">
        <v>169</v>
      </c>
      <c r="D64" s="218" t="s">
        <v>191</v>
      </c>
      <c r="E64" s="218" t="s">
        <v>209</v>
      </c>
      <c r="F64" s="218"/>
      <c r="G64" s="27">
        <f>G65</f>
        <v>250</v>
      </c>
      <c r="H64" s="27">
        <f t="shared" si="60"/>
        <v>0</v>
      </c>
      <c r="I64" s="27">
        <f t="shared" si="61"/>
        <v>250</v>
      </c>
      <c r="J64" s="27">
        <f t="shared" si="61"/>
        <v>0</v>
      </c>
      <c r="K64" s="27">
        <f t="shared" si="61"/>
        <v>0</v>
      </c>
      <c r="L64" s="27">
        <f t="shared" si="61"/>
        <v>0</v>
      </c>
      <c r="M64" s="27">
        <f t="shared" si="62"/>
        <v>0</v>
      </c>
      <c r="N64" s="27">
        <f t="shared" si="62"/>
        <v>0</v>
      </c>
      <c r="O64" s="27" t="e">
        <f t="shared" si="4"/>
        <v>#DIV/0!</v>
      </c>
    </row>
    <row r="65" spans="1:15" ht="15.75" hidden="1" x14ac:dyDescent="0.25">
      <c r="A65" s="26" t="s">
        <v>186</v>
      </c>
      <c r="B65" s="220">
        <v>902</v>
      </c>
      <c r="C65" s="218" t="s">
        <v>169</v>
      </c>
      <c r="D65" s="218" t="s">
        <v>191</v>
      </c>
      <c r="E65" s="218" t="s">
        <v>209</v>
      </c>
      <c r="F65" s="218" t="s">
        <v>196</v>
      </c>
      <c r="G65" s="27">
        <f>G66</f>
        <v>250</v>
      </c>
      <c r="H65" s="27">
        <f t="shared" si="60"/>
        <v>0</v>
      </c>
      <c r="I65" s="27">
        <f t="shared" si="61"/>
        <v>250</v>
      </c>
      <c r="J65" s="27">
        <f t="shared" si="61"/>
        <v>0</v>
      </c>
      <c r="K65" s="27">
        <f t="shared" si="61"/>
        <v>0</v>
      </c>
      <c r="L65" s="27">
        <f t="shared" si="61"/>
        <v>0</v>
      </c>
      <c r="M65" s="27">
        <f t="shared" si="62"/>
        <v>0</v>
      </c>
      <c r="N65" s="27">
        <f t="shared" si="62"/>
        <v>0</v>
      </c>
      <c r="O65" s="27" t="e">
        <f t="shared" si="4"/>
        <v>#DIV/0!</v>
      </c>
    </row>
    <row r="66" spans="1:15" ht="66.75" hidden="1" customHeight="1" x14ac:dyDescent="0.25">
      <c r="A66" s="26" t="s">
        <v>210</v>
      </c>
      <c r="B66" s="220">
        <v>902</v>
      </c>
      <c r="C66" s="218" t="s">
        <v>169</v>
      </c>
      <c r="D66" s="218" t="s">
        <v>191</v>
      </c>
      <c r="E66" s="218" t="s">
        <v>209</v>
      </c>
      <c r="F66" s="218" t="s">
        <v>211</v>
      </c>
      <c r="G66" s="27">
        <f>100+150</f>
        <v>250</v>
      </c>
      <c r="H66" s="27">
        <v>0</v>
      </c>
      <c r="I66" s="27">
        <f t="shared" ref="I66" si="63">100+150</f>
        <v>250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 t="e">
        <f t="shared" si="4"/>
        <v>#DIV/0!</v>
      </c>
    </row>
    <row r="67" spans="1:15" ht="47.25" x14ac:dyDescent="0.25">
      <c r="A67" s="26" t="s">
        <v>999</v>
      </c>
      <c r="B67" s="220">
        <v>902</v>
      </c>
      <c r="C67" s="218" t="s">
        <v>169</v>
      </c>
      <c r="D67" s="218" t="s">
        <v>191</v>
      </c>
      <c r="E67" s="218" t="s">
        <v>213</v>
      </c>
      <c r="F67" s="218"/>
      <c r="G67" s="27">
        <f>G68+G71+G76</f>
        <v>653.5</v>
      </c>
      <c r="H67" s="27">
        <f>H68+H71+H76</f>
        <v>412.49999999999994</v>
      </c>
      <c r="I67" s="27">
        <f t="shared" ref="I67:L67" si="64">I68+I71+I76</f>
        <v>653.5</v>
      </c>
      <c r="J67" s="27">
        <f t="shared" si="64"/>
        <v>668.5</v>
      </c>
      <c r="K67" s="27">
        <f t="shared" si="64"/>
        <v>668.5</v>
      </c>
      <c r="L67" s="27">
        <f t="shared" si="64"/>
        <v>668.5</v>
      </c>
      <c r="M67" s="27">
        <f t="shared" ref="M67:N67" si="65">M68+M71+M76</f>
        <v>740.5</v>
      </c>
      <c r="N67" s="27">
        <f t="shared" si="65"/>
        <v>467.8</v>
      </c>
      <c r="O67" s="27">
        <f t="shared" si="4"/>
        <v>63.173531397704252</v>
      </c>
    </row>
    <row r="68" spans="1:15" ht="31.5" x14ac:dyDescent="0.25">
      <c r="A68" s="31" t="s">
        <v>214</v>
      </c>
      <c r="B68" s="220">
        <v>902</v>
      </c>
      <c r="C68" s="218" t="s">
        <v>169</v>
      </c>
      <c r="D68" s="218" t="s">
        <v>191</v>
      </c>
      <c r="E68" s="221" t="s">
        <v>215</v>
      </c>
      <c r="F68" s="218"/>
      <c r="G68" s="27">
        <f>G69</f>
        <v>428.1</v>
      </c>
      <c r="H68" s="27">
        <f>H69</f>
        <v>269.89999999999998</v>
      </c>
      <c r="I68" s="27">
        <f t="shared" ref="I68:L69" si="66">I69</f>
        <v>428.1</v>
      </c>
      <c r="J68" s="27">
        <f t="shared" si="66"/>
        <v>428.1</v>
      </c>
      <c r="K68" s="27">
        <f t="shared" si="66"/>
        <v>428.1</v>
      </c>
      <c r="L68" s="27">
        <f t="shared" si="66"/>
        <v>428.1</v>
      </c>
      <c r="M68" s="27">
        <f t="shared" ref="M68:N69" si="67">M69</f>
        <v>491</v>
      </c>
      <c r="N68" s="27">
        <f t="shared" si="67"/>
        <v>323.60000000000002</v>
      </c>
      <c r="O68" s="27">
        <f t="shared" si="4"/>
        <v>65.906313645621182</v>
      </c>
    </row>
    <row r="69" spans="1:15" ht="31.5" x14ac:dyDescent="0.25">
      <c r="A69" s="26" t="s">
        <v>182</v>
      </c>
      <c r="B69" s="220">
        <v>902</v>
      </c>
      <c r="C69" s="218" t="s">
        <v>169</v>
      </c>
      <c r="D69" s="218" t="s">
        <v>191</v>
      </c>
      <c r="E69" s="221" t="s">
        <v>215</v>
      </c>
      <c r="F69" s="218" t="s">
        <v>183</v>
      </c>
      <c r="G69" s="27">
        <f>G70</f>
        <v>428.1</v>
      </c>
      <c r="H69" s="27">
        <f>H70</f>
        <v>269.89999999999998</v>
      </c>
      <c r="I69" s="27">
        <f t="shared" si="66"/>
        <v>428.1</v>
      </c>
      <c r="J69" s="27">
        <f t="shared" si="66"/>
        <v>428.1</v>
      </c>
      <c r="K69" s="27">
        <f t="shared" si="66"/>
        <v>428.1</v>
      </c>
      <c r="L69" s="27">
        <f t="shared" si="66"/>
        <v>428.1</v>
      </c>
      <c r="M69" s="27">
        <f t="shared" si="67"/>
        <v>491</v>
      </c>
      <c r="N69" s="27">
        <f t="shared" si="67"/>
        <v>323.60000000000002</v>
      </c>
      <c r="O69" s="27">
        <f t="shared" si="4"/>
        <v>65.906313645621182</v>
      </c>
    </row>
    <row r="70" spans="1:15" ht="47.25" x14ac:dyDescent="0.25">
      <c r="A70" s="26" t="s">
        <v>184</v>
      </c>
      <c r="B70" s="220">
        <v>902</v>
      </c>
      <c r="C70" s="218" t="s">
        <v>169</v>
      </c>
      <c r="D70" s="218" t="s">
        <v>191</v>
      </c>
      <c r="E70" s="221" t="s">
        <v>215</v>
      </c>
      <c r="F70" s="218" t="s">
        <v>185</v>
      </c>
      <c r="G70" s="27">
        <f>494.3-66.2</f>
        <v>428.1</v>
      </c>
      <c r="H70" s="27">
        <v>269.89999999999998</v>
      </c>
      <c r="I70" s="27">
        <f t="shared" ref="I70:L70" si="68">494.3-66.2</f>
        <v>428.1</v>
      </c>
      <c r="J70" s="27">
        <f t="shared" si="68"/>
        <v>428.1</v>
      </c>
      <c r="K70" s="27">
        <f t="shared" si="68"/>
        <v>428.1</v>
      </c>
      <c r="L70" s="27">
        <f t="shared" si="68"/>
        <v>428.1</v>
      </c>
      <c r="M70" s="27">
        <f>428.1+62.9</f>
        <v>491</v>
      </c>
      <c r="N70" s="27">
        <v>323.60000000000002</v>
      </c>
      <c r="O70" s="27">
        <f t="shared" si="4"/>
        <v>65.906313645621182</v>
      </c>
    </row>
    <row r="71" spans="1:15" ht="63" x14ac:dyDescent="0.25">
      <c r="A71" s="210" t="s">
        <v>216</v>
      </c>
      <c r="B71" s="220">
        <v>902</v>
      </c>
      <c r="C71" s="218" t="s">
        <v>169</v>
      </c>
      <c r="D71" s="218" t="s">
        <v>191</v>
      </c>
      <c r="E71" s="221" t="s">
        <v>217</v>
      </c>
      <c r="F71" s="218"/>
      <c r="G71" s="27">
        <f>G72+G74</f>
        <v>224.89999999999998</v>
      </c>
      <c r="H71" s="27">
        <f>H72+H74</f>
        <v>142.4</v>
      </c>
      <c r="I71" s="27">
        <f t="shared" ref="I71:L71" si="69">I72+I74</f>
        <v>224.89999999999998</v>
      </c>
      <c r="J71" s="27">
        <f t="shared" si="69"/>
        <v>239.89999999999998</v>
      </c>
      <c r="K71" s="27">
        <f t="shared" si="69"/>
        <v>239.89999999999998</v>
      </c>
      <c r="L71" s="27">
        <f t="shared" si="69"/>
        <v>239.89999999999998</v>
      </c>
      <c r="M71" s="27">
        <f t="shared" ref="M71:N71" si="70">M72+M74</f>
        <v>249.5</v>
      </c>
      <c r="N71" s="27">
        <f t="shared" si="70"/>
        <v>144.19999999999999</v>
      </c>
      <c r="O71" s="27">
        <f t="shared" si="4"/>
        <v>57.795591182364724</v>
      </c>
    </row>
    <row r="72" spans="1:15" ht="94.5" x14ac:dyDescent="0.25">
      <c r="A72" s="26" t="s">
        <v>178</v>
      </c>
      <c r="B72" s="220">
        <v>902</v>
      </c>
      <c r="C72" s="218" t="s">
        <v>169</v>
      </c>
      <c r="D72" s="218" t="s">
        <v>191</v>
      </c>
      <c r="E72" s="221" t="s">
        <v>217</v>
      </c>
      <c r="F72" s="218" t="s">
        <v>179</v>
      </c>
      <c r="G72" s="27">
        <f>G73</f>
        <v>159.69999999999999</v>
      </c>
      <c r="H72" s="27">
        <f>H73</f>
        <v>79.900000000000006</v>
      </c>
      <c r="I72" s="27">
        <f t="shared" ref="I72:L72" si="71">I73</f>
        <v>159.69999999999999</v>
      </c>
      <c r="J72" s="27">
        <f t="shared" si="71"/>
        <v>159.69999999999999</v>
      </c>
      <c r="K72" s="27">
        <f t="shared" si="71"/>
        <v>159.69999999999999</v>
      </c>
      <c r="L72" s="27">
        <f t="shared" si="71"/>
        <v>159.69999999999999</v>
      </c>
      <c r="M72" s="27">
        <f t="shared" ref="M72:N72" si="72">M73</f>
        <v>159.69999999999999</v>
      </c>
      <c r="N72" s="27">
        <f t="shared" si="72"/>
        <v>102</v>
      </c>
      <c r="O72" s="27">
        <f t="shared" si="4"/>
        <v>63.869755792110219</v>
      </c>
    </row>
    <row r="73" spans="1:15" ht="31.5" x14ac:dyDescent="0.25">
      <c r="A73" s="26" t="s">
        <v>180</v>
      </c>
      <c r="B73" s="220">
        <v>902</v>
      </c>
      <c r="C73" s="218" t="s">
        <v>169</v>
      </c>
      <c r="D73" s="218" t="s">
        <v>191</v>
      </c>
      <c r="E73" s="221" t="s">
        <v>217</v>
      </c>
      <c r="F73" s="218" t="s">
        <v>181</v>
      </c>
      <c r="G73" s="27">
        <v>159.69999999999999</v>
      </c>
      <c r="H73" s="27">
        <v>79.900000000000006</v>
      </c>
      <c r="I73" s="27">
        <v>159.69999999999999</v>
      </c>
      <c r="J73" s="27">
        <v>159.69999999999999</v>
      </c>
      <c r="K73" s="27">
        <v>159.69999999999999</v>
      </c>
      <c r="L73" s="27">
        <v>159.69999999999999</v>
      </c>
      <c r="M73" s="27">
        <v>159.69999999999999</v>
      </c>
      <c r="N73" s="27">
        <v>102</v>
      </c>
      <c r="O73" s="27">
        <f t="shared" si="4"/>
        <v>63.869755792110219</v>
      </c>
    </row>
    <row r="74" spans="1:15" ht="31.5" x14ac:dyDescent="0.25">
      <c r="A74" s="26" t="s">
        <v>182</v>
      </c>
      <c r="B74" s="220">
        <v>902</v>
      </c>
      <c r="C74" s="218" t="s">
        <v>169</v>
      </c>
      <c r="D74" s="218" t="s">
        <v>191</v>
      </c>
      <c r="E74" s="221" t="s">
        <v>217</v>
      </c>
      <c r="F74" s="218" t="s">
        <v>183</v>
      </c>
      <c r="G74" s="27">
        <f>G75</f>
        <v>65.2</v>
      </c>
      <c r="H74" s="27">
        <f>H75</f>
        <v>62.5</v>
      </c>
      <c r="I74" s="27">
        <f t="shared" ref="I74:L74" si="73">I75</f>
        <v>65.2</v>
      </c>
      <c r="J74" s="27">
        <f t="shared" si="73"/>
        <v>80.199999999999989</v>
      </c>
      <c r="K74" s="27">
        <f t="shared" si="73"/>
        <v>80.199999999999989</v>
      </c>
      <c r="L74" s="27">
        <f t="shared" si="73"/>
        <v>80.199999999999989</v>
      </c>
      <c r="M74" s="27">
        <f t="shared" ref="M74:N74" si="74">M75</f>
        <v>89.800000000000011</v>
      </c>
      <c r="N74" s="27">
        <f t="shared" si="74"/>
        <v>42.2</v>
      </c>
      <c r="O74" s="27">
        <f t="shared" si="4"/>
        <v>46.993318485523382</v>
      </c>
    </row>
    <row r="75" spans="1:15" ht="47.25" x14ac:dyDescent="0.25">
      <c r="A75" s="26" t="s">
        <v>184</v>
      </c>
      <c r="B75" s="220">
        <v>902</v>
      </c>
      <c r="C75" s="218" t="s">
        <v>169</v>
      </c>
      <c r="D75" s="218" t="s">
        <v>191</v>
      </c>
      <c r="E75" s="221" t="s">
        <v>217</v>
      </c>
      <c r="F75" s="218" t="s">
        <v>185</v>
      </c>
      <c r="G75" s="27">
        <f>66.2-0.5-0.5</f>
        <v>65.2</v>
      </c>
      <c r="H75" s="27">
        <v>62.5</v>
      </c>
      <c r="I75" s="27">
        <f t="shared" ref="I75" si="75">66.2-0.5-0.5</f>
        <v>65.2</v>
      </c>
      <c r="J75" s="27">
        <f>669-J70-J73-J78-0.5</f>
        <v>80.199999999999989</v>
      </c>
      <c r="K75" s="27">
        <f>J75</f>
        <v>80.199999999999989</v>
      </c>
      <c r="L75" s="27">
        <f>K75</f>
        <v>80.199999999999989</v>
      </c>
      <c r="M75" s="27">
        <f>65.2+24.6</f>
        <v>89.800000000000011</v>
      </c>
      <c r="N75" s="27">
        <v>42.2</v>
      </c>
      <c r="O75" s="27">
        <f t="shared" si="4"/>
        <v>46.993318485523382</v>
      </c>
    </row>
    <row r="76" spans="1:15" ht="47.25" hidden="1" x14ac:dyDescent="0.25">
      <c r="A76" s="35" t="s">
        <v>242</v>
      </c>
      <c r="B76" s="220">
        <v>902</v>
      </c>
      <c r="C76" s="218" t="s">
        <v>169</v>
      </c>
      <c r="D76" s="218" t="s">
        <v>191</v>
      </c>
      <c r="E76" s="221" t="s">
        <v>763</v>
      </c>
      <c r="F76" s="218"/>
      <c r="G76" s="27">
        <f>G77</f>
        <v>0.5</v>
      </c>
      <c r="H76" s="27">
        <f>H77</f>
        <v>0.2</v>
      </c>
      <c r="I76" s="27">
        <f t="shared" ref="I76:L77" si="76">I77</f>
        <v>0.5</v>
      </c>
      <c r="J76" s="27">
        <f t="shared" si="76"/>
        <v>0.5</v>
      </c>
      <c r="K76" s="27">
        <f t="shared" si="76"/>
        <v>0.5</v>
      </c>
      <c r="L76" s="27">
        <f t="shared" si="76"/>
        <v>0.5</v>
      </c>
      <c r="M76" s="27">
        <f t="shared" ref="M76:N77" si="77">M77</f>
        <v>0</v>
      </c>
      <c r="N76" s="27">
        <f t="shared" si="77"/>
        <v>0</v>
      </c>
      <c r="O76" s="27" t="e">
        <f t="shared" ref="O76:O139" si="78">N76/M76*100</f>
        <v>#DIV/0!</v>
      </c>
    </row>
    <row r="77" spans="1:15" ht="31.5" hidden="1" x14ac:dyDescent="0.25">
      <c r="A77" s="26" t="s">
        <v>182</v>
      </c>
      <c r="B77" s="220">
        <v>902</v>
      </c>
      <c r="C77" s="218" t="s">
        <v>169</v>
      </c>
      <c r="D77" s="218" t="s">
        <v>191</v>
      </c>
      <c r="E77" s="221" t="s">
        <v>763</v>
      </c>
      <c r="F77" s="218" t="s">
        <v>183</v>
      </c>
      <c r="G77" s="27">
        <f>G78</f>
        <v>0.5</v>
      </c>
      <c r="H77" s="27">
        <f>H78</f>
        <v>0.2</v>
      </c>
      <c r="I77" s="27">
        <f t="shared" si="76"/>
        <v>0.5</v>
      </c>
      <c r="J77" s="27">
        <f t="shared" si="76"/>
        <v>0.5</v>
      </c>
      <c r="K77" s="27">
        <f t="shared" si="76"/>
        <v>0.5</v>
      </c>
      <c r="L77" s="27">
        <f t="shared" si="76"/>
        <v>0.5</v>
      </c>
      <c r="M77" s="27">
        <f t="shared" si="77"/>
        <v>0</v>
      </c>
      <c r="N77" s="27">
        <f t="shared" si="77"/>
        <v>0</v>
      </c>
      <c r="O77" s="27" t="e">
        <f t="shared" si="78"/>
        <v>#DIV/0!</v>
      </c>
    </row>
    <row r="78" spans="1:15" ht="47.25" hidden="1" x14ac:dyDescent="0.25">
      <c r="A78" s="26" t="s">
        <v>184</v>
      </c>
      <c r="B78" s="220">
        <v>902</v>
      </c>
      <c r="C78" s="218" t="s">
        <v>169</v>
      </c>
      <c r="D78" s="218" t="s">
        <v>191</v>
      </c>
      <c r="E78" s="221" t="s">
        <v>763</v>
      </c>
      <c r="F78" s="218" t="s">
        <v>185</v>
      </c>
      <c r="G78" s="27">
        <v>0.5</v>
      </c>
      <c r="H78" s="27">
        <v>0.2</v>
      </c>
      <c r="I78" s="27">
        <v>0.5</v>
      </c>
      <c r="J78" s="27">
        <v>0.5</v>
      </c>
      <c r="K78" s="27">
        <v>0.5</v>
      </c>
      <c r="L78" s="27">
        <v>0.5</v>
      </c>
      <c r="M78" s="27">
        <f>0.5-0.5</f>
        <v>0</v>
      </c>
      <c r="N78" s="27">
        <f>0.5-0.5</f>
        <v>0</v>
      </c>
      <c r="O78" s="27" t="e">
        <f t="shared" si="78"/>
        <v>#DIV/0!</v>
      </c>
    </row>
    <row r="79" spans="1:15" ht="94.5" x14ac:dyDescent="0.25">
      <c r="A79" s="31" t="s">
        <v>218</v>
      </c>
      <c r="B79" s="220">
        <v>902</v>
      </c>
      <c r="C79" s="222" t="s">
        <v>169</v>
      </c>
      <c r="D79" s="222" t="s">
        <v>191</v>
      </c>
      <c r="E79" s="223" t="s">
        <v>219</v>
      </c>
      <c r="F79" s="222"/>
      <c r="G79" s="27">
        <f>G80+G84+G88</f>
        <v>80</v>
      </c>
      <c r="H79" s="27">
        <f>H80+H84+H88</f>
        <v>14.6</v>
      </c>
      <c r="I79" s="27">
        <f>I80+I84+I88</f>
        <v>80</v>
      </c>
      <c r="J79" s="27">
        <f t="shared" ref="J79:M79" si="79">J80+J84+J88</f>
        <v>120</v>
      </c>
      <c r="K79" s="27">
        <f t="shared" si="79"/>
        <v>120</v>
      </c>
      <c r="L79" s="27">
        <f t="shared" si="79"/>
        <v>120</v>
      </c>
      <c r="M79" s="27">
        <f t="shared" si="79"/>
        <v>95</v>
      </c>
      <c r="N79" s="27">
        <f t="shared" ref="N79" si="80">N80+N84+N88</f>
        <v>0</v>
      </c>
      <c r="O79" s="27">
        <f t="shared" si="78"/>
        <v>0</v>
      </c>
    </row>
    <row r="80" spans="1:15" ht="78.75" hidden="1" x14ac:dyDescent="0.25">
      <c r="A80" s="31" t="s">
        <v>220</v>
      </c>
      <c r="B80" s="220">
        <v>902</v>
      </c>
      <c r="C80" s="222" t="s">
        <v>169</v>
      </c>
      <c r="D80" s="222" t="s">
        <v>191</v>
      </c>
      <c r="E80" s="224" t="s">
        <v>221</v>
      </c>
      <c r="F80" s="222"/>
      <c r="G80" s="27">
        <f>G81</f>
        <v>15</v>
      </c>
      <c r="H80" s="27">
        <f t="shared" ref="H80:H82" si="81">H81</f>
        <v>7.3</v>
      </c>
      <c r="I80" s="27">
        <f t="shared" ref="I80:L82" si="82">I81</f>
        <v>15</v>
      </c>
      <c r="J80" s="27">
        <f t="shared" si="82"/>
        <v>25</v>
      </c>
      <c r="K80" s="27">
        <f t="shared" si="82"/>
        <v>25</v>
      </c>
      <c r="L80" s="27">
        <f t="shared" si="82"/>
        <v>25</v>
      </c>
      <c r="M80" s="27">
        <f t="shared" ref="M80:N82" si="83">M81</f>
        <v>0</v>
      </c>
      <c r="N80" s="27">
        <f t="shared" si="83"/>
        <v>0</v>
      </c>
      <c r="O80" s="27" t="e">
        <f t="shared" si="78"/>
        <v>#DIV/0!</v>
      </c>
    </row>
    <row r="81" spans="1:15" ht="31.5" hidden="1" x14ac:dyDescent="0.25">
      <c r="A81" s="210" t="s">
        <v>222</v>
      </c>
      <c r="B81" s="220">
        <v>902</v>
      </c>
      <c r="C81" s="222" t="s">
        <v>169</v>
      </c>
      <c r="D81" s="222" t="s">
        <v>191</v>
      </c>
      <c r="E81" s="223" t="s">
        <v>223</v>
      </c>
      <c r="F81" s="222"/>
      <c r="G81" s="27">
        <f>G82</f>
        <v>15</v>
      </c>
      <c r="H81" s="27">
        <f t="shared" si="81"/>
        <v>7.3</v>
      </c>
      <c r="I81" s="27">
        <f t="shared" si="82"/>
        <v>15</v>
      </c>
      <c r="J81" s="27">
        <f t="shared" si="82"/>
        <v>25</v>
      </c>
      <c r="K81" s="27">
        <f t="shared" si="82"/>
        <v>25</v>
      </c>
      <c r="L81" s="27">
        <f t="shared" si="82"/>
        <v>25</v>
      </c>
      <c r="M81" s="27">
        <f t="shared" si="83"/>
        <v>0</v>
      </c>
      <c r="N81" s="27">
        <f t="shared" si="83"/>
        <v>0</v>
      </c>
      <c r="O81" s="27" t="e">
        <f t="shared" si="78"/>
        <v>#DIV/0!</v>
      </c>
    </row>
    <row r="82" spans="1:15" ht="31.5" hidden="1" x14ac:dyDescent="0.25">
      <c r="A82" s="26" t="s">
        <v>182</v>
      </c>
      <c r="B82" s="220">
        <v>902</v>
      </c>
      <c r="C82" s="222" t="s">
        <v>169</v>
      </c>
      <c r="D82" s="222" t="s">
        <v>191</v>
      </c>
      <c r="E82" s="223" t="s">
        <v>223</v>
      </c>
      <c r="F82" s="222" t="s">
        <v>183</v>
      </c>
      <c r="G82" s="27">
        <f>G83</f>
        <v>15</v>
      </c>
      <c r="H82" s="27">
        <f t="shared" si="81"/>
        <v>7.3</v>
      </c>
      <c r="I82" s="27">
        <f t="shared" si="82"/>
        <v>15</v>
      </c>
      <c r="J82" s="27">
        <f t="shared" si="82"/>
        <v>25</v>
      </c>
      <c r="K82" s="27">
        <f t="shared" si="82"/>
        <v>25</v>
      </c>
      <c r="L82" s="27">
        <f t="shared" si="82"/>
        <v>25</v>
      </c>
      <c r="M82" s="27">
        <f t="shared" si="83"/>
        <v>0</v>
      </c>
      <c r="N82" s="27">
        <f t="shared" si="83"/>
        <v>0</v>
      </c>
      <c r="O82" s="27" t="e">
        <f t="shared" si="78"/>
        <v>#DIV/0!</v>
      </c>
    </row>
    <row r="83" spans="1:15" ht="47.25" hidden="1" x14ac:dyDescent="0.25">
      <c r="A83" s="26" t="s">
        <v>184</v>
      </c>
      <c r="B83" s="220">
        <v>902</v>
      </c>
      <c r="C83" s="222" t="s">
        <v>169</v>
      </c>
      <c r="D83" s="222" t="s">
        <v>191</v>
      </c>
      <c r="E83" s="223" t="s">
        <v>223</v>
      </c>
      <c r="F83" s="222" t="s">
        <v>185</v>
      </c>
      <c r="G83" s="27">
        <v>15</v>
      </c>
      <c r="H83" s="27">
        <v>7.3</v>
      </c>
      <c r="I83" s="27">
        <v>15</v>
      </c>
      <c r="J83" s="27">
        <v>25</v>
      </c>
      <c r="K83" s="27">
        <v>25</v>
      </c>
      <c r="L83" s="27">
        <v>25</v>
      </c>
      <c r="M83" s="27">
        <f>25-25</f>
        <v>0</v>
      </c>
      <c r="N83" s="27">
        <f>25-25</f>
        <v>0</v>
      </c>
      <c r="O83" s="27" t="e">
        <f t="shared" si="78"/>
        <v>#DIV/0!</v>
      </c>
    </row>
    <row r="84" spans="1:15" ht="63" x14ac:dyDescent="0.25">
      <c r="A84" s="31" t="s">
        <v>224</v>
      </c>
      <c r="B84" s="220">
        <v>902</v>
      </c>
      <c r="C84" s="222" t="s">
        <v>169</v>
      </c>
      <c r="D84" s="222" t="s">
        <v>191</v>
      </c>
      <c r="E84" s="224" t="s">
        <v>225</v>
      </c>
      <c r="F84" s="222"/>
      <c r="G84" s="27">
        <f>G85</f>
        <v>50</v>
      </c>
      <c r="H84" s="27">
        <f t="shared" ref="H84:H86" si="84">H85</f>
        <v>7.3</v>
      </c>
      <c r="I84" s="27">
        <f t="shared" ref="I84:L86" si="85">I85</f>
        <v>50</v>
      </c>
      <c r="J84" s="27">
        <f t="shared" si="85"/>
        <v>70</v>
      </c>
      <c r="K84" s="27">
        <f t="shared" si="85"/>
        <v>70</v>
      </c>
      <c r="L84" s="27">
        <f t="shared" si="85"/>
        <v>70</v>
      </c>
      <c r="M84" s="27">
        <f t="shared" ref="M84:N86" si="86">M85</f>
        <v>70</v>
      </c>
      <c r="N84" s="27">
        <f t="shared" si="86"/>
        <v>0</v>
      </c>
      <c r="O84" s="27">
        <f t="shared" si="78"/>
        <v>0</v>
      </c>
    </row>
    <row r="85" spans="1:15" ht="31.5" x14ac:dyDescent="0.25">
      <c r="A85" s="47" t="s">
        <v>226</v>
      </c>
      <c r="B85" s="220">
        <v>902</v>
      </c>
      <c r="C85" s="222" t="s">
        <v>169</v>
      </c>
      <c r="D85" s="222" t="s">
        <v>191</v>
      </c>
      <c r="E85" s="223" t="s">
        <v>227</v>
      </c>
      <c r="F85" s="222"/>
      <c r="G85" s="27">
        <f>G86</f>
        <v>50</v>
      </c>
      <c r="H85" s="27">
        <f t="shared" si="84"/>
        <v>7.3</v>
      </c>
      <c r="I85" s="27">
        <f t="shared" si="85"/>
        <v>50</v>
      </c>
      <c r="J85" s="27">
        <f t="shared" si="85"/>
        <v>70</v>
      </c>
      <c r="K85" s="27">
        <f t="shared" si="85"/>
        <v>70</v>
      </c>
      <c r="L85" s="27">
        <f t="shared" si="85"/>
        <v>70</v>
      </c>
      <c r="M85" s="27">
        <f t="shared" si="86"/>
        <v>70</v>
      </c>
      <c r="N85" s="27">
        <f t="shared" si="86"/>
        <v>0</v>
      </c>
      <c r="O85" s="27">
        <f t="shared" si="78"/>
        <v>0</v>
      </c>
    </row>
    <row r="86" spans="1:15" ht="31.5" x14ac:dyDescent="0.25">
      <c r="A86" s="26" t="s">
        <v>182</v>
      </c>
      <c r="B86" s="220">
        <v>902</v>
      </c>
      <c r="C86" s="222" t="s">
        <v>169</v>
      </c>
      <c r="D86" s="222" t="s">
        <v>191</v>
      </c>
      <c r="E86" s="223" t="s">
        <v>227</v>
      </c>
      <c r="F86" s="222" t="s">
        <v>183</v>
      </c>
      <c r="G86" s="27">
        <f>G87</f>
        <v>50</v>
      </c>
      <c r="H86" s="27">
        <f t="shared" si="84"/>
        <v>7.3</v>
      </c>
      <c r="I86" s="27">
        <f t="shared" si="85"/>
        <v>50</v>
      </c>
      <c r="J86" s="27">
        <f t="shared" si="85"/>
        <v>70</v>
      </c>
      <c r="K86" s="27">
        <f t="shared" si="85"/>
        <v>70</v>
      </c>
      <c r="L86" s="27">
        <f t="shared" si="85"/>
        <v>70</v>
      </c>
      <c r="M86" s="27">
        <f t="shared" si="86"/>
        <v>70</v>
      </c>
      <c r="N86" s="27">
        <f t="shared" si="86"/>
        <v>0</v>
      </c>
      <c r="O86" s="27">
        <f t="shared" si="78"/>
        <v>0</v>
      </c>
    </row>
    <row r="87" spans="1:15" ht="47.25" x14ac:dyDescent="0.25">
      <c r="A87" s="26" t="s">
        <v>184</v>
      </c>
      <c r="B87" s="220">
        <v>902</v>
      </c>
      <c r="C87" s="222" t="s">
        <v>169</v>
      </c>
      <c r="D87" s="222" t="s">
        <v>191</v>
      </c>
      <c r="E87" s="223" t="s">
        <v>227</v>
      </c>
      <c r="F87" s="222" t="s">
        <v>185</v>
      </c>
      <c r="G87" s="27">
        <v>50</v>
      </c>
      <c r="H87" s="27">
        <v>7.3</v>
      </c>
      <c r="I87" s="27">
        <v>50</v>
      </c>
      <c r="J87" s="27">
        <v>70</v>
      </c>
      <c r="K87" s="27">
        <v>70</v>
      </c>
      <c r="L87" s="27">
        <v>70</v>
      </c>
      <c r="M87" s="27">
        <v>70</v>
      </c>
      <c r="N87" s="27">
        <v>0</v>
      </c>
      <c r="O87" s="27">
        <f t="shared" si="78"/>
        <v>0</v>
      </c>
    </row>
    <row r="88" spans="1:15" ht="47.25" x14ac:dyDescent="0.25">
      <c r="A88" s="26" t="s">
        <v>228</v>
      </c>
      <c r="B88" s="220">
        <v>902</v>
      </c>
      <c r="C88" s="222" t="s">
        <v>169</v>
      </c>
      <c r="D88" s="222" t="s">
        <v>191</v>
      </c>
      <c r="E88" s="223" t="s">
        <v>229</v>
      </c>
      <c r="F88" s="222"/>
      <c r="G88" s="27">
        <f>G89</f>
        <v>15</v>
      </c>
      <c r="H88" s="27">
        <f t="shared" ref="H88:H90" si="87">H89</f>
        <v>0</v>
      </c>
      <c r="I88" s="27">
        <f t="shared" ref="I88:L90" si="88">I89</f>
        <v>15</v>
      </c>
      <c r="J88" s="27">
        <f t="shared" si="88"/>
        <v>25</v>
      </c>
      <c r="K88" s="27">
        <f t="shared" si="88"/>
        <v>25</v>
      </c>
      <c r="L88" s="27">
        <f t="shared" si="88"/>
        <v>25</v>
      </c>
      <c r="M88" s="27">
        <f t="shared" ref="M88:N90" si="89">M89</f>
        <v>25</v>
      </c>
      <c r="N88" s="27">
        <f t="shared" si="89"/>
        <v>0</v>
      </c>
      <c r="O88" s="27">
        <f t="shared" si="78"/>
        <v>0</v>
      </c>
    </row>
    <row r="89" spans="1:15" ht="15.75" x14ac:dyDescent="0.25">
      <c r="A89" s="47" t="s">
        <v>230</v>
      </c>
      <c r="B89" s="220">
        <v>902</v>
      </c>
      <c r="C89" s="222" t="s">
        <v>169</v>
      </c>
      <c r="D89" s="222" t="s">
        <v>191</v>
      </c>
      <c r="E89" s="223" t="s">
        <v>231</v>
      </c>
      <c r="F89" s="222"/>
      <c r="G89" s="27">
        <f>G90</f>
        <v>15</v>
      </c>
      <c r="H89" s="27">
        <f t="shared" si="87"/>
        <v>0</v>
      </c>
      <c r="I89" s="27">
        <f t="shared" si="88"/>
        <v>15</v>
      </c>
      <c r="J89" s="27">
        <f t="shared" si="88"/>
        <v>25</v>
      </c>
      <c r="K89" s="27">
        <f t="shared" si="88"/>
        <v>25</v>
      </c>
      <c r="L89" s="27">
        <f t="shared" si="88"/>
        <v>25</v>
      </c>
      <c r="M89" s="27">
        <f t="shared" si="89"/>
        <v>25</v>
      </c>
      <c r="N89" s="27">
        <f t="shared" si="89"/>
        <v>0</v>
      </c>
      <c r="O89" s="27">
        <f t="shared" si="78"/>
        <v>0</v>
      </c>
    </row>
    <row r="90" spans="1:15" ht="31.5" x14ac:dyDescent="0.25">
      <c r="A90" s="26" t="s">
        <v>182</v>
      </c>
      <c r="B90" s="220">
        <v>902</v>
      </c>
      <c r="C90" s="222" t="s">
        <v>169</v>
      </c>
      <c r="D90" s="222" t="s">
        <v>191</v>
      </c>
      <c r="E90" s="223" t="s">
        <v>231</v>
      </c>
      <c r="F90" s="222" t="s">
        <v>183</v>
      </c>
      <c r="G90" s="27">
        <f>G91</f>
        <v>15</v>
      </c>
      <c r="H90" s="27">
        <f t="shared" si="87"/>
        <v>0</v>
      </c>
      <c r="I90" s="27">
        <f t="shared" si="88"/>
        <v>15</v>
      </c>
      <c r="J90" s="27">
        <f t="shared" si="88"/>
        <v>25</v>
      </c>
      <c r="K90" s="27">
        <f t="shared" si="88"/>
        <v>25</v>
      </c>
      <c r="L90" s="27">
        <f t="shared" si="88"/>
        <v>25</v>
      </c>
      <c r="M90" s="27">
        <f t="shared" si="89"/>
        <v>25</v>
      </c>
      <c r="N90" s="27">
        <f t="shared" si="89"/>
        <v>0</v>
      </c>
      <c r="O90" s="27">
        <f t="shared" si="78"/>
        <v>0</v>
      </c>
    </row>
    <row r="91" spans="1:15" ht="47.25" x14ac:dyDescent="0.25">
      <c r="A91" s="26" t="s">
        <v>184</v>
      </c>
      <c r="B91" s="220">
        <v>902</v>
      </c>
      <c r="C91" s="222" t="s">
        <v>169</v>
      </c>
      <c r="D91" s="222" t="s">
        <v>191</v>
      </c>
      <c r="E91" s="223" t="s">
        <v>231</v>
      </c>
      <c r="F91" s="222" t="s">
        <v>185</v>
      </c>
      <c r="G91" s="27">
        <v>15</v>
      </c>
      <c r="H91" s="27">
        <v>0</v>
      </c>
      <c r="I91" s="27">
        <v>15</v>
      </c>
      <c r="J91" s="27">
        <v>25</v>
      </c>
      <c r="K91" s="27">
        <v>25</v>
      </c>
      <c r="L91" s="27">
        <v>25</v>
      </c>
      <c r="M91" s="27">
        <v>25</v>
      </c>
      <c r="N91" s="27">
        <v>0</v>
      </c>
      <c r="O91" s="27">
        <f t="shared" si="78"/>
        <v>0</v>
      </c>
    </row>
    <row r="92" spans="1:15" ht="47.25" hidden="1" x14ac:dyDescent="0.25">
      <c r="A92" s="33" t="s">
        <v>232</v>
      </c>
      <c r="B92" s="220">
        <v>902</v>
      </c>
      <c r="C92" s="218" t="s">
        <v>169</v>
      </c>
      <c r="D92" s="218" t="s">
        <v>191</v>
      </c>
      <c r="E92" s="224" t="s">
        <v>233</v>
      </c>
      <c r="F92" s="225"/>
      <c r="G92" s="27">
        <f>G93</f>
        <v>120</v>
      </c>
      <c r="H92" s="27">
        <f t="shared" ref="H92:H94" si="90">H93</f>
        <v>30</v>
      </c>
      <c r="I92" s="27">
        <f t="shared" ref="I92:L94" si="91">I93</f>
        <v>120</v>
      </c>
      <c r="J92" s="27">
        <f t="shared" si="91"/>
        <v>0</v>
      </c>
      <c r="K92" s="27">
        <f t="shared" si="91"/>
        <v>0</v>
      </c>
      <c r="L92" s="27">
        <f t="shared" si="91"/>
        <v>0</v>
      </c>
      <c r="M92" s="27">
        <f t="shared" ref="M92:N94" si="92">M93</f>
        <v>0</v>
      </c>
      <c r="N92" s="27">
        <f t="shared" si="92"/>
        <v>0</v>
      </c>
      <c r="O92" s="27" t="e">
        <f t="shared" si="78"/>
        <v>#DIV/0!</v>
      </c>
    </row>
    <row r="93" spans="1:15" ht="31.5" hidden="1" x14ac:dyDescent="0.25">
      <c r="A93" s="26" t="s">
        <v>208</v>
      </c>
      <c r="B93" s="220">
        <v>902</v>
      </c>
      <c r="C93" s="218" t="s">
        <v>169</v>
      </c>
      <c r="D93" s="218" t="s">
        <v>191</v>
      </c>
      <c r="E93" s="218" t="s">
        <v>234</v>
      </c>
      <c r="F93" s="225"/>
      <c r="G93" s="27">
        <f>G94</f>
        <v>120</v>
      </c>
      <c r="H93" s="27">
        <f t="shared" si="90"/>
        <v>30</v>
      </c>
      <c r="I93" s="27">
        <f t="shared" si="91"/>
        <v>120</v>
      </c>
      <c r="J93" s="27">
        <f t="shared" si="91"/>
        <v>0</v>
      </c>
      <c r="K93" s="27">
        <f t="shared" si="91"/>
        <v>0</v>
      </c>
      <c r="L93" s="27">
        <f t="shared" si="91"/>
        <v>0</v>
      </c>
      <c r="M93" s="27">
        <f t="shared" si="92"/>
        <v>0</v>
      </c>
      <c r="N93" s="27">
        <f t="shared" si="92"/>
        <v>0</v>
      </c>
      <c r="O93" s="27" t="e">
        <f t="shared" si="78"/>
        <v>#DIV/0!</v>
      </c>
    </row>
    <row r="94" spans="1:15" ht="15.75" hidden="1" x14ac:dyDescent="0.25">
      <c r="A94" s="31" t="s">
        <v>186</v>
      </c>
      <c r="B94" s="220">
        <v>902</v>
      </c>
      <c r="C94" s="218" t="s">
        <v>169</v>
      </c>
      <c r="D94" s="218" t="s">
        <v>191</v>
      </c>
      <c r="E94" s="218" t="s">
        <v>234</v>
      </c>
      <c r="F94" s="225" t="s">
        <v>196</v>
      </c>
      <c r="G94" s="27">
        <f>G95</f>
        <v>120</v>
      </c>
      <c r="H94" s="27">
        <f t="shared" si="90"/>
        <v>30</v>
      </c>
      <c r="I94" s="27">
        <f>I95</f>
        <v>120</v>
      </c>
      <c r="J94" s="27">
        <f t="shared" si="91"/>
        <v>0</v>
      </c>
      <c r="K94" s="27">
        <f t="shared" si="91"/>
        <v>0</v>
      </c>
      <c r="L94" s="27">
        <f t="shared" si="91"/>
        <v>0</v>
      </c>
      <c r="M94" s="27">
        <f t="shared" si="92"/>
        <v>0</v>
      </c>
      <c r="N94" s="27">
        <f t="shared" si="92"/>
        <v>0</v>
      </c>
      <c r="O94" s="27" t="e">
        <f t="shared" si="78"/>
        <v>#DIV/0!</v>
      </c>
    </row>
    <row r="95" spans="1:15" ht="51.75" hidden="1" customHeight="1" x14ac:dyDescent="0.25">
      <c r="A95" s="31" t="s">
        <v>235</v>
      </c>
      <c r="B95" s="220">
        <v>902</v>
      </c>
      <c r="C95" s="218" t="s">
        <v>169</v>
      </c>
      <c r="D95" s="218" t="s">
        <v>191</v>
      </c>
      <c r="E95" s="218" t="s">
        <v>234</v>
      </c>
      <c r="F95" s="225" t="s">
        <v>211</v>
      </c>
      <c r="G95" s="27">
        <f>100+20</f>
        <v>120</v>
      </c>
      <c r="H95" s="27">
        <v>30</v>
      </c>
      <c r="I95" s="27">
        <f t="shared" ref="I95" si="93">100+20</f>
        <v>120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 t="e">
        <f t="shared" si="78"/>
        <v>#DIV/0!</v>
      </c>
    </row>
    <row r="96" spans="1:15" ht="63" x14ac:dyDescent="0.25">
      <c r="A96" s="31" t="s">
        <v>944</v>
      </c>
      <c r="B96" s="220">
        <v>902</v>
      </c>
      <c r="C96" s="218" t="s">
        <v>169</v>
      </c>
      <c r="D96" s="218" t="s">
        <v>191</v>
      </c>
      <c r="E96" s="218" t="s">
        <v>799</v>
      </c>
      <c r="F96" s="225"/>
      <c r="G96" s="27">
        <f>G97</f>
        <v>29</v>
      </c>
      <c r="H96" s="27">
        <f t="shared" ref="H96:H98" si="94">H97</f>
        <v>19.100000000000001</v>
      </c>
      <c r="I96" s="27">
        <f t="shared" ref="I96:L98" si="95">I97</f>
        <v>29</v>
      </c>
      <c r="J96" s="27">
        <f t="shared" si="95"/>
        <v>0</v>
      </c>
      <c r="K96" s="27">
        <f t="shared" si="95"/>
        <v>0</v>
      </c>
      <c r="L96" s="27">
        <f t="shared" si="95"/>
        <v>0</v>
      </c>
      <c r="M96" s="27">
        <f>M97+M103</f>
        <v>38</v>
      </c>
      <c r="N96" s="27">
        <f>N97+N103</f>
        <v>11</v>
      </c>
      <c r="O96" s="27">
        <f t="shared" si="78"/>
        <v>28.947368421052634</v>
      </c>
    </row>
    <row r="97" spans="1:16" ht="47.25" x14ac:dyDescent="0.25">
      <c r="A97" s="125" t="s">
        <v>928</v>
      </c>
      <c r="B97" s="220">
        <v>902</v>
      </c>
      <c r="C97" s="218" t="s">
        <v>169</v>
      </c>
      <c r="D97" s="218" t="s">
        <v>191</v>
      </c>
      <c r="E97" s="218" t="s">
        <v>927</v>
      </c>
      <c r="F97" s="225"/>
      <c r="G97" s="27">
        <f>G98</f>
        <v>29</v>
      </c>
      <c r="H97" s="27">
        <f t="shared" si="94"/>
        <v>19.100000000000001</v>
      </c>
      <c r="I97" s="27">
        <f t="shared" si="95"/>
        <v>29</v>
      </c>
      <c r="J97" s="27">
        <f t="shared" si="95"/>
        <v>0</v>
      </c>
      <c r="K97" s="27">
        <f t="shared" si="95"/>
        <v>0</v>
      </c>
      <c r="L97" s="27">
        <f t="shared" si="95"/>
        <v>0</v>
      </c>
      <c r="M97" s="27">
        <f t="shared" ref="M97:N98" si="96">M98</f>
        <v>23</v>
      </c>
      <c r="N97" s="27">
        <f t="shared" si="96"/>
        <v>0</v>
      </c>
      <c r="O97" s="27">
        <f t="shared" si="78"/>
        <v>0</v>
      </c>
    </row>
    <row r="98" spans="1:16" ht="31.5" x14ac:dyDescent="0.25">
      <c r="A98" s="26" t="s">
        <v>182</v>
      </c>
      <c r="B98" s="220">
        <v>902</v>
      </c>
      <c r="C98" s="218" t="s">
        <v>169</v>
      </c>
      <c r="D98" s="218" t="s">
        <v>191</v>
      </c>
      <c r="E98" s="218" t="s">
        <v>927</v>
      </c>
      <c r="F98" s="225" t="s">
        <v>183</v>
      </c>
      <c r="G98" s="27">
        <f>G99</f>
        <v>29</v>
      </c>
      <c r="H98" s="27">
        <f t="shared" si="94"/>
        <v>19.100000000000001</v>
      </c>
      <c r="I98" s="27">
        <f t="shared" si="95"/>
        <v>29</v>
      </c>
      <c r="J98" s="27">
        <f t="shared" si="95"/>
        <v>0</v>
      </c>
      <c r="K98" s="27">
        <f t="shared" si="95"/>
        <v>0</v>
      </c>
      <c r="L98" s="27">
        <f t="shared" si="95"/>
        <v>0</v>
      </c>
      <c r="M98" s="27">
        <f t="shared" si="96"/>
        <v>23</v>
      </c>
      <c r="N98" s="27">
        <f t="shared" si="96"/>
        <v>0</v>
      </c>
      <c r="O98" s="27">
        <f t="shared" si="78"/>
        <v>0</v>
      </c>
    </row>
    <row r="99" spans="1:16" ht="47.25" x14ac:dyDescent="0.25">
      <c r="A99" s="26" t="s">
        <v>184</v>
      </c>
      <c r="B99" s="220">
        <v>902</v>
      </c>
      <c r="C99" s="218" t="s">
        <v>169</v>
      </c>
      <c r="D99" s="218" t="s">
        <v>191</v>
      </c>
      <c r="E99" s="218" t="s">
        <v>927</v>
      </c>
      <c r="F99" s="225" t="s">
        <v>185</v>
      </c>
      <c r="G99" s="27">
        <v>29</v>
      </c>
      <c r="H99" s="27">
        <v>19.100000000000001</v>
      </c>
      <c r="I99" s="27">
        <v>29</v>
      </c>
      <c r="J99" s="27">
        <v>0</v>
      </c>
      <c r="K99" s="27">
        <v>0</v>
      </c>
      <c r="L99" s="27">
        <v>0</v>
      </c>
      <c r="M99" s="27">
        <v>23</v>
      </c>
      <c r="N99" s="27">
        <v>0</v>
      </c>
      <c r="O99" s="27">
        <f t="shared" si="78"/>
        <v>0</v>
      </c>
    </row>
    <row r="100" spans="1:16" ht="15.75" hidden="1" customHeight="1" x14ac:dyDescent="0.25">
      <c r="A100" s="31"/>
      <c r="B100" s="220"/>
      <c r="C100" s="218"/>
      <c r="D100" s="218"/>
      <c r="E100" s="218"/>
      <c r="F100" s="225"/>
      <c r="G100" s="27"/>
      <c r="H100" s="27"/>
      <c r="I100" s="27"/>
      <c r="J100" s="27"/>
      <c r="K100" s="27"/>
      <c r="L100" s="27"/>
      <c r="M100" s="27"/>
      <c r="N100" s="27"/>
      <c r="O100" s="27" t="e">
        <f t="shared" si="78"/>
        <v>#DIV/0!</v>
      </c>
    </row>
    <row r="101" spans="1:16" ht="15.75" hidden="1" customHeight="1" x14ac:dyDescent="0.25">
      <c r="A101" s="26"/>
      <c r="B101" s="220"/>
      <c r="C101" s="218"/>
      <c r="D101" s="218"/>
      <c r="E101" s="218"/>
      <c r="F101" s="225"/>
      <c r="G101" s="27"/>
      <c r="H101" s="27"/>
      <c r="I101" s="27"/>
      <c r="J101" s="27"/>
      <c r="K101" s="27"/>
      <c r="L101" s="27"/>
      <c r="M101" s="27"/>
      <c r="N101" s="27"/>
      <c r="O101" s="27" t="e">
        <f t="shared" si="78"/>
        <v>#DIV/0!</v>
      </c>
    </row>
    <row r="102" spans="1:16" ht="15.75" hidden="1" customHeight="1" x14ac:dyDescent="0.25">
      <c r="A102" s="26"/>
      <c r="B102" s="220"/>
      <c r="C102" s="218"/>
      <c r="D102" s="218"/>
      <c r="E102" s="218"/>
      <c r="F102" s="225"/>
      <c r="G102" s="27"/>
      <c r="H102" s="27"/>
      <c r="I102" s="27"/>
      <c r="J102" s="27"/>
      <c r="K102" s="27"/>
      <c r="L102" s="27"/>
      <c r="M102" s="27"/>
      <c r="N102" s="27"/>
      <c r="O102" s="27" t="e">
        <f t="shared" si="78"/>
        <v>#DIV/0!</v>
      </c>
    </row>
    <row r="103" spans="1:16" ht="34.5" customHeight="1" x14ac:dyDescent="0.25">
      <c r="A103" s="277" t="s">
        <v>930</v>
      </c>
      <c r="B103" s="220">
        <v>902</v>
      </c>
      <c r="C103" s="218" t="s">
        <v>169</v>
      </c>
      <c r="D103" s="218" t="s">
        <v>191</v>
      </c>
      <c r="E103" s="218" t="s">
        <v>929</v>
      </c>
      <c r="F103" s="225"/>
      <c r="G103" s="27">
        <f>G104</f>
        <v>29</v>
      </c>
      <c r="H103" s="27">
        <f t="shared" ref="H103:N104" si="97">H104</f>
        <v>19.100000000000001</v>
      </c>
      <c r="I103" s="27">
        <f t="shared" si="97"/>
        <v>29</v>
      </c>
      <c r="J103" s="27">
        <f t="shared" si="97"/>
        <v>0</v>
      </c>
      <c r="K103" s="27">
        <f t="shared" si="97"/>
        <v>0</v>
      </c>
      <c r="L103" s="27">
        <f t="shared" si="97"/>
        <v>0</v>
      </c>
      <c r="M103" s="27">
        <f t="shared" si="97"/>
        <v>15</v>
      </c>
      <c r="N103" s="27">
        <f t="shared" si="97"/>
        <v>11</v>
      </c>
      <c r="O103" s="27">
        <f t="shared" si="78"/>
        <v>73.333333333333329</v>
      </c>
    </row>
    <row r="104" spans="1:16" ht="36" customHeight="1" x14ac:dyDescent="0.25">
      <c r="A104" s="26" t="s">
        <v>182</v>
      </c>
      <c r="B104" s="220">
        <v>902</v>
      </c>
      <c r="C104" s="218" t="s">
        <v>169</v>
      </c>
      <c r="D104" s="218" t="s">
        <v>191</v>
      </c>
      <c r="E104" s="218" t="s">
        <v>929</v>
      </c>
      <c r="F104" s="225" t="s">
        <v>183</v>
      </c>
      <c r="G104" s="27">
        <f>G105</f>
        <v>29</v>
      </c>
      <c r="H104" s="27">
        <f t="shared" si="97"/>
        <v>19.100000000000001</v>
      </c>
      <c r="I104" s="27">
        <f t="shared" si="97"/>
        <v>29</v>
      </c>
      <c r="J104" s="27">
        <f t="shared" si="97"/>
        <v>0</v>
      </c>
      <c r="K104" s="27">
        <f t="shared" si="97"/>
        <v>0</v>
      </c>
      <c r="L104" s="27">
        <f t="shared" si="97"/>
        <v>0</v>
      </c>
      <c r="M104" s="27">
        <f t="shared" si="97"/>
        <v>15</v>
      </c>
      <c r="N104" s="27">
        <f t="shared" si="97"/>
        <v>11</v>
      </c>
      <c r="O104" s="27">
        <f t="shared" si="78"/>
        <v>73.333333333333329</v>
      </c>
    </row>
    <row r="105" spans="1:16" ht="49.5" customHeight="1" x14ac:dyDescent="0.25">
      <c r="A105" s="26" t="s">
        <v>184</v>
      </c>
      <c r="B105" s="220">
        <v>902</v>
      </c>
      <c r="C105" s="218" t="s">
        <v>169</v>
      </c>
      <c r="D105" s="218" t="s">
        <v>191</v>
      </c>
      <c r="E105" s="218" t="s">
        <v>929</v>
      </c>
      <c r="F105" s="225" t="s">
        <v>185</v>
      </c>
      <c r="G105" s="27">
        <v>29</v>
      </c>
      <c r="H105" s="27">
        <v>19.100000000000001</v>
      </c>
      <c r="I105" s="27">
        <v>29</v>
      </c>
      <c r="J105" s="27">
        <v>0</v>
      </c>
      <c r="K105" s="27">
        <v>0</v>
      </c>
      <c r="L105" s="27">
        <v>0</v>
      </c>
      <c r="M105" s="27">
        <v>15</v>
      </c>
      <c r="N105" s="27">
        <v>11</v>
      </c>
      <c r="O105" s="27">
        <f t="shared" si="78"/>
        <v>73.333333333333329</v>
      </c>
    </row>
    <row r="106" spans="1:16" ht="15.75" x14ac:dyDescent="0.25">
      <c r="A106" s="26" t="s">
        <v>172</v>
      </c>
      <c r="B106" s="220">
        <v>902</v>
      </c>
      <c r="C106" s="218" t="s">
        <v>169</v>
      </c>
      <c r="D106" s="218" t="s">
        <v>191</v>
      </c>
      <c r="E106" s="218" t="s">
        <v>173</v>
      </c>
      <c r="F106" s="218"/>
      <c r="G106" s="27">
        <f>G107+G134</f>
        <v>12340.3</v>
      </c>
      <c r="H106" s="27">
        <f>H107+H134</f>
        <v>8520.2999999999993</v>
      </c>
      <c r="I106" s="27">
        <f t="shared" ref="I106:L106" si="98">I107+I134</f>
        <v>12271.199999999999</v>
      </c>
      <c r="J106" s="27">
        <f t="shared" si="98"/>
        <v>13666.699999999999</v>
      </c>
      <c r="K106" s="27">
        <f t="shared" si="98"/>
        <v>13812.6</v>
      </c>
      <c r="L106" s="27">
        <f t="shared" si="98"/>
        <v>13938.9</v>
      </c>
      <c r="M106" s="27">
        <f t="shared" ref="M106:N106" si="99">M107+M134</f>
        <v>9629.5</v>
      </c>
      <c r="N106" s="27">
        <f t="shared" si="99"/>
        <v>6707.4</v>
      </c>
      <c r="O106" s="27">
        <f t="shared" si="78"/>
        <v>69.654706890285055</v>
      </c>
    </row>
    <row r="107" spans="1:16" ht="31.5" x14ac:dyDescent="0.25">
      <c r="A107" s="26" t="s">
        <v>236</v>
      </c>
      <c r="B107" s="220">
        <v>902</v>
      </c>
      <c r="C107" s="218" t="s">
        <v>169</v>
      </c>
      <c r="D107" s="218" t="s">
        <v>191</v>
      </c>
      <c r="E107" s="218" t="s">
        <v>237</v>
      </c>
      <c r="F107" s="218"/>
      <c r="G107" s="27">
        <f>G113+G118+G124+G129</f>
        <v>3600.8999999999996</v>
      </c>
      <c r="H107" s="27">
        <f>H113+H118+H124+H129</f>
        <v>2512.4</v>
      </c>
      <c r="I107" s="27">
        <f t="shared" ref="I107:L107" si="100">I113+I118+I124+I129</f>
        <v>3600.8999999999996</v>
      </c>
      <c r="J107" s="27">
        <f t="shared" si="100"/>
        <v>3600.8999999999996</v>
      </c>
      <c r="K107" s="27">
        <f t="shared" si="100"/>
        <v>3600.8999999999996</v>
      </c>
      <c r="L107" s="27">
        <f t="shared" si="100"/>
        <v>3600.8999999999996</v>
      </c>
      <c r="M107" s="27">
        <f>M113+M118+M124+M129+M108</f>
        <v>3271.8</v>
      </c>
      <c r="N107" s="27">
        <f>N113+N118+N124+N129+N108</f>
        <v>2056.6</v>
      </c>
      <c r="O107" s="27">
        <f t="shared" si="78"/>
        <v>62.858365425759509</v>
      </c>
      <c r="P107" s="142"/>
    </row>
    <row r="108" spans="1:16" ht="47.25" customHeight="1" x14ac:dyDescent="0.25">
      <c r="A108" s="26" t="s">
        <v>943</v>
      </c>
      <c r="B108" s="220">
        <v>902</v>
      </c>
      <c r="C108" s="218" t="s">
        <v>169</v>
      </c>
      <c r="D108" s="218" t="s">
        <v>191</v>
      </c>
      <c r="E108" s="218" t="s">
        <v>239</v>
      </c>
      <c r="F108" s="219"/>
      <c r="G108" s="27">
        <f t="shared" ref="G108:L108" si="101">G109+G111</f>
        <v>0</v>
      </c>
      <c r="H108" s="27">
        <f t="shared" si="101"/>
        <v>0</v>
      </c>
      <c r="I108" s="27">
        <f t="shared" si="101"/>
        <v>0</v>
      </c>
      <c r="J108" s="27">
        <f t="shared" si="101"/>
        <v>0</v>
      </c>
      <c r="K108" s="27">
        <f t="shared" si="101"/>
        <v>0</v>
      </c>
      <c r="L108" s="27">
        <f t="shared" si="101"/>
        <v>0</v>
      </c>
      <c r="M108" s="27">
        <f t="shared" ref="M108:N108" si="102">M109+M111</f>
        <v>96.2</v>
      </c>
      <c r="N108" s="27">
        <f t="shared" si="102"/>
        <v>39.799999999999997</v>
      </c>
      <c r="O108" s="27">
        <f t="shared" si="78"/>
        <v>41.372141372141371</v>
      </c>
    </row>
    <row r="109" spans="1:16" ht="94.5" customHeight="1" x14ac:dyDescent="0.25">
      <c r="A109" s="26" t="s">
        <v>178</v>
      </c>
      <c r="B109" s="220">
        <v>902</v>
      </c>
      <c r="C109" s="218" t="s">
        <v>169</v>
      </c>
      <c r="D109" s="218" t="s">
        <v>191</v>
      </c>
      <c r="E109" s="218" t="s">
        <v>239</v>
      </c>
      <c r="F109" s="218" t="s">
        <v>179</v>
      </c>
      <c r="G109" s="27">
        <f>G110</f>
        <v>0</v>
      </c>
      <c r="H109" s="27">
        <f>H110</f>
        <v>0</v>
      </c>
      <c r="I109" s="27">
        <f t="shared" ref="I109:L109" si="103">I110</f>
        <v>0</v>
      </c>
      <c r="J109" s="27">
        <f t="shared" si="103"/>
        <v>0</v>
      </c>
      <c r="K109" s="27">
        <f t="shared" si="103"/>
        <v>0</v>
      </c>
      <c r="L109" s="27">
        <f t="shared" si="103"/>
        <v>0</v>
      </c>
      <c r="M109" s="27">
        <f t="shared" ref="M109:N109" si="104">M110</f>
        <v>96.2</v>
      </c>
      <c r="N109" s="27">
        <f t="shared" si="104"/>
        <v>39.799999999999997</v>
      </c>
      <c r="O109" s="27">
        <f t="shared" si="78"/>
        <v>41.372141372141371</v>
      </c>
    </row>
    <row r="110" spans="1:16" ht="31.5" customHeight="1" x14ac:dyDescent="0.25">
      <c r="A110" s="26" t="s">
        <v>180</v>
      </c>
      <c r="B110" s="220">
        <v>902</v>
      </c>
      <c r="C110" s="218" t="s">
        <v>169</v>
      </c>
      <c r="D110" s="218" t="s">
        <v>191</v>
      </c>
      <c r="E110" s="218" t="s">
        <v>239</v>
      </c>
      <c r="F110" s="218" t="s">
        <v>181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f>'прил.№1 доходы'!I146</f>
        <v>96.2</v>
      </c>
      <c r="N110" s="27">
        <v>39.799999999999997</v>
      </c>
      <c r="O110" s="27">
        <f t="shared" si="78"/>
        <v>41.372141372141371</v>
      </c>
    </row>
    <row r="111" spans="1:16" ht="31.5" hidden="1" customHeight="1" x14ac:dyDescent="0.25">
      <c r="A111" s="26" t="s">
        <v>182</v>
      </c>
      <c r="B111" s="220">
        <v>902</v>
      </c>
      <c r="C111" s="218" t="s">
        <v>169</v>
      </c>
      <c r="D111" s="218" t="s">
        <v>191</v>
      </c>
      <c r="E111" s="218" t="s">
        <v>239</v>
      </c>
      <c r="F111" s="218" t="s">
        <v>183</v>
      </c>
      <c r="G111" s="27">
        <f t="shared" ref="G111:L111" si="105">G112</f>
        <v>0</v>
      </c>
      <c r="H111" s="27">
        <f t="shared" si="105"/>
        <v>0</v>
      </c>
      <c r="I111" s="27">
        <f t="shared" si="105"/>
        <v>0</v>
      </c>
      <c r="J111" s="27">
        <f t="shared" si="105"/>
        <v>0</v>
      </c>
      <c r="K111" s="27">
        <f t="shared" si="105"/>
        <v>0</v>
      </c>
      <c r="L111" s="27">
        <f t="shared" si="105"/>
        <v>0</v>
      </c>
      <c r="M111" s="27">
        <f t="shared" ref="M111:N111" si="106">M112</f>
        <v>0</v>
      </c>
      <c r="N111" s="27">
        <f t="shared" si="106"/>
        <v>0</v>
      </c>
      <c r="O111" s="27" t="e">
        <f t="shared" si="78"/>
        <v>#DIV/0!</v>
      </c>
    </row>
    <row r="112" spans="1:16" ht="47.25" hidden="1" customHeight="1" x14ac:dyDescent="0.25">
      <c r="A112" s="26" t="s">
        <v>184</v>
      </c>
      <c r="B112" s="220">
        <v>902</v>
      </c>
      <c r="C112" s="218" t="s">
        <v>169</v>
      </c>
      <c r="D112" s="218" t="s">
        <v>191</v>
      </c>
      <c r="E112" s="218" t="s">
        <v>239</v>
      </c>
      <c r="F112" s="218" t="s">
        <v>185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 t="e">
        <f t="shared" si="78"/>
        <v>#DIV/0!</v>
      </c>
    </row>
    <row r="113" spans="1:15" ht="47.25" x14ac:dyDescent="0.25">
      <c r="A113" s="33" t="s">
        <v>240</v>
      </c>
      <c r="B113" s="220">
        <v>902</v>
      </c>
      <c r="C113" s="218" t="s">
        <v>169</v>
      </c>
      <c r="D113" s="218" t="s">
        <v>191</v>
      </c>
      <c r="E113" s="218" t="s">
        <v>241</v>
      </c>
      <c r="F113" s="218"/>
      <c r="G113" s="27">
        <f>G114</f>
        <v>701.8</v>
      </c>
      <c r="H113" s="27">
        <f>H114</f>
        <v>537.5</v>
      </c>
      <c r="I113" s="27">
        <f t="shared" ref="I113:L114" si="107">I114</f>
        <v>701.8</v>
      </c>
      <c r="J113" s="27">
        <f t="shared" si="107"/>
        <v>701.8</v>
      </c>
      <c r="K113" s="27">
        <f t="shared" si="107"/>
        <v>701.8</v>
      </c>
      <c r="L113" s="27">
        <f t="shared" si="107"/>
        <v>701.8</v>
      </c>
      <c r="M113" s="27">
        <f>M114+M116</f>
        <v>673.40000000000009</v>
      </c>
      <c r="N113" s="27">
        <f>N114+N116</f>
        <v>614.09999999999991</v>
      </c>
      <c r="O113" s="27">
        <f t="shared" si="78"/>
        <v>91.193941193941157</v>
      </c>
    </row>
    <row r="114" spans="1:15" ht="94.5" x14ac:dyDescent="0.25">
      <c r="A114" s="26" t="s">
        <v>178</v>
      </c>
      <c r="B114" s="220">
        <v>902</v>
      </c>
      <c r="C114" s="218" t="s">
        <v>169</v>
      </c>
      <c r="D114" s="218" t="s">
        <v>191</v>
      </c>
      <c r="E114" s="218" t="s">
        <v>241</v>
      </c>
      <c r="F114" s="218" t="s">
        <v>179</v>
      </c>
      <c r="G114" s="27">
        <f>G115</f>
        <v>701.8</v>
      </c>
      <c r="H114" s="27">
        <f>H115</f>
        <v>537.5</v>
      </c>
      <c r="I114" s="27">
        <f t="shared" si="107"/>
        <v>701.8</v>
      </c>
      <c r="J114" s="27">
        <f t="shared" si="107"/>
        <v>701.8</v>
      </c>
      <c r="K114" s="27">
        <f t="shared" si="107"/>
        <v>701.8</v>
      </c>
      <c r="L114" s="27">
        <f t="shared" si="107"/>
        <v>701.8</v>
      </c>
      <c r="M114" s="27">
        <f t="shared" ref="M114:N114" si="108">M115</f>
        <v>450.40000000000003</v>
      </c>
      <c r="N114" s="27">
        <f t="shared" si="108"/>
        <v>450.4</v>
      </c>
      <c r="O114" s="27">
        <f t="shared" si="78"/>
        <v>99.999999999999986</v>
      </c>
    </row>
    <row r="115" spans="1:15" ht="31.5" x14ac:dyDescent="0.25">
      <c r="A115" s="26" t="s">
        <v>180</v>
      </c>
      <c r="B115" s="220">
        <v>902</v>
      </c>
      <c r="C115" s="218" t="s">
        <v>169</v>
      </c>
      <c r="D115" s="218" t="s">
        <v>191</v>
      </c>
      <c r="E115" s="218" t="s">
        <v>241</v>
      </c>
      <c r="F115" s="218" t="s">
        <v>181</v>
      </c>
      <c r="G115" s="27">
        <v>701.8</v>
      </c>
      <c r="H115" s="27">
        <v>537.5</v>
      </c>
      <c r="I115" s="27">
        <v>701.8</v>
      </c>
      <c r="J115" s="27">
        <v>701.8</v>
      </c>
      <c r="K115" s="27">
        <v>701.8</v>
      </c>
      <c r="L115" s="27">
        <v>701.8</v>
      </c>
      <c r="M115" s="27">
        <f>471.1-20.7</f>
        <v>450.40000000000003</v>
      </c>
      <c r="N115" s="27">
        <v>450.4</v>
      </c>
      <c r="O115" s="27">
        <f t="shared" si="78"/>
        <v>99.999999999999986</v>
      </c>
    </row>
    <row r="116" spans="1:15" ht="31.5" x14ac:dyDescent="0.25">
      <c r="A116" s="26" t="s">
        <v>182</v>
      </c>
      <c r="B116" s="220">
        <v>902</v>
      </c>
      <c r="C116" s="218" t="s">
        <v>169</v>
      </c>
      <c r="D116" s="218" t="s">
        <v>191</v>
      </c>
      <c r="E116" s="218" t="s">
        <v>241</v>
      </c>
      <c r="F116" s="218" t="s">
        <v>183</v>
      </c>
      <c r="G116" s="27"/>
      <c r="H116" s="27"/>
      <c r="I116" s="27"/>
      <c r="J116" s="27"/>
      <c r="K116" s="27"/>
      <c r="L116" s="27"/>
      <c r="M116" s="27">
        <f>M117</f>
        <v>223</v>
      </c>
      <c r="N116" s="27">
        <f>N117</f>
        <v>163.69999999999999</v>
      </c>
      <c r="O116" s="27">
        <f t="shared" si="78"/>
        <v>73.408071748878925</v>
      </c>
    </row>
    <row r="117" spans="1:15" ht="47.25" x14ac:dyDescent="0.25">
      <c r="A117" s="26" t="s">
        <v>184</v>
      </c>
      <c r="B117" s="220">
        <v>902</v>
      </c>
      <c r="C117" s="218" t="s">
        <v>169</v>
      </c>
      <c r="D117" s="218" t="s">
        <v>191</v>
      </c>
      <c r="E117" s="218" t="s">
        <v>241</v>
      </c>
      <c r="F117" s="218" t="s">
        <v>185</v>
      </c>
      <c r="G117" s="27"/>
      <c r="H117" s="27"/>
      <c r="I117" s="27"/>
      <c r="J117" s="27"/>
      <c r="K117" s="27"/>
      <c r="L117" s="27"/>
      <c r="M117" s="27">
        <f>223-20.7+20.7</f>
        <v>223</v>
      </c>
      <c r="N117" s="27">
        <v>163.69999999999999</v>
      </c>
      <c r="O117" s="27">
        <f t="shared" si="78"/>
        <v>73.408071748878925</v>
      </c>
    </row>
    <row r="118" spans="1:15" ht="47.25" hidden="1" x14ac:dyDescent="0.25">
      <c r="A118" s="35" t="s">
        <v>242</v>
      </c>
      <c r="B118" s="220">
        <v>902</v>
      </c>
      <c r="C118" s="218" t="s">
        <v>169</v>
      </c>
      <c r="D118" s="218" t="s">
        <v>191</v>
      </c>
      <c r="E118" s="218" t="s">
        <v>243</v>
      </c>
      <c r="F118" s="218"/>
      <c r="G118" s="27">
        <f>G119</f>
        <v>40</v>
      </c>
      <c r="H118" s="27">
        <f>H119</f>
        <v>20</v>
      </c>
      <c r="I118" s="27">
        <f t="shared" ref="I118:L119" si="109">I119</f>
        <v>40</v>
      </c>
      <c r="J118" s="27">
        <f t="shared" si="109"/>
        <v>40</v>
      </c>
      <c r="K118" s="27">
        <f t="shared" si="109"/>
        <v>40</v>
      </c>
      <c r="L118" s="27">
        <f t="shared" si="109"/>
        <v>40</v>
      </c>
      <c r="M118" s="27">
        <f t="shared" ref="M118:N119" si="110">M119</f>
        <v>0</v>
      </c>
      <c r="N118" s="27">
        <f t="shared" si="110"/>
        <v>0</v>
      </c>
      <c r="O118" s="27" t="e">
        <f t="shared" si="78"/>
        <v>#DIV/0!</v>
      </c>
    </row>
    <row r="119" spans="1:15" ht="31.5" hidden="1" x14ac:dyDescent="0.25">
      <c r="A119" s="26" t="s">
        <v>182</v>
      </c>
      <c r="B119" s="220">
        <v>902</v>
      </c>
      <c r="C119" s="218" t="s">
        <v>169</v>
      </c>
      <c r="D119" s="218" t="s">
        <v>191</v>
      </c>
      <c r="E119" s="218" t="s">
        <v>243</v>
      </c>
      <c r="F119" s="218" t="s">
        <v>183</v>
      </c>
      <c r="G119" s="27">
        <f>G120</f>
        <v>40</v>
      </c>
      <c r="H119" s="27">
        <f>H120</f>
        <v>20</v>
      </c>
      <c r="I119" s="27">
        <f t="shared" si="109"/>
        <v>40</v>
      </c>
      <c r="J119" s="27">
        <f t="shared" si="109"/>
        <v>40</v>
      </c>
      <c r="K119" s="27">
        <f t="shared" si="109"/>
        <v>40</v>
      </c>
      <c r="L119" s="27">
        <f t="shared" si="109"/>
        <v>40</v>
      </c>
      <c r="M119" s="27">
        <f t="shared" si="110"/>
        <v>0</v>
      </c>
      <c r="N119" s="27">
        <f t="shared" si="110"/>
        <v>0</v>
      </c>
      <c r="O119" s="27" t="e">
        <f t="shared" si="78"/>
        <v>#DIV/0!</v>
      </c>
    </row>
    <row r="120" spans="1:15" ht="47.25" hidden="1" x14ac:dyDescent="0.25">
      <c r="A120" s="26" t="s">
        <v>184</v>
      </c>
      <c r="B120" s="220">
        <v>902</v>
      </c>
      <c r="C120" s="218" t="s">
        <v>169</v>
      </c>
      <c r="D120" s="218" t="s">
        <v>191</v>
      </c>
      <c r="E120" s="218" t="s">
        <v>243</v>
      </c>
      <c r="F120" s="218" t="s">
        <v>185</v>
      </c>
      <c r="G120" s="27">
        <f>36+4</f>
        <v>40</v>
      </c>
      <c r="H120" s="27">
        <v>20</v>
      </c>
      <c r="I120" s="27">
        <f t="shared" ref="I120:L120" si="111">36+4</f>
        <v>40</v>
      </c>
      <c r="J120" s="27">
        <f t="shared" si="111"/>
        <v>40</v>
      </c>
      <c r="K120" s="27">
        <f t="shared" si="111"/>
        <v>40</v>
      </c>
      <c r="L120" s="27">
        <f t="shared" si="111"/>
        <v>40</v>
      </c>
      <c r="M120" s="27">
        <f>36+4-40</f>
        <v>0</v>
      </c>
      <c r="N120" s="27">
        <f>36+4-40</f>
        <v>0</v>
      </c>
      <c r="O120" s="27" t="e">
        <f t="shared" si="78"/>
        <v>#DIV/0!</v>
      </c>
    </row>
    <row r="121" spans="1:15" ht="31.5" hidden="1" customHeight="1" x14ac:dyDescent="0.25">
      <c r="A121" s="33" t="s">
        <v>244</v>
      </c>
      <c r="B121" s="220">
        <v>902</v>
      </c>
      <c r="C121" s="218" t="s">
        <v>169</v>
      </c>
      <c r="D121" s="218" t="s">
        <v>191</v>
      </c>
      <c r="E121" s="218" t="s">
        <v>243</v>
      </c>
      <c r="F121" s="218"/>
      <c r="G121" s="27">
        <f t="shared" ref="G121:L122" si="112">G122</f>
        <v>0</v>
      </c>
      <c r="H121" s="27">
        <f t="shared" si="112"/>
        <v>0</v>
      </c>
      <c r="I121" s="27">
        <f t="shared" si="112"/>
        <v>0</v>
      </c>
      <c r="J121" s="27">
        <f t="shared" si="112"/>
        <v>0</v>
      </c>
      <c r="K121" s="27">
        <f t="shared" si="112"/>
        <v>0</v>
      </c>
      <c r="L121" s="27">
        <f t="shared" si="112"/>
        <v>0</v>
      </c>
      <c r="M121" s="27">
        <f t="shared" ref="M121:N122" si="113">M122</f>
        <v>0</v>
      </c>
      <c r="N121" s="27">
        <f t="shared" si="113"/>
        <v>0</v>
      </c>
      <c r="O121" s="27" t="e">
        <f t="shared" si="78"/>
        <v>#DIV/0!</v>
      </c>
    </row>
    <row r="122" spans="1:15" ht="31.5" hidden="1" customHeight="1" x14ac:dyDescent="0.25">
      <c r="A122" s="26" t="s">
        <v>182</v>
      </c>
      <c r="B122" s="220">
        <v>902</v>
      </c>
      <c r="C122" s="218" t="s">
        <v>169</v>
      </c>
      <c r="D122" s="218" t="s">
        <v>191</v>
      </c>
      <c r="E122" s="218" t="s">
        <v>243</v>
      </c>
      <c r="F122" s="218" t="s">
        <v>183</v>
      </c>
      <c r="G122" s="27">
        <f t="shared" si="112"/>
        <v>0</v>
      </c>
      <c r="H122" s="27">
        <f t="shared" si="112"/>
        <v>0</v>
      </c>
      <c r="I122" s="27">
        <f t="shared" si="112"/>
        <v>0</v>
      </c>
      <c r="J122" s="27">
        <f t="shared" si="112"/>
        <v>0</v>
      </c>
      <c r="K122" s="27">
        <f t="shared" si="112"/>
        <v>0</v>
      </c>
      <c r="L122" s="27">
        <f t="shared" si="112"/>
        <v>0</v>
      </c>
      <c r="M122" s="27">
        <f t="shared" si="113"/>
        <v>0</v>
      </c>
      <c r="N122" s="27">
        <f t="shared" si="113"/>
        <v>0</v>
      </c>
      <c r="O122" s="27" t="e">
        <f t="shared" si="78"/>
        <v>#DIV/0!</v>
      </c>
    </row>
    <row r="123" spans="1:15" ht="47.25" hidden="1" customHeight="1" x14ac:dyDescent="0.25">
      <c r="A123" s="26" t="s">
        <v>184</v>
      </c>
      <c r="B123" s="220">
        <v>902</v>
      </c>
      <c r="C123" s="218" t="s">
        <v>169</v>
      </c>
      <c r="D123" s="218" t="s">
        <v>191</v>
      </c>
      <c r="E123" s="218" t="s">
        <v>243</v>
      </c>
      <c r="F123" s="218" t="s">
        <v>185</v>
      </c>
      <c r="G123" s="27"/>
      <c r="H123" s="27"/>
      <c r="I123" s="27"/>
      <c r="J123" s="27"/>
      <c r="K123" s="27"/>
      <c r="L123" s="27"/>
      <c r="M123" s="27"/>
      <c r="N123" s="27"/>
      <c r="O123" s="27" t="e">
        <f t="shared" si="78"/>
        <v>#DIV/0!</v>
      </c>
    </row>
    <row r="124" spans="1:15" ht="63" x14ac:dyDescent="0.25">
      <c r="A124" s="33" t="s">
        <v>245</v>
      </c>
      <c r="B124" s="220">
        <v>902</v>
      </c>
      <c r="C124" s="218" t="s">
        <v>169</v>
      </c>
      <c r="D124" s="218" t="s">
        <v>191</v>
      </c>
      <c r="E124" s="218" t="s">
        <v>246</v>
      </c>
      <c r="F124" s="218"/>
      <c r="G124" s="27">
        <f>G125</f>
        <v>1752.9</v>
      </c>
      <c r="H124" s="27">
        <f>H125</f>
        <v>1279.5</v>
      </c>
      <c r="I124" s="27">
        <f t="shared" ref="I124:L125" si="114">I125</f>
        <v>1752.9</v>
      </c>
      <c r="J124" s="27">
        <f t="shared" si="114"/>
        <v>1752.9</v>
      </c>
      <c r="K124" s="27">
        <f t="shared" si="114"/>
        <v>1752.9</v>
      </c>
      <c r="L124" s="27">
        <f t="shared" si="114"/>
        <v>1752.9</v>
      </c>
      <c r="M124" s="27">
        <f>M125+M127</f>
        <v>1396</v>
      </c>
      <c r="N124" s="27">
        <f>N125+N127</f>
        <v>973.5</v>
      </c>
      <c r="O124" s="27">
        <f t="shared" si="78"/>
        <v>69.734957020057308</v>
      </c>
    </row>
    <row r="125" spans="1:15" ht="94.5" x14ac:dyDescent="0.25">
      <c r="A125" s="26" t="s">
        <v>178</v>
      </c>
      <c r="B125" s="220">
        <v>902</v>
      </c>
      <c r="C125" s="218" t="s">
        <v>169</v>
      </c>
      <c r="D125" s="218" t="s">
        <v>191</v>
      </c>
      <c r="E125" s="218" t="s">
        <v>246</v>
      </c>
      <c r="F125" s="218" t="s">
        <v>179</v>
      </c>
      <c r="G125" s="27">
        <f>G126</f>
        <v>1752.9</v>
      </c>
      <c r="H125" s="27">
        <f>H126</f>
        <v>1279.5</v>
      </c>
      <c r="I125" s="27">
        <f t="shared" si="114"/>
        <v>1752.9</v>
      </c>
      <c r="J125" s="27">
        <f t="shared" si="114"/>
        <v>1752.9</v>
      </c>
      <c r="K125" s="27">
        <f t="shared" si="114"/>
        <v>1752.9</v>
      </c>
      <c r="L125" s="27">
        <f t="shared" si="114"/>
        <v>1752.9</v>
      </c>
      <c r="M125" s="27">
        <f t="shared" ref="M125:N125" si="115">M126</f>
        <v>1356.3</v>
      </c>
      <c r="N125" s="27">
        <f t="shared" si="115"/>
        <v>952.8</v>
      </c>
      <c r="O125" s="27">
        <f t="shared" si="78"/>
        <v>70.249944702499448</v>
      </c>
    </row>
    <row r="126" spans="1:15" ht="31.5" x14ac:dyDescent="0.25">
      <c r="A126" s="26" t="s">
        <v>180</v>
      </c>
      <c r="B126" s="220">
        <v>902</v>
      </c>
      <c r="C126" s="218" t="s">
        <v>169</v>
      </c>
      <c r="D126" s="218" t="s">
        <v>191</v>
      </c>
      <c r="E126" s="218" t="s">
        <v>246</v>
      </c>
      <c r="F126" s="218" t="s">
        <v>181</v>
      </c>
      <c r="G126" s="27">
        <v>1752.9</v>
      </c>
      <c r="H126" s="27">
        <v>1279.5</v>
      </c>
      <c r="I126" s="27">
        <v>1752.9</v>
      </c>
      <c r="J126" s="27">
        <v>1752.9</v>
      </c>
      <c r="K126" s="27">
        <v>1752.9</v>
      </c>
      <c r="L126" s="27">
        <v>1752.9</v>
      </c>
      <c r="M126" s="27">
        <f>1752.9+-156.9+116.5-356.2</f>
        <v>1356.3</v>
      </c>
      <c r="N126" s="27">
        <v>952.8</v>
      </c>
      <c r="O126" s="27">
        <f t="shared" si="78"/>
        <v>70.249944702499448</v>
      </c>
    </row>
    <row r="127" spans="1:15" ht="31.5" x14ac:dyDescent="0.25">
      <c r="A127" s="26" t="s">
        <v>182</v>
      </c>
      <c r="B127" s="220">
        <v>902</v>
      </c>
      <c r="C127" s="218" t="s">
        <v>169</v>
      </c>
      <c r="D127" s="218" t="s">
        <v>191</v>
      </c>
      <c r="E127" s="218" t="s">
        <v>246</v>
      </c>
      <c r="F127" s="218" t="s">
        <v>183</v>
      </c>
      <c r="G127" s="27"/>
      <c r="H127" s="27"/>
      <c r="I127" s="27"/>
      <c r="J127" s="27"/>
      <c r="K127" s="27"/>
      <c r="L127" s="27"/>
      <c r="M127" s="27">
        <f>M128</f>
        <v>39.700000000000003</v>
      </c>
      <c r="N127" s="27">
        <f>N128</f>
        <v>20.7</v>
      </c>
      <c r="O127" s="27">
        <f t="shared" si="78"/>
        <v>52.141057934508808</v>
      </c>
    </row>
    <row r="128" spans="1:15" ht="47.25" x14ac:dyDescent="0.25">
      <c r="A128" s="26" t="s">
        <v>184</v>
      </c>
      <c r="B128" s="220">
        <v>902</v>
      </c>
      <c r="C128" s="218" t="s">
        <v>169</v>
      </c>
      <c r="D128" s="218" t="s">
        <v>191</v>
      </c>
      <c r="E128" s="218" t="s">
        <v>246</v>
      </c>
      <c r="F128" s="218" t="s">
        <v>185</v>
      </c>
      <c r="G128" s="27"/>
      <c r="H128" s="27"/>
      <c r="I128" s="27"/>
      <c r="J128" s="27"/>
      <c r="K128" s="27"/>
      <c r="L128" s="27"/>
      <c r="M128" s="27">
        <f>156.9-116.5-0.7</f>
        <v>39.700000000000003</v>
      </c>
      <c r="N128" s="27">
        <v>20.7</v>
      </c>
      <c r="O128" s="27">
        <f t="shared" si="78"/>
        <v>52.141057934508808</v>
      </c>
    </row>
    <row r="129" spans="1:15" ht="47.25" x14ac:dyDescent="0.25">
      <c r="A129" s="33" t="s">
        <v>247</v>
      </c>
      <c r="B129" s="220">
        <v>902</v>
      </c>
      <c r="C129" s="218" t="s">
        <v>169</v>
      </c>
      <c r="D129" s="218" t="s">
        <v>191</v>
      </c>
      <c r="E129" s="218" t="s">
        <v>248</v>
      </c>
      <c r="F129" s="218"/>
      <c r="G129" s="27">
        <f>G130+G132</f>
        <v>1106.1999999999998</v>
      </c>
      <c r="H129" s="27">
        <f>H130+H132</f>
        <v>675.40000000000009</v>
      </c>
      <c r="I129" s="27">
        <f t="shared" ref="I129:L129" si="116">I130+I132</f>
        <v>1106.1999999999998</v>
      </c>
      <c r="J129" s="27">
        <f t="shared" si="116"/>
        <v>1106.1999999999998</v>
      </c>
      <c r="K129" s="27">
        <f t="shared" si="116"/>
        <v>1106.1999999999998</v>
      </c>
      <c r="L129" s="27">
        <f t="shared" si="116"/>
        <v>1106.1999999999998</v>
      </c>
      <c r="M129" s="27">
        <f t="shared" ref="M129:N129" si="117">M130+M132</f>
        <v>1106.2</v>
      </c>
      <c r="N129" s="27">
        <f t="shared" si="117"/>
        <v>429.2</v>
      </c>
      <c r="O129" s="27">
        <f t="shared" si="78"/>
        <v>38.79949376242994</v>
      </c>
    </row>
    <row r="130" spans="1:15" ht="94.5" x14ac:dyDescent="0.25">
      <c r="A130" s="26" t="s">
        <v>178</v>
      </c>
      <c r="B130" s="220">
        <v>902</v>
      </c>
      <c r="C130" s="218" t="s">
        <v>169</v>
      </c>
      <c r="D130" s="218" t="s">
        <v>191</v>
      </c>
      <c r="E130" s="218" t="s">
        <v>248</v>
      </c>
      <c r="F130" s="218" t="s">
        <v>179</v>
      </c>
      <c r="G130" s="27">
        <f>G131</f>
        <v>1073.0999999999999</v>
      </c>
      <c r="H130" s="27">
        <f>H131</f>
        <v>667.2</v>
      </c>
      <c r="I130" s="27">
        <f t="shared" ref="I130:L130" si="118">I131</f>
        <v>1073.0999999999999</v>
      </c>
      <c r="J130" s="27">
        <f t="shared" si="118"/>
        <v>1073.0999999999999</v>
      </c>
      <c r="K130" s="27">
        <f t="shared" si="118"/>
        <v>1073.0999999999999</v>
      </c>
      <c r="L130" s="27">
        <f t="shared" si="118"/>
        <v>1073.0999999999999</v>
      </c>
      <c r="M130" s="27">
        <f t="shared" ref="M130:N130" si="119">M131</f>
        <v>1025.5</v>
      </c>
      <c r="N130" s="27">
        <f t="shared" si="119"/>
        <v>421.8</v>
      </c>
      <c r="O130" s="27">
        <f t="shared" si="78"/>
        <v>41.131155533885909</v>
      </c>
    </row>
    <row r="131" spans="1:15" ht="31.5" x14ac:dyDescent="0.25">
      <c r="A131" s="26" t="s">
        <v>180</v>
      </c>
      <c r="B131" s="220">
        <v>902</v>
      </c>
      <c r="C131" s="218" t="s">
        <v>169</v>
      </c>
      <c r="D131" s="218" t="s">
        <v>191</v>
      </c>
      <c r="E131" s="218" t="s">
        <v>248</v>
      </c>
      <c r="F131" s="218" t="s">
        <v>181</v>
      </c>
      <c r="G131" s="27">
        <f>1537-463.9</f>
        <v>1073.0999999999999</v>
      </c>
      <c r="H131" s="27">
        <v>667.2</v>
      </c>
      <c r="I131" s="27">
        <f t="shared" ref="I131:L131" si="120">1537-463.9</f>
        <v>1073.0999999999999</v>
      </c>
      <c r="J131" s="27">
        <f t="shared" si="120"/>
        <v>1073.0999999999999</v>
      </c>
      <c r="K131" s="27">
        <f t="shared" si="120"/>
        <v>1073.0999999999999</v>
      </c>
      <c r="L131" s="27">
        <f t="shared" si="120"/>
        <v>1073.0999999999999</v>
      </c>
      <c r="M131" s="27">
        <f>1537-463.9-47.6</f>
        <v>1025.5</v>
      </c>
      <c r="N131" s="27">
        <v>421.8</v>
      </c>
      <c r="O131" s="27">
        <f t="shared" si="78"/>
        <v>41.131155533885909</v>
      </c>
    </row>
    <row r="132" spans="1:15" ht="47.25" x14ac:dyDescent="0.25">
      <c r="A132" s="26" t="s">
        <v>249</v>
      </c>
      <c r="B132" s="220">
        <v>902</v>
      </c>
      <c r="C132" s="218" t="s">
        <v>169</v>
      </c>
      <c r="D132" s="218" t="s">
        <v>191</v>
      </c>
      <c r="E132" s="218" t="s">
        <v>248</v>
      </c>
      <c r="F132" s="218" t="s">
        <v>183</v>
      </c>
      <c r="G132" s="27">
        <f>G133</f>
        <v>33.1</v>
      </c>
      <c r="H132" s="27">
        <f>H133</f>
        <v>8.1999999999999993</v>
      </c>
      <c r="I132" s="27">
        <f t="shared" ref="I132:L132" si="121">I133</f>
        <v>33.1</v>
      </c>
      <c r="J132" s="27">
        <f t="shared" si="121"/>
        <v>33.1</v>
      </c>
      <c r="K132" s="27">
        <f t="shared" si="121"/>
        <v>33.1</v>
      </c>
      <c r="L132" s="27">
        <f t="shared" si="121"/>
        <v>33.1</v>
      </c>
      <c r="M132" s="27">
        <f t="shared" ref="M132:N132" si="122">M133</f>
        <v>80.7</v>
      </c>
      <c r="N132" s="27">
        <f t="shared" si="122"/>
        <v>7.4</v>
      </c>
      <c r="O132" s="27">
        <f t="shared" si="78"/>
        <v>9.1697645600991322</v>
      </c>
    </row>
    <row r="133" spans="1:15" ht="47.25" x14ac:dyDescent="0.25">
      <c r="A133" s="26" t="s">
        <v>184</v>
      </c>
      <c r="B133" s="220">
        <v>902</v>
      </c>
      <c r="C133" s="218" t="s">
        <v>169</v>
      </c>
      <c r="D133" s="218" t="s">
        <v>191</v>
      </c>
      <c r="E133" s="218" t="s">
        <v>248</v>
      </c>
      <c r="F133" s="218" t="s">
        <v>185</v>
      </c>
      <c r="G133" s="27">
        <v>33.1</v>
      </c>
      <c r="H133" s="27">
        <v>8.1999999999999993</v>
      </c>
      <c r="I133" s="27">
        <v>33.1</v>
      </c>
      <c r="J133" s="27">
        <v>33.1</v>
      </c>
      <c r="K133" s="27">
        <v>33.1</v>
      </c>
      <c r="L133" s="27">
        <v>33.1</v>
      </c>
      <c r="M133" s="27">
        <f>33.1+47.6</f>
        <v>80.7</v>
      </c>
      <c r="N133" s="27">
        <v>7.4</v>
      </c>
      <c r="O133" s="27">
        <f t="shared" si="78"/>
        <v>9.1697645600991322</v>
      </c>
    </row>
    <row r="134" spans="1:15" ht="15.75" x14ac:dyDescent="0.25">
      <c r="A134" s="26" t="s">
        <v>192</v>
      </c>
      <c r="B134" s="220">
        <v>902</v>
      </c>
      <c r="C134" s="218" t="s">
        <v>169</v>
      </c>
      <c r="D134" s="218" t="s">
        <v>191</v>
      </c>
      <c r="E134" s="218" t="s">
        <v>193</v>
      </c>
      <c r="F134" s="218"/>
      <c r="G134" s="27">
        <f>G147+G152+G157</f>
        <v>8739.4</v>
      </c>
      <c r="H134" s="27">
        <f>H147+H152+H157</f>
        <v>6007.9</v>
      </c>
      <c r="I134" s="27">
        <f t="shared" ref="I134:L134" si="123">I147+I152+I157</f>
        <v>8670.2999999999993</v>
      </c>
      <c r="J134" s="27">
        <f t="shared" si="123"/>
        <v>10065.799999999999</v>
      </c>
      <c r="K134" s="27">
        <f t="shared" si="123"/>
        <v>10211.700000000001</v>
      </c>
      <c r="L134" s="27">
        <f t="shared" si="123"/>
        <v>10338</v>
      </c>
      <c r="M134" s="27">
        <f t="shared" ref="M134:N134" si="124">M147+M152+M157</f>
        <v>6357.7</v>
      </c>
      <c r="N134" s="27">
        <f t="shared" si="124"/>
        <v>4650.8</v>
      </c>
      <c r="O134" s="27">
        <f t="shared" si="78"/>
        <v>73.152240590150527</v>
      </c>
    </row>
    <row r="135" spans="1:15" ht="15.75" hidden="1" customHeight="1" x14ac:dyDescent="0.25">
      <c r="A135" s="26" t="s">
        <v>250</v>
      </c>
      <c r="B135" s="220">
        <v>902</v>
      </c>
      <c r="C135" s="218" t="s">
        <v>169</v>
      </c>
      <c r="D135" s="218" t="s">
        <v>191</v>
      </c>
      <c r="E135" s="218" t="s">
        <v>251</v>
      </c>
      <c r="F135" s="218"/>
      <c r="G135" s="27">
        <f t="shared" ref="G135:L136" si="125">G136</f>
        <v>0</v>
      </c>
      <c r="H135" s="27">
        <f t="shared" si="125"/>
        <v>0</v>
      </c>
      <c r="I135" s="27">
        <f t="shared" si="125"/>
        <v>0</v>
      </c>
      <c r="J135" s="27">
        <f t="shared" si="125"/>
        <v>0</v>
      </c>
      <c r="K135" s="27">
        <f t="shared" si="125"/>
        <v>0</v>
      </c>
      <c r="L135" s="27">
        <f t="shared" si="125"/>
        <v>0</v>
      </c>
      <c r="M135" s="27">
        <f t="shared" ref="M135:N136" si="126">M136</f>
        <v>0</v>
      </c>
      <c r="N135" s="27">
        <f t="shared" si="126"/>
        <v>0</v>
      </c>
      <c r="O135" s="27" t="e">
        <f t="shared" si="78"/>
        <v>#DIV/0!</v>
      </c>
    </row>
    <row r="136" spans="1:15" ht="33" hidden="1" customHeight="1" x14ac:dyDescent="0.25">
      <c r="A136" s="26" t="s">
        <v>249</v>
      </c>
      <c r="B136" s="220">
        <v>902</v>
      </c>
      <c r="C136" s="218" t="s">
        <v>169</v>
      </c>
      <c r="D136" s="218" t="s">
        <v>191</v>
      </c>
      <c r="E136" s="218" t="s">
        <v>251</v>
      </c>
      <c r="F136" s="218" t="s">
        <v>183</v>
      </c>
      <c r="G136" s="27">
        <f t="shared" si="125"/>
        <v>0</v>
      </c>
      <c r="H136" s="27">
        <f t="shared" si="125"/>
        <v>0</v>
      </c>
      <c r="I136" s="27">
        <f t="shared" si="125"/>
        <v>0</v>
      </c>
      <c r="J136" s="27">
        <f t="shared" si="125"/>
        <v>0</v>
      </c>
      <c r="K136" s="27">
        <f t="shared" si="125"/>
        <v>0</v>
      </c>
      <c r="L136" s="27">
        <f t="shared" si="125"/>
        <v>0</v>
      </c>
      <c r="M136" s="27">
        <f t="shared" si="126"/>
        <v>0</v>
      </c>
      <c r="N136" s="27">
        <f t="shared" si="126"/>
        <v>0</v>
      </c>
      <c r="O136" s="27" t="e">
        <f t="shared" si="78"/>
        <v>#DIV/0!</v>
      </c>
    </row>
    <row r="137" spans="1:15" ht="47.25" hidden="1" customHeight="1" x14ac:dyDescent="0.25">
      <c r="A137" s="26" t="s">
        <v>184</v>
      </c>
      <c r="B137" s="220">
        <v>902</v>
      </c>
      <c r="C137" s="218" t="s">
        <v>169</v>
      </c>
      <c r="D137" s="218" t="s">
        <v>191</v>
      </c>
      <c r="E137" s="218" t="s">
        <v>251</v>
      </c>
      <c r="F137" s="218" t="s">
        <v>185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 t="e">
        <f t="shared" si="78"/>
        <v>#DIV/0!</v>
      </c>
    </row>
    <row r="138" spans="1:15" ht="15.75" hidden="1" customHeight="1" x14ac:dyDescent="0.25">
      <c r="A138" s="26" t="s">
        <v>252</v>
      </c>
      <c r="B138" s="220">
        <v>902</v>
      </c>
      <c r="C138" s="218" t="s">
        <v>169</v>
      </c>
      <c r="D138" s="218" t="s">
        <v>191</v>
      </c>
      <c r="E138" s="218" t="s">
        <v>253</v>
      </c>
      <c r="F138" s="219"/>
      <c r="G138" s="27">
        <f t="shared" ref="G138:L139" si="127">G139</f>
        <v>0</v>
      </c>
      <c r="H138" s="27">
        <f t="shared" si="127"/>
        <v>0</v>
      </c>
      <c r="I138" s="27">
        <f t="shared" si="127"/>
        <v>0</v>
      </c>
      <c r="J138" s="27">
        <f t="shared" si="127"/>
        <v>0</v>
      </c>
      <c r="K138" s="27">
        <f t="shared" si="127"/>
        <v>0</v>
      </c>
      <c r="L138" s="27">
        <f t="shared" si="127"/>
        <v>0</v>
      </c>
      <c r="M138" s="27">
        <f t="shared" ref="M138:N139" si="128">M139</f>
        <v>0</v>
      </c>
      <c r="N138" s="27">
        <f t="shared" si="128"/>
        <v>0</v>
      </c>
      <c r="O138" s="27" t="e">
        <f t="shared" si="78"/>
        <v>#DIV/0!</v>
      </c>
    </row>
    <row r="139" spans="1:15" ht="47.25" hidden="1" customHeight="1" x14ac:dyDescent="0.25">
      <c r="A139" s="26" t="s">
        <v>249</v>
      </c>
      <c r="B139" s="220">
        <v>902</v>
      </c>
      <c r="C139" s="218" t="s">
        <v>169</v>
      </c>
      <c r="D139" s="218" t="s">
        <v>191</v>
      </c>
      <c r="E139" s="218" t="s">
        <v>253</v>
      </c>
      <c r="F139" s="218" t="s">
        <v>183</v>
      </c>
      <c r="G139" s="27">
        <f t="shared" si="127"/>
        <v>0</v>
      </c>
      <c r="H139" s="27">
        <f t="shared" si="127"/>
        <v>0</v>
      </c>
      <c r="I139" s="27">
        <f t="shared" si="127"/>
        <v>0</v>
      </c>
      <c r="J139" s="27">
        <f t="shared" si="127"/>
        <v>0</v>
      </c>
      <c r="K139" s="27">
        <f t="shared" si="127"/>
        <v>0</v>
      </c>
      <c r="L139" s="27">
        <f t="shared" si="127"/>
        <v>0</v>
      </c>
      <c r="M139" s="27">
        <f t="shared" si="128"/>
        <v>0</v>
      </c>
      <c r="N139" s="27">
        <f t="shared" si="128"/>
        <v>0</v>
      </c>
      <c r="O139" s="27" t="e">
        <f t="shared" si="78"/>
        <v>#DIV/0!</v>
      </c>
    </row>
    <row r="140" spans="1:15" ht="47.25" hidden="1" customHeight="1" x14ac:dyDescent="0.25">
      <c r="A140" s="26" t="s">
        <v>184</v>
      </c>
      <c r="B140" s="220">
        <v>902</v>
      </c>
      <c r="C140" s="218" t="s">
        <v>169</v>
      </c>
      <c r="D140" s="218" t="s">
        <v>191</v>
      </c>
      <c r="E140" s="218" t="s">
        <v>253</v>
      </c>
      <c r="F140" s="218" t="s">
        <v>185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 t="e">
        <f t="shared" ref="O140:O203" si="129">N140/M140*100</f>
        <v>#DIV/0!</v>
      </c>
    </row>
    <row r="141" spans="1:15" ht="31.5" hidden="1" customHeight="1" x14ac:dyDescent="0.25">
      <c r="A141" s="26" t="s">
        <v>254</v>
      </c>
      <c r="B141" s="220">
        <v>902</v>
      </c>
      <c r="C141" s="218" t="s">
        <v>169</v>
      </c>
      <c r="D141" s="218" t="s">
        <v>191</v>
      </c>
      <c r="E141" s="218" t="s">
        <v>255</v>
      </c>
      <c r="F141" s="218"/>
      <c r="G141" s="27">
        <f t="shared" ref="G141:L142" si="130">G142</f>
        <v>0</v>
      </c>
      <c r="H141" s="27">
        <f t="shared" si="130"/>
        <v>0</v>
      </c>
      <c r="I141" s="27">
        <f t="shared" si="130"/>
        <v>0</v>
      </c>
      <c r="J141" s="27">
        <f t="shared" si="130"/>
        <v>0</v>
      </c>
      <c r="K141" s="27">
        <f t="shared" si="130"/>
        <v>0</v>
      </c>
      <c r="L141" s="27">
        <f t="shared" si="130"/>
        <v>0</v>
      </c>
      <c r="M141" s="27">
        <f t="shared" ref="M141:N142" si="131">M142</f>
        <v>0</v>
      </c>
      <c r="N141" s="27">
        <f t="shared" si="131"/>
        <v>0</v>
      </c>
      <c r="O141" s="27" t="e">
        <f t="shared" si="129"/>
        <v>#DIV/0!</v>
      </c>
    </row>
    <row r="142" spans="1:15" ht="47.25" hidden="1" customHeight="1" x14ac:dyDescent="0.25">
      <c r="A142" s="26" t="s">
        <v>249</v>
      </c>
      <c r="B142" s="220">
        <v>902</v>
      </c>
      <c r="C142" s="218" t="s">
        <v>169</v>
      </c>
      <c r="D142" s="218" t="s">
        <v>191</v>
      </c>
      <c r="E142" s="218" t="s">
        <v>255</v>
      </c>
      <c r="F142" s="218" t="s">
        <v>183</v>
      </c>
      <c r="G142" s="27">
        <f t="shared" si="130"/>
        <v>0</v>
      </c>
      <c r="H142" s="27">
        <f t="shared" si="130"/>
        <v>0</v>
      </c>
      <c r="I142" s="27">
        <f t="shared" si="130"/>
        <v>0</v>
      </c>
      <c r="J142" s="27">
        <f t="shared" si="130"/>
        <v>0</v>
      </c>
      <c r="K142" s="27">
        <f t="shared" si="130"/>
        <v>0</v>
      </c>
      <c r="L142" s="27">
        <f t="shared" si="130"/>
        <v>0</v>
      </c>
      <c r="M142" s="27">
        <f t="shared" si="131"/>
        <v>0</v>
      </c>
      <c r="N142" s="27">
        <f t="shared" si="131"/>
        <v>0</v>
      </c>
      <c r="O142" s="27" t="e">
        <f t="shared" si="129"/>
        <v>#DIV/0!</v>
      </c>
    </row>
    <row r="143" spans="1:15" ht="47.25" hidden="1" customHeight="1" x14ac:dyDescent="0.25">
      <c r="A143" s="26" t="s">
        <v>184</v>
      </c>
      <c r="B143" s="220">
        <v>902</v>
      </c>
      <c r="C143" s="218" t="s">
        <v>169</v>
      </c>
      <c r="D143" s="218" t="s">
        <v>191</v>
      </c>
      <c r="E143" s="218" t="s">
        <v>255</v>
      </c>
      <c r="F143" s="218" t="s">
        <v>185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 t="e">
        <f t="shared" si="129"/>
        <v>#DIV/0!</v>
      </c>
    </row>
    <row r="144" spans="1:15" ht="15.75" hidden="1" customHeight="1" x14ac:dyDescent="0.25">
      <c r="A144" s="26" t="s">
        <v>230</v>
      </c>
      <c r="B144" s="220">
        <v>902</v>
      </c>
      <c r="C144" s="218" t="s">
        <v>169</v>
      </c>
      <c r="D144" s="218" t="s">
        <v>191</v>
      </c>
      <c r="E144" s="218" t="s">
        <v>256</v>
      </c>
      <c r="F144" s="218"/>
      <c r="G144" s="27">
        <f t="shared" ref="G144:L145" si="132">G145</f>
        <v>0</v>
      </c>
      <c r="H144" s="27">
        <f t="shared" si="132"/>
        <v>0</v>
      </c>
      <c r="I144" s="27">
        <f t="shared" si="132"/>
        <v>0</v>
      </c>
      <c r="J144" s="27">
        <f t="shared" si="132"/>
        <v>0</v>
      </c>
      <c r="K144" s="27">
        <f t="shared" si="132"/>
        <v>0</v>
      </c>
      <c r="L144" s="27">
        <f t="shared" si="132"/>
        <v>0</v>
      </c>
      <c r="M144" s="27">
        <f t="shared" ref="M144:N145" si="133">M145</f>
        <v>0</v>
      </c>
      <c r="N144" s="27">
        <f t="shared" si="133"/>
        <v>0</v>
      </c>
      <c r="O144" s="27" t="e">
        <f t="shared" si="129"/>
        <v>#DIV/0!</v>
      </c>
    </row>
    <row r="145" spans="1:15" ht="47.25" hidden="1" customHeight="1" x14ac:dyDescent="0.25">
      <c r="A145" s="26" t="s">
        <v>249</v>
      </c>
      <c r="B145" s="220">
        <v>902</v>
      </c>
      <c r="C145" s="218" t="s">
        <v>169</v>
      </c>
      <c r="D145" s="218" t="s">
        <v>191</v>
      </c>
      <c r="E145" s="218" t="s">
        <v>256</v>
      </c>
      <c r="F145" s="218" t="s">
        <v>183</v>
      </c>
      <c r="G145" s="27">
        <f t="shared" si="132"/>
        <v>0</v>
      </c>
      <c r="H145" s="27">
        <f t="shared" si="132"/>
        <v>0</v>
      </c>
      <c r="I145" s="27">
        <f t="shared" si="132"/>
        <v>0</v>
      </c>
      <c r="J145" s="27">
        <f t="shared" si="132"/>
        <v>0</v>
      </c>
      <c r="K145" s="27">
        <f t="shared" si="132"/>
        <v>0</v>
      </c>
      <c r="L145" s="27">
        <f t="shared" si="132"/>
        <v>0</v>
      </c>
      <c r="M145" s="27">
        <f t="shared" si="133"/>
        <v>0</v>
      </c>
      <c r="N145" s="27">
        <f t="shared" si="133"/>
        <v>0</v>
      </c>
      <c r="O145" s="27" t="e">
        <f t="shared" si="129"/>
        <v>#DIV/0!</v>
      </c>
    </row>
    <row r="146" spans="1:15" ht="47.25" hidden="1" customHeight="1" x14ac:dyDescent="0.25">
      <c r="A146" s="26" t="s">
        <v>184</v>
      </c>
      <c r="B146" s="220">
        <v>902</v>
      </c>
      <c r="C146" s="218" t="s">
        <v>169</v>
      </c>
      <c r="D146" s="218" t="s">
        <v>191</v>
      </c>
      <c r="E146" s="218" t="s">
        <v>256</v>
      </c>
      <c r="F146" s="218" t="s">
        <v>185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 t="e">
        <f t="shared" si="129"/>
        <v>#DIV/0!</v>
      </c>
    </row>
    <row r="147" spans="1:15" ht="31.5" x14ac:dyDescent="0.25">
      <c r="A147" s="26" t="s">
        <v>257</v>
      </c>
      <c r="B147" s="220">
        <v>902</v>
      </c>
      <c r="C147" s="218" t="s">
        <v>169</v>
      </c>
      <c r="D147" s="218" t="s">
        <v>191</v>
      </c>
      <c r="E147" s="218" t="s">
        <v>258</v>
      </c>
      <c r="F147" s="218"/>
      <c r="G147" s="27">
        <f>G148+G150</f>
        <v>6126.7</v>
      </c>
      <c r="H147" s="27">
        <f>H148+H150</f>
        <v>4041.9</v>
      </c>
      <c r="I147" s="27">
        <f t="shared" ref="I147:L147" si="134">I148+I150</f>
        <v>6085.5</v>
      </c>
      <c r="J147" s="27">
        <f t="shared" si="134"/>
        <v>7619.5</v>
      </c>
      <c r="K147" s="27">
        <f t="shared" si="134"/>
        <v>7734.4</v>
      </c>
      <c r="L147" s="27">
        <f t="shared" si="134"/>
        <v>7839.7</v>
      </c>
      <c r="M147" s="27">
        <f t="shared" ref="M147:N147" si="135">M148+M150</f>
        <v>6357.7</v>
      </c>
      <c r="N147" s="27">
        <f t="shared" si="135"/>
        <v>4650.8</v>
      </c>
      <c r="O147" s="27">
        <f t="shared" si="129"/>
        <v>73.152240590150527</v>
      </c>
    </row>
    <row r="148" spans="1:15" ht="94.5" x14ac:dyDescent="0.25">
      <c r="A148" s="26" t="s">
        <v>178</v>
      </c>
      <c r="B148" s="220">
        <v>902</v>
      </c>
      <c r="C148" s="218" t="s">
        <v>169</v>
      </c>
      <c r="D148" s="218" t="s">
        <v>191</v>
      </c>
      <c r="E148" s="218" t="s">
        <v>258</v>
      </c>
      <c r="F148" s="218" t="s">
        <v>179</v>
      </c>
      <c r="G148" s="27">
        <f>G149</f>
        <v>4952</v>
      </c>
      <c r="H148" s="27">
        <f>H149</f>
        <v>3433.8</v>
      </c>
      <c r="I148" s="27">
        <f t="shared" ref="I148:L148" si="136">I149</f>
        <v>4952</v>
      </c>
      <c r="J148" s="27">
        <f t="shared" si="136"/>
        <v>6094.8</v>
      </c>
      <c r="K148" s="27">
        <f t="shared" si="136"/>
        <v>6155.8</v>
      </c>
      <c r="L148" s="27">
        <f t="shared" si="136"/>
        <v>6217.4</v>
      </c>
      <c r="M148" s="27">
        <f t="shared" ref="M148:N148" si="137">M149</f>
        <v>5183</v>
      </c>
      <c r="N148" s="27">
        <f t="shared" si="137"/>
        <v>3900.4</v>
      </c>
      <c r="O148" s="27">
        <f t="shared" si="129"/>
        <v>75.253714065213188</v>
      </c>
    </row>
    <row r="149" spans="1:15" ht="31.5" x14ac:dyDescent="0.25">
      <c r="A149" s="26" t="s">
        <v>259</v>
      </c>
      <c r="B149" s="220">
        <v>902</v>
      </c>
      <c r="C149" s="218" t="s">
        <v>169</v>
      </c>
      <c r="D149" s="218" t="s">
        <v>191</v>
      </c>
      <c r="E149" s="218" t="s">
        <v>258</v>
      </c>
      <c r="F149" s="218" t="s">
        <v>260</v>
      </c>
      <c r="G149" s="28">
        <f>5174.7-222.7</f>
        <v>4952</v>
      </c>
      <c r="H149" s="28">
        <v>3433.8</v>
      </c>
      <c r="I149" s="28">
        <f t="shared" ref="I149" si="138">5174.7-222.7</f>
        <v>4952</v>
      </c>
      <c r="J149" s="28">
        <v>6094.8</v>
      </c>
      <c r="K149" s="28">
        <v>6155.8</v>
      </c>
      <c r="L149" s="28">
        <v>6217.4</v>
      </c>
      <c r="M149" s="28">
        <f>5174.7-222.7+231</f>
        <v>5183</v>
      </c>
      <c r="N149" s="28">
        <v>3900.4</v>
      </c>
      <c r="O149" s="27">
        <f t="shared" si="129"/>
        <v>75.253714065213188</v>
      </c>
    </row>
    <row r="150" spans="1:15" ht="47.25" x14ac:dyDescent="0.25">
      <c r="A150" s="26" t="s">
        <v>249</v>
      </c>
      <c r="B150" s="220">
        <v>902</v>
      </c>
      <c r="C150" s="218" t="s">
        <v>169</v>
      </c>
      <c r="D150" s="218" t="s">
        <v>191</v>
      </c>
      <c r="E150" s="218" t="s">
        <v>258</v>
      </c>
      <c r="F150" s="218" t="s">
        <v>183</v>
      </c>
      <c r="G150" s="27">
        <f>G151</f>
        <v>1174.7</v>
      </c>
      <c r="H150" s="27">
        <f>H151</f>
        <v>608.1</v>
      </c>
      <c r="I150" s="27">
        <f t="shared" ref="I150:L150" si="139">I151</f>
        <v>1133.5</v>
      </c>
      <c r="J150" s="27">
        <f t="shared" si="139"/>
        <v>1524.7</v>
      </c>
      <c r="K150" s="27">
        <f t="shared" si="139"/>
        <v>1578.6</v>
      </c>
      <c r="L150" s="27">
        <f t="shared" si="139"/>
        <v>1622.3</v>
      </c>
      <c r="M150" s="27">
        <f t="shared" ref="M150:N150" si="140">M151</f>
        <v>1174.7</v>
      </c>
      <c r="N150" s="27">
        <f t="shared" si="140"/>
        <v>750.4</v>
      </c>
      <c r="O150" s="27">
        <f t="shared" si="129"/>
        <v>63.880139610113218</v>
      </c>
    </row>
    <row r="151" spans="1:15" ht="47.25" x14ac:dyDescent="0.25">
      <c r="A151" s="26" t="s">
        <v>184</v>
      </c>
      <c r="B151" s="220">
        <v>902</v>
      </c>
      <c r="C151" s="218" t="s">
        <v>169</v>
      </c>
      <c r="D151" s="218" t="s">
        <v>191</v>
      </c>
      <c r="E151" s="218" t="s">
        <v>258</v>
      </c>
      <c r="F151" s="218" t="s">
        <v>185</v>
      </c>
      <c r="G151" s="28">
        <f>724.7+450</f>
        <v>1174.7</v>
      </c>
      <c r="H151" s="28">
        <v>608.1</v>
      </c>
      <c r="I151" s="28">
        <v>1133.5</v>
      </c>
      <c r="J151" s="28">
        <v>1524.7</v>
      </c>
      <c r="K151" s="28">
        <v>1578.6</v>
      </c>
      <c r="L151" s="28">
        <v>1622.3</v>
      </c>
      <c r="M151" s="28">
        <f t="shared" ref="M151" si="141">724.7+450</f>
        <v>1174.7</v>
      </c>
      <c r="N151" s="28">
        <v>750.4</v>
      </c>
      <c r="O151" s="27">
        <f t="shared" si="129"/>
        <v>63.880139610113218</v>
      </c>
    </row>
    <row r="152" spans="1:15" ht="47.25" hidden="1" x14ac:dyDescent="0.25">
      <c r="A152" s="26" t="s">
        <v>261</v>
      </c>
      <c r="B152" s="220">
        <v>902</v>
      </c>
      <c r="C152" s="218" t="s">
        <v>169</v>
      </c>
      <c r="D152" s="218" t="s">
        <v>191</v>
      </c>
      <c r="E152" s="218" t="s">
        <v>262</v>
      </c>
      <c r="F152" s="218"/>
      <c r="G152" s="27">
        <f>G153+G155</f>
        <v>2520.4</v>
      </c>
      <c r="H152" s="27">
        <f>H153+H155</f>
        <v>1873.8</v>
      </c>
      <c r="I152" s="27">
        <f t="shared" ref="I152:L152" si="142">I153+I155</f>
        <v>2492.5</v>
      </c>
      <c r="J152" s="27">
        <f t="shared" si="142"/>
        <v>2446.3000000000002</v>
      </c>
      <c r="K152" s="27">
        <f t="shared" si="142"/>
        <v>2477.3000000000002</v>
      </c>
      <c r="L152" s="27">
        <f t="shared" si="142"/>
        <v>2498.3000000000002</v>
      </c>
      <c r="M152" s="27">
        <f t="shared" ref="M152:N152" si="143">M153+M155</f>
        <v>0</v>
      </c>
      <c r="N152" s="27">
        <f t="shared" si="143"/>
        <v>0</v>
      </c>
      <c r="O152" s="27" t="e">
        <f t="shared" si="129"/>
        <v>#DIV/0!</v>
      </c>
    </row>
    <row r="153" spans="1:15" ht="94.5" hidden="1" x14ac:dyDescent="0.25">
      <c r="A153" s="26" t="s">
        <v>178</v>
      </c>
      <c r="B153" s="220">
        <v>902</v>
      </c>
      <c r="C153" s="218" t="s">
        <v>169</v>
      </c>
      <c r="D153" s="218" t="s">
        <v>191</v>
      </c>
      <c r="E153" s="218" t="s">
        <v>262</v>
      </c>
      <c r="F153" s="218" t="s">
        <v>179</v>
      </c>
      <c r="G153" s="27">
        <f>G154</f>
        <v>1895</v>
      </c>
      <c r="H153" s="27">
        <f>H154</f>
        <v>1551.3</v>
      </c>
      <c r="I153" s="27">
        <f t="shared" ref="I153:L153" si="144">I154</f>
        <v>1895</v>
      </c>
      <c r="J153" s="27">
        <f t="shared" si="144"/>
        <v>1777</v>
      </c>
      <c r="K153" s="27">
        <f t="shared" si="144"/>
        <v>1777</v>
      </c>
      <c r="L153" s="27">
        <f t="shared" si="144"/>
        <v>1777</v>
      </c>
      <c r="M153" s="27">
        <f t="shared" ref="M153:N153" si="145">M154</f>
        <v>0</v>
      </c>
      <c r="N153" s="27">
        <f t="shared" si="145"/>
        <v>0</v>
      </c>
      <c r="O153" s="27" t="e">
        <f t="shared" si="129"/>
        <v>#DIV/0!</v>
      </c>
    </row>
    <row r="154" spans="1:15" ht="31.5" hidden="1" x14ac:dyDescent="0.25">
      <c r="A154" s="26" t="s">
        <v>180</v>
      </c>
      <c r="B154" s="220">
        <v>902</v>
      </c>
      <c r="C154" s="218" t="s">
        <v>169</v>
      </c>
      <c r="D154" s="218" t="s">
        <v>191</v>
      </c>
      <c r="E154" s="218" t="s">
        <v>262</v>
      </c>
      <c r="F154" s="218" t="s">
        <v>181</v>
      </c>
      <c r="G154" s="28">
        <f>1952.2-57.2</f>
        <v>1895</v>
      </c>
      <c r="H154" s="28">
        <v>1551.3</v>
      </c>
      <c r="I154" s="28">
        <f t="shared" ref="I154" si="146">1952.2-57.2</f>
        <v>1895</v>
      </c>
      <c r="J154" s="28">
        <v>1777</v>
      </c>
      <c r="K154" s="28">
        <v>1777</v>
      </c>
      <c r="L154" s="28">
        <v>1777</v>
      </c>
      <c r="M154" s="28"/>
      <c r="N154" s="28"/>
      <c r="O154" s="27" t="e">
        <f t="shared" si="129"/>
        <v>#DIV/0!</v>
      </c>
    </row>
    <row r="155" spans="1:15" ht="47.25" hidden="1" x14ac:dyDescent="0.25">
      <c r="A155" s="26" t="s">
        <v>249</v>
      </c>
      <c r="B155" s="220">
        <v>902</v>
      </c>
      <c r="C155" s="218" t="s">
        <v>169</v>
      </c>
      <c r="D155" s="218" t="s">
        <v>191</v>
      </c>
      <c r="E155" s="218" t="s">
        <v>262</v>
      </c>
      <c r="F155" s="218" t="s">
        <v>183</v>
      </c>
      <c r="G155" s="27">
        <f>G156</f>
        <v>625.4</v>
      </c>
      <c r="H155" s="27">
        <f>H156</f>
        <v>322.5</v>
      </c>
      <c r="I155" s="27">
        <f t="shared" ref="I155:L155" si="147">I156</f>
        <v>597.5</v>
      </c>
      <c r="J155" s="27">
        <f t="shared" si="147"/>
        <v>669.3</v>
      </c>
      <c r="K155" s="27">
        <f t="shared" si="147"/>
        <v>700.3</v>
      </c>
      <c r="L155" s="27">
        <f t="shared" si="147"/>
        <v>721.3</v>
      </c>
      <c r="M155" s="27">
        <f t="shared" ref="M155:N155" si="148">M156</f>
        <v>0</v>
      </c>
      <c r="N155" s="27">
        <f t="shared" si="148"/>
        <v>0</v>
      </c>
      <c r="O155" s="27" t="e">
        <f t="shared" si="129"/>
        <v>#DIV/0!</v>
      </c>
    </row>
    <row r="156" spans="1:15" ht="47.25" hidden="1" x14ac:dyDescent="0.25">
      <c r="A156" s="26" t="s">
        <v>184</v>
      </c>
      <c r="B156" s="220">
        <v>902</v>
      </c>
      <c r="C156" s="218" t="s">
        <v>169</v>
      </c>
      <c r="D156" s="218" t="s">
        <v>191</v>
      </c>
      <c r="E156" s="218" t="s">
        <v>262</v>
      </c>
      <c r="F156" s="218" t="s">
        <v>185</v>
      </c>
      <c r="G156" s="27">
        <f>821.9-196.5</f>
        <v>625.4</v>
      </c>
      <c r="H156" s="27">
        <v>322.5</v>
      </c>
      <c r="I156" s="27">
        <v>597.5</v>
      </c>
      <c r="J156" s="27">
        <v>669.3</v>
      </c>
      <c r="K156" s="27">
        <v>700.3</v>
      </c>
      <c r="L156" s="27">
        <v>721.3</v>
      </c>
      <c r="M156" s="27"/>
      <c r="N156" s="27"/>
      <c r="O156" s="27" t="e">
        <f t="shared" si="129"/>
        <v>#DIV/0!</v>
      </c>
    </row>
    <row r="157" spans="1:15" ht="15.75" hidden="1" x14ac:dyDescent="0.25">
      <c r="A157" s="47" t="s">
        <v>194</v>
      </c>
      <c r="B157" s="220">
        <v>902</v>
      </c>
      <c r="C157" s="218" t="s">
        <v>169</v>
      </c>
      <c r="D157" s="218" t="s">
        <v>191</v>
      </c>
      <c r="E157" s="218" t="s">
        <v>195</v>
      </c>
      <c r="F157" s="218"/>
      <c r="G157" s="27">
        <f>G158</f>
        <v>92.3</v>
      </c>
      <c r="H157" s="27">
        <f>H158</f>
        <v>92.2</v>
      </c>
      <c r="I157" s="27">
        <f t="shared" ref="I157:L158" si="149">I158</f>
        <v>92.3</v>
      </c>
      <c r="J157" s="27">
        <f t="shared" si="149"/>
        <v>0</v>
      </c>
      <c r="K157" s="27">
        <f t="shared" si="149"/>
        <v>0</v>
      </c>
      <c r="L157" s="27">
        <f t="shared" si="149"/>
        <v>0</v>
      </c>
      <c r="M157" s="27">
        <f t="shared" ref="M157:N158" si="150">M158</f>
        <v>0</v>
      </c>
      <c r="N157" s="27">
        <f t="shared" si="150"/>
        <v>0</v>
      </c>
      <c r="O157" s="27" t="e">
        <f t="shared" si="129"/>
        <v>#DIV/0!</v>
      </c>
    </row>
    <row r="158" spans="1:15" ht="15.75" hidden="1" x14ac:dyDescent="0.25">
      <c r="A158" s="26" t="s">
        <v>186</v>
      </c>
      <c r="B158" s="220">
        <v>902</v>
      </c>
      <c r="C158" s="218" t="s">
        <v>169</v>
      </c>
      <c r="D158" s="218" t="s">
        <v>191</v>
      </c>
      <c r="E158" s="218" t="s">
        <v>195</v>
      </c>
      <c r="F158" s="218" t="s">
        <v>196</v>
      </c>
      <c r="G158" s="27">
        <f>G159</f>
        <v>92.3</v>
      </c>
      <c r="H158" s="27">
        <f>H159</f>
        <v>92.2</v>
      </c>
      <c r="I158" s="27">
        <f t="shared" si="149"/>
        <v>92.3</v>
      </c>
      <c r="J158" s="27">
        <f t="shared" si="149"/>
        <v>0</v>
      </c>
      <c r="K158" s="27">
        <f t="shared" si="149"/>
        <v>0</v>
      </c>
      <c r="L158" s="27">
        <f t="shared" si="149"/>
        <v>0</v>
      </c>
      <c r="M158" s="27">
        <f t="shared" si="150"/>
        <v>0</v>
      </c>
      <c r="N158" s="27">
        <f t="shared" si="150"/>
        <v>0</v>
      </c>
      <c r="O158" s="27" t="e">
        <f t="shared" si="129"/>
        <v>#DIV/0!</v>
      </c>
    </row>
    <row r="159" spans="1:15" ht="15.75" hidden="1" x14ac:dyDescent="0.25">
      <c r="A159" s="26" t="s">
        <v>197</v>
      </c>
      <c r="B159" s="220">
        <v>902</v>
      </c>
      <c r="C159" s="218" t="s">
        <v>169</v>
      </c>
      <c r="D159" s="218" t="s">
        <v>191</v>
      </c>
      <c r="E159" s="218" t="s">
        <v>195</v>
      </c>
      <c r="F159" s="218" t="s">
        <v>198</v>
      </c>
      <c r="G159" s="27">
        <v>92.3</v>
      </c>
      <c r="H159" s="27">
        <v>92.2</v>
      </c>
      <c r="I159" s="27">
        <v>92.3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 t="e">
        <f t="shared" si="129"/>
        <v>#DIV/0!</v>
      </c>
    </row>
    <row r="160" spans="1:15" ht="15.75" hidden="1" customHeight="1" x14ac:dyDescent="0.25">
      <c r="A160" s="24" t="s">
        <v>263</v>
      </c>
      <c r="B160" s="217">
        <v>902</v>
      </c>
      <c r="C160" s="219" t="s">
        <v>264</v>
      </c>
      <c r="D160" s="219"/>
      <c r="E160" s="219"/>
      <c r="F160" s="219"/>
      <c r="G160" s="22">
        <f>G161</f>
        <v>0</v>
      </c>
      <c r="H160" s="22">
        <f t="shared" ref="H160:N160" si="151">H161</f>
        <v>0</v>
      </c>
      <c r="I160" s="22">
        <f t="shared" si="151"/>
        <v>0</v>
      </c>
      <c r="J160" s="22">
        <f t="shared" si="151"/>
        <v>322.89999999999998</v>
      </c>
      <c r="K160" s="22">
        <f t="shared" si="151"/>
        <v>22.3</v>
      </c>
      <c r="L160" s="22">
        <f t="shared" si="151"/>
        <v>22.3</v>
      </c>
      <c r="M160" s="22">
        <f t="shared" si="151"/>
        <v>0</v>
      </c>
      <c r="N160" s="22">
        <f t="shared" si="151"/>
        <v>0</v>
      </c>
      <c r="O160" s="27" t="e">
        <f t="shared" si="129"/>
        <v>#DIV/0!</v>
      </c>
    </row>
    <row r="161" spans="1:15" ht="31.5" hidden="1" customHeight="1" x14ac:dyDescent="0.25">
      <c r="A161" s="24" t="s">
        <v>269</v>
      </c>
      <c r="B161" s="217">
        <v>902</v>
      </c>
      <c r="C161" s="219" t="s">
        <v>264</v>
      </c>
      <c r="D161" s="219" t="s">
        <v>270</v>
      </c>
      <c r="E161" s="219"/>
      <c r="F161" s="219"/>
      <c r="G161" s="22">
        <f t="shared" ref="G161:L165" si="152">G162</f>
        <v>0</v>
      </c>
      <c r="H161" s="22">
        <f t="shared" si="152"/>
        <v>0</v>
      </c>
      <c r="I161" s="22">
        <f t="shared" si="152"/>
        <v>0</v>
      </c>
      <c r="J161" s="22">
        <f t="shared" si="152"/>
        <v>322.89999999999998</v>
      </c>
      <c r="K161" s="22">
        <f t="shared" si="152"/>
        <v>22.3</v>
      </c>
      <c r="L161" s="22">
        <f t="shared" si="152"/>
        <v>22.3</v>
      </c>
      <c r="M161" s="22">
        <f t="shared" ref="M161:N165" si="153">M162</f>
        <v>0</v>
      </c>
      <c r="N161" s="22">
        <f t="shared" si="153"/>
        <v>0</v>
      </c>
      <c r="O161" s="27" t="e">
        <f t="shared" si="129"/>
        <v>#DIV/0!</v>
      </c>
    </row>
    <row r="162" spans="1:15" ht="15.75" hidden="1" customHeight="1" x14ac:dyDescent="0.25">
      <c r="A162" s="26" t="s">
        <v>172</v>
      </c>
      <c r="B162" s="220">
        <v>902</v>
      </c>
      <c r="C162" s="218" t="s">
        <v>264</v>
      </c>
      <c r="D162" s="218" t="s">
        <v>270</v>
      </c>
      <c r="E162" s="218" t="s">
        <v>173</v>
      </c>
      <c r="F162" s="218"/>
      <c r="G162" s="27">
        <f t="shared" si="152"/>
        <v>0</v>
      </c>
      <c r="H162" s="27">
        <f t="shared" si="152"/>
        <v>0</v>
      </c>
      <c r="I162" s="27">
        <f t="shared" si="152"/>
        <v>0</v>
      </c>
      <c r="J162" s="27">
        <f t="shared" si="152"/>
        <v>322.89999999999998</v>
      </c>
      <c r="K162" s="27">
        <f t="shared" si="152"/>
        <v>22.3</v>
      </c>
      <c r="L162" s="27">
        <f t="shared" si="152"/>
        <v>22.3</v>
      </c>
      <c r="M162" s="27">
        <f t="shared" si="153"/>
        <v>0</v>
      </c>
      <c r="N162" s="27">
        <f t="shared" si="153"/>
        <v>0</v>
      </c>
      <c r="O162" s="27" t="e">
        <f t="shared" si="129"/>
        <v>#DIV/0!</v>
      </c>
    </row>
    <row r="163" spans="1:15" ht="21.75" hidden="1" customHeight="1" x14ac:dyDescent="0.25">
      <c r="A163" s="26" t="s">
        <v>192</v>
      </c>
      <c r="B163" s="220">
        <v>902</v>
      </c>
      <c r="C163" s="218" t="s">
        <v>264</v>
      </c>
      <c r="D163" s="218" t="s">
        <v>266</v>
      </c>
      <c r="E163" s="218" t="s">
        <v>193</v>
      </c>
      <c r="F163" s="218"/>
      <c r="G163" s="27">
        <f t="shared" si="152"/>
        <v>0</v>
      </c>
      <c r="H163" s="27">
        <f t="shared" si="152"/>
        <v>0</v>
      </c>
      <c r="I163" s="27">
        <f t="shared" si="152"/>
        <v>0</v>
      </c>
      <c r="J163" s="27">
        <f t="shared" si="152"/>
        <v>322.89999999999998</v>
      </c>
      <c r="K163" s="27">
        <f t="shared" si="152"/>
        <v>22.3</v>
      </c>
      <c r="L163" s="27">
        <f t="shared" si="152"/>
        <v>22.3</v>
      </c>
      <c r="M163" s="27">
        <f t="shared" si="153"/>
        <v>0</v>
      </c>
      <c r="N163" s="27">
        <f t="shared" si="153"/>
        <v>0</v>
      </c>
      <c r="O163" s="27" t="e">
        <f t="shared" si="129"/>
        <v>#DIV/0!</v>
      </c>
    </row>
    <row r="164" spans="1:15" ht="15.75" hidden="1" customHeight="1" x14ac:dyDescent="0.25">
      <c r="A164" s="26" t="s">
        <v>271</v>
      </c>
      <c r="B164" s="220">
        <v>902</v>
      </c>
      <c r="C164" s="218" t="s">
        <v>264</v>
      </c>
      <c r="D164" s="218" t="s">
        <v>270</v>
      </c>
      <c r="E164" s="218" t="s">
        <v>272</v>
      </c>
      <c r="F164" s="218"/>
      <c r="G164" s="27">
        <f t="shared" si="152"/>
        <v>0</v>
      </c>
      <c r="H164" s="27">
        <f t="shared" si="152"/>
        <v>0</v>
      </c>
      <c r="I164" s="27">
        <f t="shared" si="152"/>
        <v>0</v>
      </c>
      <c r="J164" s="27">
        <f t="shared" si="152"/>
        <v>322.89999999999998</v>
      </c>
      <c r="K164" s="27">
        <f t="shared" si="152"/>
        <v>22.3</v>
      </c>
      <c r="L164" s="27">
        <f t="shared" si="152"/>
        <v>22.3</v>
      </c>
      <c r="M164" s="27">
        <f t="shared" si="153"/>
        <v>0</v>
      </c>
      <c r="N164" s="27">
        <f t="shared" si="153"/>
        <v>0</v>
      </c>
      <c r="O164" s="27" t="e">
        <f t="shared" si="129"/>
        <v>#DIV/0!</v>
      </c>
    </row>
    <row r="165" spans="1:15" ht="33.75" hidden="1" customHeight="1" x14ac:dyDescent="0.25">
      <c r="A165" s="26" t="s">
        <v>249</v>
      </c>
      <c r="B165" s="220">
        <v>902</v>
      </c>
      <c r="C165" s="218" t="s">
        <v>264</v>
      </c>
      <c r="D165" s="218" t="s">
        <v>270</v>
      </c>
      <c r="E165" s="218" t="s">
        <v>272</v>
      </c>
      <c r="F165" s="218" t="s">
        <v>183</v>
      </c>
      <c r="G165" s="27">
        <f t="shared" si="152"/>
        <v>0</v>
      </c>
      <c r="H165" s="27">
        <f t="shared" si="152"/>
        <v>0</v>
      </c>
      <c r="I165" s="27">
        <f t="shared" si="152"/>
        <v>0</v>
      </c>
      <c r="J165" s="27">
        <f t="shared" si="152"/>
        <v>322.89999999999998</v>
      </c>
      <c r="K165" s="27">
        <f t="shared" si="152"/>
        <v>22.3</v>
      </c>
      <c r="L165" s="27">
        <f t="shared" si="152"/>
        <v>22.3</v>
      </c>
      <c r="M165" s="27">
        <f t="shared" si="153"/>
        <v>0</v>
      </c>
      <c r="N165" s="27">
        <f t="shared" si="153"/>
        <v>0</v>
      </c>
      <c r="O165" s="27" t="e">
        <f t="shared" si="129"/>
        <v>#DIV/0!</v>
      </c>
    </row>
    <row r="166" spans="1:15" ht="59.25" hidden="1" customHeight="1" x14ac:dyDescent="0.25">
      <c r="A166" s="26" t="s">
        <v>184</v>
      </c>
      <c r="B166" s="220">
        <v>902</v>
      </c>
      <c r="C166" s="218" t="s">
        <v>264</v>
      </c>
      <c r="D166" s="218" t="s">
        <v>270</v>
      </c>
      <c r="E166" s="218" t="s">
        <v>272</v>
      </c>
      <c r="F166" s="218" t="s">
        <v>185</v>
      </c>
      <c r="G166" s="28">
        <v>0</v>
      </c>
      <c r="H166" s="28">
        <v>0</v>
      </c>
      <c r="I166" s="28">
        <v>0</v>
      </c>
      <c r="J166" s="28">
        <v>322.89999999999998</v>
      </c>
      <c r="K166" s="28">
        <v>22.3</v>
      </c>
      <c r="L166" s="28">
        <v>22.3</v>
      </c>
      <c r="M166" s="28">
        <v>0</v>
      </c>
      <c r="N166" s="28">
        <v>0</v>
      </c>
      <c r="O166" s="27" t="e">
        <f t="shared" si="129"/>
        <v>#DIV/0!</v>
      </c>
    </row>
    <row r="167" spans="1:15" ht="31.5" x14ac:dyDescent="0.25">
      <c r="A167" s="24" t="s">
        <v>273</v>
      </c>
      <c r="B167" s="217">
        <v>902</v>
      </c>
      <c r="C167" s="219" t="s">
        <v>266</v>
      </c>
      <c r="D167" s="219"/>
      <c r="E167" s="219"/>
      <c r="F167" s="219"/>
      <c r="G167" s="22">
        <f>G168</f>
        <v>7159.4000000000005</v>
      </c>
      <c r="H167" s="22">
        <f t="shared" ref="H167:L169" si="154">H168</f>
        <v>3838.7000000000003</v>
      </c>
      <c r="I167" s="22">
        <f t="shared" si="154"/>
        <v>5540.3666666666668</v>
      </c>
      <c r="J167" s="22">
        <f t="shared" si="154"/>
        <v>10330.9</v>
      </c>
      <c r="K167" s="22">
        <f t="shared" si="154"/>
        <v>8923.6</v>
      </c>
      <c r="L167" s="22">
        <f t="shared" si="154"/>
        <v>8970.1</v>
      </c>
      <c r="M167" s="22">
        <f t="shared" ref="M167:N169" si="155">M168</f>
        <v>9234.4</v>
      </c>
      <c r="N167" s="22">
        <f t="shared" si="155"/>
        <v>3981.2999999999997</v>
      </c>
      <c r="O167" s="22">
        <f t="shared" si="129"/>
        <v>43.113791908515978</v>
      </c>
    </row>
    <row r="168" spans="1:15" ht="63" x14ac:dyDescent="0.25">
      <c r="A168" s="24" t="s">
        <v>274</v>
      </c>
      <c r="B168" s="217">
        <v>902</v>
      </c>
      <c r="C168" s="219" t="s">
        <v>266</v>
      </c>
      <c r="D168" s="219" t="s">
        <v>270</v>
      </c>
      <c r="E168" s="218"/>
      <c r="F168" s="218"/>
      <c r="G168" s="22">
        <f>G169</f>
        <v>7159.4000000000005</v>
      </c>
      <c r="H168" s="22">
        <f t="shared" si="154"/>
        <v>3838.7000000000003</v>
      </c>
      <c r="I168" s="22">
        <f t="shared" si="154"/>
        <v>5540.3666666666668</v>
      </c>
      <c r="J168" s="22">
        <f t="shared" si="154"/>
        <v>10330.9</v>
      </c>
      <c r="K168" s="22">
        <f t="shared" si="154"/>
        <v>8923.6</v>
      </c>
      <c r="L168" s="22">
        <f t="shared" si="154"/>
        <v>8970.1</v>
      </c>
      <c r="M168" s="22">
        <f t="shared" si="155"/>
        <v>9234.4</v>
      </c>
      <c r="N168" s="22">
        <f t="shared" si="155"/>
        <v>3981.2999999999997</v>
      </c>
      <c r="O168" s="22">
        <f t="shared" si="129"/>
        <v>43.113791908515978</v>
      </c>
    </row>
    <row r="169" spans="1:15" ht="15.75" x14ac:dyDescent="0.25">
      <c r="A169" s="26" t="s">
        <v>172</v>
      </c>
      <c r="B169" s="220">
        <v>902</v>
      </c>
      <c r="C169" s="218" t="s">
        <v>266</v>
      </c>
      <c r="D169" s="218" t="s">
        <v>270</v>
      </c>
      <c r="E169" s="218" t="s">
        <v>173</v>
      </c>
      <c r="F169" s="218"/>
      <c r="G169" s="27">
        <f>G170</f>
        <v>7159.4000000000005</v>
      </c>
      <c r="H169" s="27">
        <f t="shared" ref="H169" si="156">H170</f>
        <v>3838.7000000000003</v>
      </c>
      <c r="I169" s="27">
        <f t="shared" si="154"/>
        <v>5540.3666666666668</v>
      </c>
      <c r="J169" s="27">
        <f t="shared" si="154"/>
        <v>10330.9</v>
      </c>
      <c r="K169" s="27">
        <f t="shared" si="154"/>
        <v>8923.6</v>
      </c>
      <c r="L169" s="27">
        <f t="shared" si="154"/>
        <v>8970.1</v>
      </c>
      <c r="M169" s="27">
        <f t="shared" si="155"/>
        <v>9234.4</v>
      </c>
      <c r="N169" s="27">
        <f t="shared" si="155"/>
        <v>3981.2999999999997</v>
      </c>
      <c r="O169" s="27">
        <f t="shared" si="129"/>
        <v>43.113791908515978</v>
      </c>
    </row>
    <row r="170" spans="1:15" ht="15.75" x14ac:dyDescent="0.25">
      <c r="A170" s="26" t="s">
        <v>192</v>
      </c>
      <c r="B170" s="220">
        <v>902</v>
      </c>
      <c r="C170" s="218" t="s">
        <v>266</v>
      </c>
      <c r="D170" s="218" t="s">
        <v>270</v>
      </c>
      <c r="E170" s="218" t="s">
        <v>193</v>
      </c>
      <c r="F170" s="218"/>
      <c r="G170" s="27">
        <f>G171+G177+G182+G174</f>
        <v>7159.4000000000005</v>
      </c>
      <c r="H170" s="27">
        <f>H171+H177+H182</f>
        <v>3838.7000000000003</v>
      </c>
      <c r="I170" s="27">
        <f t="shared" ref="I170:L170" si="157">I171+I177+I182+I174</f>
        <v>5540.3666666666668</v>
      </c>
      <c r="J170" s="27">
        <f t="shared" si="157"/>
        <v>10330.9</v>
      </c>
      <c r="K170" s="27">
        <f t="shared" si="157"/>
        <v>8923.6</v>
      </c>
      <c r="L170" s="27">
        <f t="shared" si="157"/>
        <v>8970.1</v>
      </c>
      <c r="M170" s="27">
        <f>M171+M177+M182+M174</f>
        <v>9234.4</v>
      </c>
      <c r="N170" s="27">
        <f>N171+N177+N182+N174</f>
        <v>3981.2999999999997</v>
      </c>
      <c r="O170" s="27">
        <f t="shared" si="129"/>
        <v>43.113791908515978</v>
      </c>
    </row>
    <row r="171" spans="1:15" ht="47.25" x14ac:dyDescent="0.25">
      <c r="A171" s="26" t="s">
        <v>275</v>
      </c>
      <c r="B171" s="220">
        <v>902</v>
      </c>
      <c r="C171" s="218" t="s">
        <v>266</v>
      </c>
      <c r="D171" s="218" t="s">
        <v>270</v>
      </c>
      <c r="E171" s="218" t="s">
        <v>276</v>
      </c>
      <c r="F171" s="218"/>
      <c r="G171" s="27">
        <f>G172</f>
        <v>2064.1</v>
      </c>
      <c r="H171" s="27">
        <f>H172</f>
        <v>333.8</v>
      </c>
      <c r="I171" s="27">
        <f t="shared" ref="I171:L172" si="158">I172</f>
        <v>445.06666666666666</v>
      </c>
      <c r="J171" s="27">
        <f t="shared" si="158"/>
        <v>3881.9</v>
      </c>
      <c r="K171" s="27">
        <f t="shared" si="158"/>
        <v>3042.9</v>
      </c>
      <c r="L171" s="27">
        <f t="shared" si="158"/>
        <v>3042.9</v>
      </c>
      <c r="M171" s="27">
        <f t="shared" ref="M171:N172" si="159">M172</f>
        <v>650</v>
      </c>
      <c r="N171" s="27">
        <f t="shared" si="159"/>
        <v>277.60000000000002</v>
      </c>
      <c r="O171" s="27">
        <f t="shared" si="129"/>
        <v>42.707692307692312</v>
      </c>
    </row>
    <row r="172" spans="1:15" ht="47.25" x14ac:dyDescent="0.25">
      <c r="A172" s="26" t="s">
        <v>249</v>
      </c>
      <c r="B172" s="220">
        <v>902</v>
      </c>
      <c r="C172" s="218" t="s">
        <v>266</v>
      </c>
      <c r="D172" s="218" t="s">
        <v>270</v>
      </c>
      <c r="E172" s="218" t="s">
        <v>276</v>
      </c>
      <c r="F172" s="218" t="s">
        <v>183</v>
      </c>
      <c r="G172" s="27">
        <f>G173</f>
        <v>2064.1</v>
      </c>
      <c r="H172" s="27">
        <f>H173</f>
        <v>333.8</v>
      </c>
      <c r="I172" s="27">
        <f t="shared" si="158"/>
        <v>445.06666666666666</v>
      </c>
      <c r="J172" s="27">
        <f t="shared" si="158"/>
        <v>3881.9</v>
      </c>
      <c r="K172" s="27">
        <f t="shared" si="158"/>
        <v>3042.9</v>
      </c>
      <c r="L172" s="27">
        <f t="shared" si="158"/>
        <v>3042.9</v>
      </c>
      <c r="M172" s="27">
        <f t="shared" si="159"/>
        <v>650</v>
      </c>
      <c r="N172" s="27">
        <f t="shared" si="159"/>
        <v>277.60000000000002</v>
      </c>
      <c r="O172" s="27">
        <f t="shared" si="129"/>
        <v>42.707692307692312</v>
      </c>
    </row>
    <row r="173" spans="1:15" ht="47.25" x14ac:dyDescent="0.25">
      <c r="A173" s="26" t="s">
        <v>184</v>
      </c>
      <c r="B173" s="220">
        <v>902</v>
      </c>
      <c r="C173" s="218" t="s">
        <v>266</v>
      </c>
      <c r="D173" s="218" t="s">
        <v>270</v>
      </c>
      <c r="E173" s="218" t="s">
        <v>276</v>
      </c>
      <c r="F173" s="218" t="s">
        <v>185</v>
      </c>
      <c r="G173" s="212">
        <f>1908.4+354-98.3-100</f>
        <v>2064.1</v>
      </c>
      <c r="H173" s="212">
        <v>333.8</v>
      </c>
      <c r="I173" s="212">
        <f>H173/9*12</f>
        <v>445.06666666666666</v>
      </c>
      <c r="J173" s="212">
        <f>3881.9</f>
        <v>3881.9</v>
      </c>
      <c r="K173" s="212">
        <f>3042.9</f>
        <v>3042.9</v>
      </c>
      <c r="L173" s="212">
        <f>K173</f>
        <v>3042.9</v>
      </c>
      <c r="M173" s="212">
        <f>500+150</f>
        <v>650</v>
      </c>
      <c r="N173" s="212">
        <v>277.60000000000002</v>
      </c>
      <c r="O173" s="27">
        <f t="shared" si="129"/>
        <v>42.707692307692312</v>
      </c>
    </row>
    <row r="174" spans="1:15" ht="15.75" customHeight="1" x14ac:dyDescent="0.25">
      <c r="A174" s="26" t="s">
        <v>277</v>
      </c>
      <c r="B174" s="220">
        <v>902</v>
      </c>
      <c r="C174" s="218" t="s">
        <v>266</v>
      </c>
      <c r="D174" s="218" t="s">
        <v>270</v>
      </c>
      <c r="E174" s="218" t="s">
        <v>278</v>
      </c>
      <c r="F174" s="218"/>
      <c r="G174" s="27">
        <f>G175</f>
        <v>0</v>
      </c>
      <c r="H174" s="27">
        <f>H175</f>
        <v>0</v>
      </c>
      <c r="I174" s="27">
        <f t="shared" ref="I174:L175" si="160">I175</f>
        <v>0</v>
      </c>
      <c r="J174" s="27">
        <f t="shared" si="160"/>
        <v>764.4</v>
      </c>
      <c r="K174" s="27">
        <f t="shared" si="160"/>
        <v>150</v>
      </c>
      <c r="L174" s="27">
        <f t="shared" si="160"/>
        <v>150</v>
      </c>
      <c r="M174" s="27">
        <f t="shared" ref="M174:N175" si="161">M175</f>
        <v>764.4</v>
      </c>
      <c r="N174" s="27">
        <f t="shared" si="161"/>
        <v>0</v>
      </c>
      <c r="O174" s="27">
        <f t="shared" si="129"/>
        <v>0</v>
      </c>
    </row>
    <row r="175" spans="1:15" ht="47.25" customHeight="1" x14ac:dyDescent="0.25">
      <c r="A175" s="26" t="s">
        <v>249</v>
      </c>
      <c r="B175" s="220">
        <v>902</v>
      </c>
      <c r="C175" s="218" t="s">
        <v>266</v>
      </c>
      <c r="D175" s="218" t="s">
        <v>270</v>
      </c>
      <c r="E175" s="218" t="s">
        <v>278</v>
      </c>
      <c r="F175" s="218" t="s">
        <v>183</v>
      </c>
      <c r="G175" s="27">
        <f>G176</f>
        <v>0</v>
      </c>
      <c r="H175" s="27">
        <f>H176</f>
        <v>0</v>
      </c>
      <c r="I175" s="27">
        <f t="shared" si="160"/>
        <v>0</v>
      </c>
      <c r="J175" s="27">
        <f t="shared" si="160"/>
        <v>764.4</v>
      </c>
      <c r="K175" s="27">
        <f t="shared" si="160"/>
        <v>150</v>
      </c>
      <c r="L175" s="27">
        <f t="shared" si="160"/>
        <v>150</v>
      </c>
      <c r="M175" s="27">
        <f t="shared" si="161"/>
        <v>764.4</v>
      </c>
      <c r="N175" s="27">
        <f t="shared" si="161"/>
        <v>0</v>
      </c>
      <c r="O175" s="27">
        <f t="shared" si="129"/>
        <v>0</v>
      </c>
    </row>
    <row r="176" spans="1:15" ht="47.25" customHeight="1" x14ac:dyDescent="0.25">
      <c r="A176" s="26" t="s">
        <v>184</v>
      </c>
      <c r="B176" s="220">
        <v>902</v>
      </c>
      <c r="C176" s="218" t="s">
        <v>266</v>
      </c>
      <c r="D176" s="218" t="s">
        <v>270</v>
      </c>
      <c r="E176" s="218" t="s">
        <v>278</v>
      </c>
      <c r="F176" s="218" t="s">
        <v>185</v>
      </c>
      <c r="G176" s="27">
        <v>0</v>
      </c>
      <c r="H176" s="27">
        <v>0</v>
      </c>
      <c r="I176" s="27">
        <v>0</v>
      </c>
      <c r="J176" s="27">
        <v>764.4</v>
      </c>
      <c r="K176" s="27">
        <v>150</v>
      </c>
      <c r="L176" s="27">
        <v>150</v>
      </c>
      <c r="M176" s="27">
        <v>764.4</v>
      </c>
      <c r="N176" s="27">
        <v>0</v>
      </c>
      <c r="O176" s="27">
        <f t="shared" si="129"/>
        <v>0</v>
      </c>
    </row>
    <row r="177" spans="1:15" ht="31.5" x14ac:dyDescent="0.25">
      <c r="A177" s="26" t="s">
        <v>279</v>
      </c>
      <c r="B177" s="220">
        <v>902</v>
      </c>
      <c r="C177" s="218" t="s">
        <v>266</v>
      </c>
      <c r="D177" s="218" t="s">
        <v>270</v>
      </c>
      <c r="E177" s="218" t="s">
        <v>280</v>
      </c>
      <c r="F177" s="218"/>
      <c r="G177" s="27">
        <f>G178+G180</f>
        <v>4997</v>
      </c>
      <c r="H177" s="27">
        <f>H178+H180</f>
        <v>3504.9</v>
      </c>
      <c r="I177" s="27">
        <f t="shared" ref="I177:L177" si="162">I178+I180</f>
        <v>4997</v>
      </c>
      <c r="J177" s="27">
        <f t="shared" si="162"/>
        <v>5074.2</v>
      </c>
      <c r="K177" s="27">
        <f t="shared" si="162"/>
        <v>5120.3</v>
      </c>
      <c r="L177" s="27">
        <f t="shared" si="162"/>
        <v>5166.8</v>
      </c>
      <c r="M177" s="27">
        <f t="shared" ref="M177:N177" si="163">M178+M180</f>
        <v>7721</v>
      </c>
      <c r="N177" s="27">
        <f t="shared" si="163"/>
        <v>3650</v>
      </c>
      <c r="O177" s="27">
        <f t="shared" si="129"/>
        <v>47.273669213832406</v>
      </c>
    </row>
    <row r="178" spans="1:15" ht="94.5" x14ac:dyDescent="0.25">
      <c r="A178" s="26" t="s">
        <v>178</v>
      </c>
      <c r="B178" s="220">
        <v>902</v>
      </c>
      <c r="C178" s="218" t="s">
        <v>266</v>
      </c>
      <c r="D178" s="218" t="s">
        <v>270</v>
      </c>
      <c r="E178" s="218" t="s">
        <v>280</v>
      </c>
      <c r="F178" s="218" t="s">
        <v>179</v>
      </c>
      <c r="G178" s="27">
        <f>G179</f>
        <v>4692.3</v>
      </c>
      <c r="H178" s="27">
        <f>H179</f>
        <v>3314.4</v>
      </c>
      <c r="I178" s="27">
        <f t="shared" ref="I178:L178" si="164">I179</f>
        <v>4692.3</v>
      </c>
      <c r="J178" s="27">
        <f t="shared" si="164"/>
        <v>4606</v>
      </c>
      <c r="K178" s="27">
        <f t="shared" si="164"/>
        <v>4652.1000000000004</v>
      </c>
      <c r="L178" s="27">
        <f t="shared" si="164"/>
        <v>4698.6000000000004</v>
      </c>
      <c r="M178" s="27">
        <f t="shared" ref="M178:N178" si="165">M179</f>
        <v>4620</v>
      </c>
      <c r="N178" s="27">
        <f t="shared" si="165"/>
        <v>3474.9</v>
      </c>
      <c r="O178" s="27">
        <f t="shared" si="129"/>
        <v>75.214285714285708</v>
      </c>
    </row>
    <row r="179" spans="1:15" ht="31.5" x14ac:dyDescent="0.25">
      <c r="A179" s="26" t="s">
        <v>259</v>
      </c>
      <c r="B179" s="220">
        <v>902</v>
      </c>
      <c r="C179" s="218" t="s">
        <v>266</v>
      </c>
      <c r="D179" s="218" t="s">
        <v>270</v>
      </c>
      <c r="E179" s="218" t="s">
        <v>280</v>
      </c>
      <c r="F179" s="218" t="s">
        <v>260</v>
      </c>
      <c r="G179" s="28">
        <f>4586.3+106</f>
        <v>4692.3</v>
      </c>
      <c r="H179" s="28">
        <v>3314.4</v>
      </c>
      <c r="I179" s="28">
        <f t="shared" ref="I179" si="166">4586.3+106</f>
        <v>4692.3</v>
      </c>
      <c r="J179" s="28">
        <v>4606</v>
      </c>
      <c r="K179" s="28">
        <v>4652.1000000000004</v>
      </c>
      <c r="L179" s="28">
        <v>4698.6000000000004</v>
      </c>
      <c r="M179" s="28">
        <f>4656.5-36.5</f>
        <v>4620</v>
      </c>
      <c r="N179" s="28">
        <v>3474.9</v>
      </c>
      <c r="O179" s="27">
        <f t="shared" si="129"/>
        <v>75.214285714285708</v>
      </c>
    </row>
    <row r="180" spans="1:15" ht="47.25" x14ac:dyDescent="0.25">
      <c r="A180" s="26" t="s">
        <v>249</v>
      </c>
      <c r="B180" s="220">
        <v>902</v>
      </c>
      <c r="C180" s="218" t="s">
        <v>266</v>
      </c>
      <c r="D180" s="218" t="s">
        <v>270</v>
      </c>
      <c r="E180" s="218" t="s">
        <v>280</v>
      </c>
      <c r="F180" s="218" t="s">
        <v>183</v>
      </c>
      <c r="G180" s="27">
        <f>G181</f>
        <v>304.7</v>
      </c>
      <c r="H180" s="27">
        <f>H181</f>
        <v>190.5</v>
      </c>
      <c r="I180" s="27">
        <f t="shared" ref="I180:L180" si="167">I181</f>
        <v>304.7</v>
      </c>
      <c r="J180" s="27">
        <f t="shared" si="167"/>
        <v>468.2</v>
      </c>
      <c r="K180" s="27">
        <f t="shared" si="167"/>
        <v>468.2</v>
      </c>
      <c r="L180" s="27">
        <f t="shared" si="167"/>
        <v>468.2</v>
      </c>
      <c r="M180" s="27">
        <f t="shared" ref="M180:N180" si="168">M181</f>
        <v>3101</v>
      </c>
      <c r="N180" s="27">
        <f t="shared" si="168"/>
        <v>175.1</v>
      </c>
      <c r="O180" s="27">
        <f t="shared" si="129"/>
        <v>5.6465656239922604</v>
      </c>
    </row>
    <row r="181" spans="1:15" ht="47.25" x14ac:dyDescent="0.25">
      <c r="A181" s="26" t="s">
        <v>184</v>
      </c>
      <c r="B181" s="220">
        <v>902</v>
      </c>
      <c r="C181" s="218" t="s">
        <v>266</v>
      </c>
      <c r="D181" s="218" t="s">
        <v>270</v>
      </c>
      <c r="E181" s="218" t="s">
        <v>280</v>
      </c>
      <c r="F181" s="218" t="s">
        <v>185</v>
      </c>
      <c r="G181" s="28">
        <f>204.7+100</f>
        <v>304.7</v>
      </c>
      <c r="H181" s="28">
        <v>190.5</v>
      </c>
      <c r="I181" s="28">
        <f t="shared" ref="I181" si="169">204.7+100</f>
        <v>304.7</v>
      </c>
      <c r="J181" s="28">
        <v>468.2</v>
      </c>
      <c r="K181" s="28">
        <f>J181</f>
        <v>468.2</v>
      </c>
      <c r="L181" s="28">
        <f>K181</f>
        <v>468.2</v>
      </c>
      <c r="M181" s="28">
        <f>300+3000-150-49</f>
        <v>3101</v>
      </c>
      <c r="N181" s="28">
        <v>175.1</v>
      </c>
      <c r="O181" s="27">
        <f t="shared" si="129"/>
        <v>5.6465656239922604</v>
      </c>
    </row>
    <row r="182" spans="1:15" ht="15.75" x14ac:dyDescent="0.25">
      <c r="A182" s="26" t="s">
        <v>281</v>
      </c>
      <c r="B182" s="220">
        <v>902</v>
      </c>
      <c r="C182" s="218" t="s">
        <v>266</v>
      </c>
      <c r="D182" s="218" t="s">
        <v>270</v>
      </c>
      <c r="E182" s="218" t="s">
        <v>282</v>
      </c>
      <c r="F182" s="218"/>
      <c r="G182" s="28">
        <f t="shared" ref="G182:L183" si="170">G183</f>
        <v>98.3</v>
      </c>
      <c r="H182" s="28">
        <f>H183</f>
        <v>0</v>
      </c>
      <c r="I182" s="28">
        <f t="shared" si="170"/>
        <v>98.3</v>
      </c>
      <c r="J182" s="28">
        <f t="shared" si="170"/>
        <v>610.4</v>
      </c>
      <c r="K182" s="28">
        <f t="shared" si="170"/>
        <v>610.4</v>
      </c>
      <c r="L182" s="28">
        <f t="shared" si="170"/>
        <v>610.4</v>
      </c>
      <c r="M182" s="28">
        <f t="shared" ref="M182:N183" si="171">M183</f>
        <v>99</v>
      </c>
      <c r="N182" s="28">
        <f t="shared" si="171"/>
        <v>53.7</v>
      </c>
      <c r="O182" s="27">
        <f t="shared" si="129"/>
        <v>54.242424242424249</v>
      </c>
    </row>
    <row r="183" spans="1:15" ht="47.25" x14ac:dyDescent="0.25">
      <c r="A183" s="26" t="s">
        <v>249</v>
      </c>
      <c r="B183" s="220">
        <v>902</v>
      </c>
      <c r="C183" s="218" t="s">
        <v>266</v>
      </c>
      <c r="D183" s="218" t="s">
        <v>270</v>
      </c>
      <c r="E183" s="218" t="s">
        <v>282</v>
      </c>
      <c r="F183" s="218" t="s">
        <v>183</v>
      </c>
      <c r="G183" s="28">
        <f t="shared" si="170"/>
        <v>98.3</v>
      </c>
      <c r="H183" s="28">
        <f>H184</f>
        <v>0</v>
      </c>
      <c r="I183" s="28">
        <f t="shared" si="170"/>
        <v>98.3</v>
      </c>
      <c r="J183" s="28">
        <f t="shared" si="170"/>
        <v>610.4</v>
      </c>
      <c r="K183" s="28">
        <f t="shared" si="170"/>
        <v>610.4</v>
      </c>
      <c r="L183" s="28">
        <f t="shared" si="170"/>
        <v>610.4</v>
      </c>
      <c r="M183" s="28">
        <f t="shared" si="171"/>
        <v>99</v>
      </c>
      <c r="N183" s="28">
        <f t="shared" si="171"/>
        <v>53.7</v>
      </c>
      <c r="O183" s="27">
        <f t="shared" si="129"/>
        <v>54.242424242424249</v>
      </c>
    </row>
    <row r="184" spans="1:15" ht="47.25" x14ac:dyDescent="0.25">
      <c r="A184" s="26" t="s">
        <v>184</v>
      </c>
      <c r="B184" s="220">
        <v>902</v>
      </c>
      <c r="C184" s="218" t="s">
        <v>266</v>
      </c>
      <c r="D184" s="218" t="s">
        <v>270</v>
      </c>
      <c r="E184" s="218" t="s">
        <v>282</v>
      </c>
      <c r="F184" s="218" t="s">
        <v>185</v>
      </c>
      <c r="G184" s="28">
        <v>98.3</v>
      </c>
      <c r="H184" s="28">
        <v>0</v>
      </c>
      <c r="I184" s="28">
        <v>98.3</v>
      </c>
      <c r="J184" s="28">
        <v>610.4</v>
      </c>
      <c r="K184" s="28">
        <f>J184</f>
        <v>610.4</v>
      </c>
      <c r="L184" s="28">
        <f>K184</f>
        <v>610.4</v>
      </c>
      <c r="M184" s="28">
        <f>50+49</f>
        <v>99</v>
      </c>
      <c r="N184" s="28">
        <v>53.7</v>
      </c>
      <c r="O184" s="27">
        <f t="shared" si="129"/>
        <v>54.242424242424249</v>
      </c>
    </row>
    <row r="185" spans="1:15" ht="15.75" x14ac:dyDescent="0.25">
      <c r="A185" s="24" t="s">
        <v>283</v>
      </c>
      <c r="B185" s="217">
        <v>902</v>
      </c>
      <c r="C185" s="219" t="s">
        <v>201</v>
      </c>
      <c r="D185" s="219"/>
      <c r="E185" s="219"/>
      <c r="F185" s="218"/>
      <c r="G185" s="22">
        <f t="shared" ref="G185:M185" si="172">G202+G186</f>
        <v>1821.3999999999999</v>
      </c>
      <c r="H185" s="22">
        <f t="shared" si="172"/>
        <v>1043.1999999999998</v>
      </c>
      <c r="I185" s="22">
        <f t="shared" si="172"/>
        <v>1821.3999999999999</v>
      </c>
      <c r="J185" s="22">
        <f t="shared" si="172"/>
        <v>2461.3999999999996</v>
      </c>
      <c r="K185" s="22">
        <f t="shared" si="172"/>
        <v>2461.3999999999996</v>
      </c>
      <c r="L185" s="22">
        <f t="shared" si="172"/>
        <v>2461.3999999999996</v>
      </c>
      <c r="M185" s="22">
        <f t="shared" si="172"/>
        <v>2119.7999999999997</v>
      </c>
      <c r="N185" s="22">
        <f t="shared" ref="N185" si="173">N202+N186</f>
        <v>831.90000000000009</v>
      </c>
      <c r="O185" s="22">
        <f t="shared" si="129"/>
        <v>39.244268327200686</v>
      </c>
    </row>
    <row r="186" spans="1:15" ht="15.75" x14ac:dyDescent="0.25">
      <c r="A186" s="24" t="s">
        <v>284</v>
      </c>
      <c r="B186" s="217">
        <v>902</v>
      </c>
      <c r="C186" s="219" t="s">
        <v>201</v>
      </c>
      <c r="D186" s="219" t="s">
        <v>285</v>
      </c>
      <c r="E186" s="219"/>
      <c r="F186" s="218"/>
      <c r="G186" s="22">
        <f>G194+G187</f>
        <v>450</v>
      </c>
      <c r="H186" s="22">
        <f t="shared" ref="H186:M186" si="174">H194+H187</f>
        <v>280</v>
      </c>
      <c r="I186" s="22">
        <f t="shared" si="174"/>
        <v>450</v>
      </c>
      <c r="J186" s="22">
        <f t="shared" si="174"/>
        <v>550</v>
      </c>
      <c r="K186" s="22">
        <f t="shared" si="174"/>
        <v>550</v>
      </c>
      <c r="L186" s="22">
        <f t="shared" si="174"/>
        <v>550</v>
      </c>
      <c r="M186" s="22">
        <f t="shared" si="174"/>
        <v>919.6</v>
      </c>
      <c r="N186" s="22">
        <f t="shared" ref="N186" si="175">N194+N187</f>
        <v>555.6</v>
      </c>
      <c r="O186" s="22">
        <f t="shared" si="129"/>
        <v>60.417572857764249</v>
      </c>
    </row>
    <row r="187" spans="1:15" ht="47.25" x14ac:dyDescent="0.25">
      <c r="A187" s="33" t="s">
        <v>232</v>
      </c>
      <c r="B187" s="220">
        <v>902</v>
      </c>
      <c r="C187" s="218" t="s">
        <v>201</v>
      </c>
      <c r="D187" s="218" t="s">
        <v>285</v>
      </c>
      <c r="E187" s="224" t="s">
        <v>233</v>
      </c>
      <c r="F187" s="225"/>
      <c r="G187" s="27">
        <f>G188</f>
        <v>0</v>
      </c>
      <c r="H187" s="27">
        <f t="shared" ref="H187:N189" si="176">H188</f>
        <v>0</v>
      </c>
      <c r="I187" s="27">
        <f t="shared" si="176"/>
        <v>0</v>
      </c>
      <c r="J187" s="27">
        <f t="shared" si="176"/>
        <v>100</v>
      </c>
      <c r="K187" s="27">
        <f t="shared" si="176"/>
        <v>100</v>
      </c>
      <c r="L187" s="27">
        <f t="shared" si="176"/>
        <v>100</v>
      </c>
      <c r="M187" s="27">
        <f>M188+M191</f>
        <v>120</v>
      </c>
      <c r="N187" s="27">
        <f>N188+N191</f>
        <v>11</v>
      </c>
      <c r="O187" s="27">
        <f t="shared" si="129"/>
        <v>9.1666666666666661</v>
      </c>
    </row>
    <row r="188" spans="1:15" ht="31.5" x14ac:dyDescent="0.25">
      <c r="A188" s="26" t="s">
        <v>208</v>
      </c>
      <c r="B188" s="220">
        <v>902</v>
      </c>
      <c r="C188" s="218" t="s">
        <v>201</v>
      </c>
      <c r="D188" s="218" t="s">
        <v>285</v>
      </c>
      <c r="E188" s="218" t="s">
        <v>234</v>
      </c>
      <c r="F188" s="225"/>
      <c r="G188" s="27">
        <f>G189</f>
        <v>0</v>
      </c>
      <c r="H188" s="27">
        <f t="shared" si="176"/>
        <v>0</v>
      </c>
      <c r="I188" s="27">
        <f t="shared" si="176"/>
        <v>0</v>
      </c>
      <c r="J188" s="27">
        <f t="shared" si="176"/>
        <v>100</v>
      </c>
      <c r="K188" s="27">
        <f t="shared" si="176"/>
        <v>100</v>
      </c>
      <c r="L188" s="27">
        <f t="shared" si="176"/>
        <v>100</v>
      </c>
      <c r="M188" s="27">
        <f t="shared" si="176"/>
        <v>119</v>
      </c>
      <c r="N188" s="27">
        <f t="shared" si="176"/>
        <v>10</v>
      </c>
      <c r="O188" s="27">
        <f t="shared" si="129"/>
        <v>8.4033613445378155</v>
      </c>
    </row>
    <row r="189" spans="1:15" ht="15.75" x14ac:dyDescent="0.25">
      <c r="A189" s="31" t="s">
        <v>186</v>
      </c>
      <c r="B189" s="220">
        <v>902</v>
      </c>
      <c r="C189" s="218" t="s">
        <v>201</v>
      </c>
      <c r="D189" s="218" t="s">
        <v>285</v>
      </c>
      <c r="E189" s="218" t="s">
        <v>234</v>
      </c>
      <c r="F189" s="225" t="s">
        <v>196</v>
      </c>
      <c r="G189" s="27">
        <f>G190</f>
        <v>0</v>
      </c>
      <c r="H189" s="27">
        <f t="shared" si="176"/>
        <v>0</v>
      </c>
      <c r="I189" s="27">
        <f>I190</f>
        <v>0</v>
      </c>
      <c r="J189" s="27">
        <f t="shared" si="176"/>
        <v>100</v>
      </c>
      <c r="K189" s="27">
        <f t="shared" si="176"/>
        <v>100</v>
      </c>
      <c r="L189" s="27">
        <f t="shared" si="176"/>
        <v>100</v>
      </c>
      <c r="M189" s="27">
        <f t="shared" si="176"/>
        <v>119</v>
      </c>
      <c r="N189" s="27">
        <f t="shared" si="176"/>
        <v>10</v>
      </c>
      <c r="O189" s="27">
        <f t="shared" si="129"/>
        <v>8.4033613445378155</v>
      </c>
    </row>
    <row r="190" spans="1:15" ht="63" x14ac:dyDescent="0.25">
      <c r="A190" s="31" t="s">
        <v>235</v>
      </c>
      <c r="B190" s="220">
        <v>902</v>
      </c>
      <c r="C190" s="218" t="s">
        <v>201</v>
      </c>
      <c r="D190" s="218" t="s">
        <v>285</v>
      </c>
      <c r="E190" s="218" t="s">
        <v>234</v>
      </c>
      <c r="F190" s="225" t="s">
        <v>211</v>
      </c>
      <c r="G190" s="27">
        <v>0</v>
      </c>
      <c r="H190" s="27">
        <v>0</v>
      </c>
      <c r="I190" s="27">
        <v>0</v>
      </c>
      <c r="J190" s="27">
        <v>100</v>
      </c>
      <c r="K190" s="27">
        <v>100</v>
      </c>
      <c r="L190" s="27">
        <v>100</v>
      </c>
      <c r="M190" s="27">
        <f>100+20-1</f>
        <v>119</v>
      </c>
      <c r="N190" s="27">
        <v>10</v>
      </c>
      <c r="O190" s="27">
        <f t="shared" si="129"/>
        <v>8.4033613445378155</v>
      </c>
    </row>
    <row r="191" spans="1:15" ht="31.5" x14ac:dyDescent="0.25">
      <c r="A191" s="26" t="s">
        <v>968</v>
      </c>
      <c r="B191" s="220">
        <v>902</v>
      </c>
      <c r="C191" s="218" t="s">
        <v>201</v>
      </c>
      <c r="D191" s="218" t="s">
        <v>285</v>
      </c>
      <c r="E191" s="218" t="s">
        <v>970</v>
      </c>
      <c r="F191" s="225"/>
      <c r="G191" s="27"/>
      <c r="H191" s="27"/>
      <c r="I191" s="27"/>
      <c r="J191" s="27"/>
      <c r="K191" s="27"/>
      <c r="L191" s="27"/>
      <c r="M191" s="27">
        <f>M192</f>
        <v>1</v>
      </c>
      <c r="N191" s="27">
        <f>N192</f>
        <v>1</v>
      </c>
      <c r="O191" s="27">
        <f t="shared" si="129"/>
        <v>100</v>
      </c>
    </row>
    <row r="192" spans="1:15" ht="15.75" x14ac:dyDescent="0.25">
      <c r="A192" s="31" t="s">
        <v>186</v>
      </c>
      <c r="B192" s="220">
        <v>902</v>
      </c>
      <c r="C192" s="218" t="s">
        <v>201</v>
      </c>
      <c r="D192" s="218" t="s">
        <v>285</v>
      </c>
      <c r="E192" s="218" t="s">
        <v>970</v>
      </c>
      <c r="F192" s="225" t="s">
        <v>196</v>
      </c>
      <c r="G192" s="27"/>
      <c r="H192" s="27"/>
      <c r="I192" s="27"/>
      <c r="J192" s="27"/>
      <c r="K192" s="27"/>
      <c r="L192" s="27"/>
      <c r="M192" s="27">
        <f>M193</f>
        <v>1</v>
      </c>
      <c r="N192" s="27">
        <f>N193</f>
        <v>1</v>
      </c>
      <c r="O192" s="27">
        <f t="shared" si="129"/>
        <v>100</v>
      </c>
    </row>
    <row r="193" spans="1:15" ht="63" x14ac:dyDescent="0.25">
      <c r="A193" s="31" t="s">
        <v>235</v>
      </c>
      <c r="B193" s="220">
        <v>902</v>
      </c>
      <c r="C193" s="218" t="s">
        <v>201</v>
      </c>
      <c r="D193" s="218" t="s">
        <v>285</v>
      </c>
      <c r="E193" s="218" t="s">
        <v>970</v>
      </c>
      <c r="F193" s="225" t="s">
        <v>211</v>
      </c>
      <c r="G193" s="27"/>
      <c r="H193" s="27"/>
      <c r="I193" s="27"/>
      <c r="J193" s="27"/>
      <c r="K193" s="27"/>
      <c r="L193" s="27"/>
      <c r="M193" s="27">
        <v>1</v>
      </c>
      <c r="N193" s="27">
        <v>1</v>
      </c>
      <c r="O193" s="27">
        <f t="shared" si="129"/>
        <v>100</v>
      </c>
    </row>
    <row r="194" spans="1:15" ht="15.75" x14ac:dyDescent="0.25">
      <c r="A194" s="26" t="s">
        <v>172</v>
      </c>
      <c r="B194" s="220">
        <v>902</v>
      </c>
      <c r="C194" s="218" t="s">
        <v>201</v>
      </c>
      <c r="D194" s="218" t="s">
        <v>285</v>
      </c>
      <c r="E194" s="218" t="s">
        <v>173</v>
      </c>
      <c r="F194" s="218"/>
      <c r="G194" s="27">
        <f t="shared" ref="G194:L200" si="177">G195</f>
        <v>450</v>
      </c>
      <c r="H194" s="27">
        <f t="shared" ref="H194:H199" si="178">H195</f>
        <v>280</v>
      </c>
      <c r="I194" s="27">
        <f t="shared" si="177"/>
        <v>450</v>
      </c>
      <c r="J194" s="27">
        <f t="shared" si="177"/>
        <v>450</v>
      </c>
      <c r="K194" s="27">
        <f t="shared" si="177"/>
        <v>450</v>
      </c>
      <c r="L194" s="27">
        <f t="shared" si="177"/>
        <v>450</v>
      </c>
      <c r="M194" s="27">
        <f>M195</f>
        <v>799.6</v>
      </c>
      <c r="N194" s="27">
        <f>N195</f>
        <v>544.6</v>
      </c>
      <c r="O194" s="27">
        <f t="shared" si="129"/>
        <v>68.109054527263638</v>
      </c>
    </row>
    <row r="195" spans="1:15" ht="31.5" x14ac:dyDescent="0.25">
      <c r="A195" s="26" t="s">
        <v>236</v>
      </c>
      <c r="B195" s="220">
        <v>902</v>
      </c>
      <c r="C195" s="218" t="s">
        <v>201</v>
      </c>
      <c r="D195" s="218" t="s">
        <v>285</v>
      </c>
      <c r="E195" s="218" t="s">
        <v>237</v>
      </c>
      <c r="F195" s="218"/>
      <c r="G195" s="27">
        <f t="shared" ref="G195:L195" si="179">G199</f>
        <v>450</v>
      </c>
      <c r="H195" s="27">
        <f t="shared" si="179"/>
        <v>280</v>
      </c>
      <c r="I195" s="27">
        <f t="shared" si="179"/>
        <v>450</v>
      </c>
      <c r="J195" s="27">
        <f t="shared" si="179"/>
        <v>450</v>
      </c>
      <c r="K195" s="27">
        <f t="shared" si="179"/>
        <v>450</v>
      </c>
      <c r="L195" s="27">
        <f t="shared" si="179"/>
        <v>450</v>
      </c>
      <c r="M195" s="27">
        <f>M199+M196</f>
        <v>799.6</v>
      </c>
      <c r="N195" s="27">
        <f>N199+N196</f>
        <v>544.6</v>
      </c>
      <c r="O195" s="27">
        <f t="shared" si="129"/>
        <v>68.109054527263638</v>
      </c>
    </row>
    <row r="196" spans="1:15" ht="31.5" x14ac:dyDescent="0.25">
      <c r="A196" s="26" t="s">
        <v>968</v>
      </c>
      <c r="B196" s="220">
        <v>902</v>
      </c>
      <c r="C196" s="218" t="s">
        <v>201</v>
      </c>
      <c r="D196" s="218" t="s">
        <v>285</v>
      </c>
      <c r="E196" s="218" t="s">
        <v>969</v>
      </c>
      <c r="F196" s="218"/>
      <c r="G196" s="27"/>
      <c r="H196" s="27"/>
      <c r="I196" s="27"/>
      <c r="J196" s="27"/>
      <c r="K196" s="27"/>
      <c r="L196" s="27"/>
      <c r="M196" s="27">
        <f>M197</f>
        <v>289.60000000000002</v>
      </c>
      <c r="N196" s="27">
        <f>N197</f>
        <v>289.60000000000002</v>
      </c>
      <c r="O196" s="27">
        <f t="shared" si="129"/>
        <v>100</v>
      </c>
    </row>
    <row r="197" spans="1:15" ht="15.75" x14ac:dyDescent="0.25">
      <c r="A197" s="31" t="s">
        <v>186</v>
      </c>
      <c r="B197" s="220">
        <v>902</v>
      </c>
      <c r="C197" s="218" t="s">
        <v>201</v>
      </c>
      <c r="D197" s="218" t="s">
        <v>285</v>
      </c>
      <c r="E197" s="218" t="s">
        <v>969</v>
      </c>
      <c r="F197" s="218" t="s">
        <v>196</v>
      </c>
      <c r="G197" s="27"/>
      <c r="H197" s="27"/>
      <c r="I197" s="27"/>
      <c r="J197" s="27"/>
      <c r="K197" s="27"/>
      <c r="L197" s="27"/>
      <c r="M197" s="27">
        <f>M198</f>
        <v>289.60000000000002</v>
      </c>
      <c r="N197" s="27">
        <f>N198</f>
        <v>289.60000000000002</v>
      </c>
      <c r="O197" s="27">
        <f t="shared" si="129"/>
        <v>100</v>
      </c>
    </row>
    <row r="198" spans="1:15" ht="63" x14ac:dyDescent="0.25">
      <c r="A198" s="31" t="s">
        <v>235</v>
      </c>
      <c r="B198" s="220">
        <v>902</v>
      </c>
      <c r="C198" s="218" t="s">
        <v>201</v>
      </c>
      <c r="D198" s="218" t="s">
        <v>285</v>
      </c>
      <c r="E198" s="218" t="s">
        <v>969</v>
      </c>
      <c r="F198" s="218" t="s">
        <v>211</v>
      </c>
      <c r="G198" s="27"/>
      <c r="H198" s="27"/>
      <c r="I198" s="27"/>
      <c r="J198" s="27"/>
      <c r="K198" s="27"/>
      <c r="L198" s="27"/>
      <c r="M198" s="27">
        <v>289.60000000000002</v>
      </c>
      <c r="N198" s="27">
        <v>289.60000000000002</v>
      </c>
      <c r="O198" s="27">
        <f t="shared" si="129"/>
        <v>100</v>
      </c>
    </row>
    <row r="199" spans="1:15" ht="31.5" x14ac:dyDescent="0.25">
      <c r="A199" s="26" t="s">
        <v>286</v>
      </c>
      <c r="B199" s="220">
        <v>902</v>
      </c>
      <c r="C199" s="218" t="s">
        <v>201</v>
      </c>
      <c r="D199" s="218" t="s">
        <v>285</v>
      </c>
      <c r="E199" s="218" t="s">
        <v>287</v>
      </c>
      <c r="F199" s="218"/>
      <c r="G199" s="27">
        <f t="shared" si="177"/>
        <v>450</v>
      </c>
      <c r="H199" s="27">
        <f t="shared" si="178"/>
        <v>280</v>
      </c>
      <c r="I199" s="27">
        <f t="shared" si="177"/>
        <v>450</v>
      </c>
      <c r="J199" s="27">
        <f t="shared" si="177"/>
        <v>450</v>
      </c>
      <c r="K199" s="27">
        <f t="shared" si="177"/>
        <v>450</v>
      </c>
      <c r="L199" s="27">
        <f t="shared" si="177"/>
        <v>450</v>
      </c>
      <c r="M199" s="27">
        <f t="shared" ref="M199:N200" si="180">M200</f>
        <v>510</v>
      </c>
      <c r="N199" s="27">
        <f t="shared" si="180"/>
        <v>255</v>
      </c>
      <c r="O199" s="27">
        <f t="shared" si="129"/>
        <v>50</v>
      </c>
    </row>
    <row r="200" spans="1:15" ht="15.75" x14ac:dyDescent="0.25">
      <c r="A200" s="26" t="s">
        <v>186</v>
      </c>
      <c r="B200" s="220">
        <v>902</v>
      </c>
      <c r="C200" s="218" t="s">
        <v>201</v>
      </c>
      <c r="D200" s="218" t="s">
        <v>285</v>
      </c>
      <c r="E200" s="218" t="s">
        <v>287</v>
      </c>
      <c r="F200" s="218" t="s">
        <v>196</v>
      </c>
      <c r="G200" s="27">
        <f>G201</f>
        <v>450</v>
      </c>
      <c r="H200" s="27">
        <f>H201</f>
        <v>280</v>
      </c>
      <c r="I200" s="27">
        <f t="shared" si="177"/>
        <v>450</v>
      </c>
      <c r="J200" s="27">
        <f t="shared" si="177"/>
        <v>450</v>
      </c>
      <c r="K200" s="27">
        <f t="shared" si="177"/>
        <v>450</v>
      </c>
      <c r="L200" s="27">
        <f t="shared" si="177"/>
        <v>450</v>
      </c>
      <c r="M200" s="27">
        <f t="shared" si="180"/>
        <v>510</v>
      </c>
      <c r="N200" s="27">
        <f t="shared" si="180"/>
        <v>255</v>
      </c>
      <c r="O200" s="27">
        <f t="shared" si="129"/>
        <v>50</v>
      </c>
    </row>
    <row r="201" spans="1:15" ht="50.25" customHeight="1" x14ac:dyDescent="0.25">
      <c r="A201" s="26" t="s">
        <v>235</v>
      </c>
      <c r="B201" s="220">
        <v>902</v>
      </c>
      <c r="C201" s="218" t="s">
        <v>201</v>
      </c>
      <c r="D201" s="218" t="s">
        <v>285</v>
      </c>
      <c r="E201" s="218" t="s">
        <v>287</v>
      </c>
      <c r="F201" s="218" t="s">
        <v>211</v>
      </c>
      <c r="G201" s="27">
        <f>310+140</f>
        <v>450</v>
      </c>
      <c r="H201" s="27">
        <v>280</v>
      </c>
      <c r="I201" s="27">
        <f t="shared" ref="I201:L201" si="181">310+140</f>
        <v>450</v>
      </c>
      <c r="J201" s="27">
        <f t="shared" si="181"/>
        <v>450</v>
      </c>
      <c r="K201" s="27">
        <f t="shared" si="181"/>
        <v>450</v>
      </c>
      <c r="L201" s="27">
        <f t="shared" si="181"/>
        <v>450</v>
      </c>
      <c r="M201" s="27">
        <v>510</v>
      </c>
      <c r="N201" s="27">
        <v>255</v>
      </c>
      <c r="O201" s="27">
        <f t="shared" si="129"/>
        <v>50</v>
      </c>
    </row>
    <row r="202" spans="1:15" ht="31.5" x14ac:dyDescent="0.25">
      <c r="A202" s="24" t="s">
        <v>288</v>
      </c>
      <c r="B202" s="217">
        <v>902</v>
      </c>
      <c r="C202" s="219" t="s">
        <v>201</v>
      </c>
      <c r="D202" s="219" t="s">
        <v>289</v>
      </c>
      <c r="E202" s="219"/>
      <c r="F202" s="219"/>
      <c r="G202" s="22">
        <f>G207+G203</f>
        <v>1371.3999999999999</v>
      </c>
      <c r="H202" s="22">
        <f t="shared" ref="H202:L202" si="182">H207+H203</f>
        <v>763.19999999999993</v>
      </c>
      <c r="I202" s="22">
        <f t="shared" si="182"/>
        <v>1371.3999999999999</v>
      </c>
      <c r="J202" s="22">
        <f t="shared" si="182"/>
        <v>1911.3999999999999</v>
      </c>
      <c r="K202" s="22">
        <f t="shared" si="182"/>
        <v>1911.3999999999999</v>
      </c>
      <c r="L202" s="22">
        <f t="shared" si="182"/>
        <v>1911.3999999999999</v>
      </c>
      <c r="M202" s="22">
        <f>M207+M203</f>
        <v>1200.1999999999998</v>
      </c>
      <c r="N202" s="22">
        <f>N207+N203</f>
        <v>276.3</v>
      </c>
      <c r="O202" s="22">
        <f t="shared" si="129"/>
        <v>23.021163139476759</v>
      </c>
    </row>
    <row r="203" spans="1:15" ht="63" x14ac:dyDescent="0.25">
      <c r="A203" s="26" t="s">
        <v>979</v>
      </c>
      <c r="B203" s="220">
        <v>902</v>
      </c>
      <c r="C203" s="218" t="s">
        <v>201</v>
      </c>
      <c r="D203" s="218" t="s">
        <v>289</v>
      </c>
      <c r="E203" s="218" t="s">
        <v>207</v>
      </c>
      <c r="F203" s="218"/>
      <c r="G203" s="27">
        <f>G204</f>
        <v>0</v>
      </c>
      <c r="H203" s="27">
        <f t="shared" ref="H203:N205" si="183">H204</f>
        <v>0</v>
      </c>
      <c r="I203" s="27">
        <f t="shared" si="183"/>
        <v>0</v>
      </c>
      <c r="J203" s="27">
        <f t="shared" si="183"/>
        <v>540</v>
      </c>
      <c r="K203" s="27">
        <f t="shared" si="183"/>
        <v>540</v>
      </c>
      <c r="L203" s="27">
        <f t="shared" si="183"/>
        <v>540</v>
      </c>
      <c r="M203" s="27">
        <f t="shared" si="183"/>
        <v>250</v>
      </c>
      <c r="N203" s="27">
        <f t="shared" si="183"/>
        <v>0</v>
      </c>
      <c r="O203" s="27">
        <f t="shared" si="129"/>
        <v>0</v>
      </c>
    </row>
    <row r="204" spans="1:15" ht="31.5" x14ac:dyDescent="0.25">
      <c r="A204" s="26" t="s">
        <v>208</v>
      </c>
      <c r="B204" s="220">
        <v>902</v>
      </c>
      <c r="C204" s="218" t="s">
        <v>201</v>
      </c>
      <c r="D204" s="218" t="s">
        <v>289</v>
      </c>
      <c r="E204" s="218" t="s">
        <v>209</v>
      </c>
      <c r="F204" s="218"/>
      <c r="G204" s="27">
        <f>G205</f>
        <v>0</v>
      </c>
      <c r="H204" s="27">
        <f t="shared" si="183"/>
        <v>0</v>
      </c>
      <c r="I204" s="27">
        <f t="shared" si="183"/>
        <v>0</v>
      </c>
      <c r="J204" s="27">
        <f t="shared" si="183"/>
        <v>540</v>
      </c>
      <c r="K204" s="27">
        <f t="shared" si="183"/>
        <v>540</v>
      </c>
      <c r="L204" s="27">
        <f t="shared" si="183"/>
        <v>540</v>
      </c>
      <c r="M204" s="27">
        <f t="shared" si="183"/>
        <v>250</v>
      </c>
      <c r="N204" s="27">
        <f t="shared" si="183"/>
        <v>0</v>
      </c>
      <c r="O204" s="27">
        <f t="shared" ref="O204:O267" si="184">N204/M204*100</f>
        <v>0</v>
      </c>
    </row>
    <row r="205" spans="1:15" ht="15.75" x14ac:dyDescent="0.25">
      <c r="A205" s="26" t="s">
        <v>186</v>
      </c>
      <c r="B205" s="220">
        <v>902</v>
      </c>
      <c r="C205" s="218" t="s">
        <v>201</v>
      </c>
      <c r="D205" s="218" t="s">
        <v>289</v>
      </c>
      <c r="E205" s="218" t="s">
        <v>209</v>
      </c>
      <c r="F205" s="218" t="s">
        <v>196</v>
      </c>
      <c r="G205" s="27">
        <f>G206</f>
        <v>0</v>
      </c>
      <c r="H205" s="27">
        <f t="shared" si="183"/>
        <v>0</v>
      </c>
      <c r="I205" s="27">
        <f t="shared" si="183"/>
        <v>0</v>
      </c>
      <c r="J205" s="27">
        <f t="shared" si="183"/>
        <v>540</v>
      </c>
      <c r="K205" s="27">
        <f t="shared" si="183"/>
        <v>540</v>
      </c>
      <c r="L205" s="27">
        <f t="shared" si="183"/>
        <v>540</v>
      </c>
      <c r="M205" s="27">
        <f t="shared" si="183"/>
        <v>250</v>
      </c>
      <c r="N205" s="27">
        <f t="shared" si="183"/>
        <v>0</v>
      </c>
      <c r="O205" s="27">
        <f t="shared" si="184"/>
        <v>0</v>
      </c>
    </row>
    <row r="206" spans="1:15" ht="78.75" x14ac:dyDescent="0.25">
      <c r="A206" s="26" t="s">
        <v>210</v>
      </c>
      <c r="B206" s="220">
        <v>902</v>
      </c>
      <c r="C206" s="218" t="s">
        <v>201</v>
      </c>
      <c r="D206" s="218" t="s">
        <v>289</v>
      </c>
      <c r="E206" s="218" t="s">
        <v>209</v>
      </c>
      <c r="F206" s="218" t="s">
        <v>211</v>
      </c>
      <c r="G206" s="27">
        <v>0</v>
      </c>
      <c r="H206" s="27">
        <v>0</v>
      </c>
      <c r="I206" s="27">
        <v>0</v>
      </c>
      <c r="J206" s="27">
        <v>540</v>
      </c>
      <c r="K206" s="27">
        <v>540</v>
      </c>
      <c r="L206" s="27">
        <v>540</v>
      </c>
      <c r="M206" s="27">
        <f t="shared" ref="M206" si="185">100+150</f>
        <v>250</v>
      </c>
      <c r="N206" s="27">
        <v>0</v>
      </c>
      <c r="O206" s="27">
        <f t="shared" si="184"/>
        <v>0</v>
      </c>
    </row>
    <row r="207" spans="1:15" ht="15.75" x14ac:dyDescent="0.25">
      <c r="A207" s="26" t="s">
        <v>172</v>
      </c>
      <c r="B207" s="220">
        <v>902</v>
      </c>
      <c r="C207" s="218" t="s">
        <v>201</v>
      </c>
      <c r="D207" s="218" t="s">
        <v>289</v>
      </c>
      <c r="E207" s="218" t="s">
        <v>173</v>
      </c>
      <c r="F207" s="219"/>
      <c r="G207" s="27">
        <f>G208</f>
        <v>1371.3999999999999</v>
      </c>
      <c r="H207" s="27">
        <f>H208</f>
        <v>763.19999999999993</v>
      </c>
      <c r="I207" s="27">
        <f t="shared" ref="I207:L207" si="186">I208</f>
        <v>1371.3999999999999</v>
      </c>
      <c r="J207" s="27">
        <f t="shared" si="186"/>
        <v>1371.3999999999999</v>
      </c>
      <c r="K207" s="27">
        <f t="shared" si="186"/>
        <v>1371.3999999999999</v>
      </c>
      <c r="L207" s="27">
        <f t="shared" si="186"/>
        <v>1371.3999999999999</v>
      </c>
      <c r="M207" s="27">
        <f t="shared" ref="M207:N207" si="187">M208</f>
        <v>950.19999999999993</v>
      </c>
      <c r="N207" s="27">
        <f t="shared" si="187"/>
        <v>276.3</v>
      </c>
      <c r="O207" s="27">
        <f t="shared" si="184"/>
        <v>29.078088823405601</v>
      </c>
    </row>
    <row r="208" spans="1:15" ht="31.5" x14ac:dyDescent="0.25">
      <c r="A208" s="26" t="s">
        <v>236</v>
      </c>
      <c r="B208" s="220">
        <v>902</v>
      </c>
      <c r="C208" s="218" t="s">
        <v>201</v>
      </c>
      <c r="D208" s="218" t="s">
        <v>289</v>
      </c>
      <c r="E208" s="218" t="s">
        <v>237</v>
      </c>
      <c r="F208" s="219"/>
      <c r="G208" s="27">
        <f>G212+G209</f>
        <v>1371.3999999999999</v>
      </c>
      <c r="H208" s="27">
        <f>H212+H209</f>
        <v>763.19999999999993</v>
      </c>
      <c r="I208" s="27">
        <f t="shared" ref="I208:L208" si="188">I212+I209</f>
        <v>1371.3999999999999</v>
      </c>
      <c r="J208" s="27">
        <f t="shared" si="188"/>
        <v>1371.3999999999999</v>
      </c>
      <c r="K208" s="27">
        <f t="shared" si="188"/>
        <v>1371.3999999999999</v>
      </c>
      <c r="L208" s="27">
        <f t="shared" si="188"/>
        <v>1371.3999999999999</v>
      </c>
      <c r="M208" s="27">
        <f>M212+M209</f>
        <v>950.19999999999993</v>
      </c>
      <c r="N208" s="27">
        <f>N212+N209</f>
        <v>276.3</v>
      </c>
      <c r="O208" s="27">
        <f t="shared" si="184"/>
        <v>29.078088823405601</v>
      </c>
    </row>
    <row r="209" spans="1:15" ht="31.5" x14ac:dyDescent="0.25">
      <c r="A209" s="26" t="s">
        <v>290</v>
      </c>
      <c r="B209" s="220">
        <v>902</v>
      </c>
      <c r="C209" s="218" t="s">
        <v>201</v>
      </c>
      <c r="D209" s="218" t="s">
        <v>289</v>
      </c>
      <c r="E209" s="218" t="s">
        <v>291</v>
      </c>
      <c r="F209" s="219"/>
      <c r="G209" s="27">
        <f t="shared" ref="G209:L210" si="189">G210</f>
        <v>90</v>
      </c>
      <c r="H209" s="27">
        <f t="shared" ref="H209:H210" si="190">H210</f>
        <v>0</v>
      </c>
      <c r="I209" s="27">
        <f t="shared" si="189"/>
        <v>90</v>
      </c>
      <c r="J209" s="27">
        <f t="shared" si="189"/>
        <v>90</v>
      </c>
      <c r="K209" s="27">
        <f t="shared" si="189"/>
        <v>90</v>
      </c>
      <c r="L209" s="27">
        <f t="shared" si="189"/>
        <v>90</v>
      </c>
      <c r="M209" s="27">
        <f t="shared" ref="M209:N210" si="191">M210</f>
        <v>48.9</v>
      </c>
      <c r="N209" s="27">
        <f t="shared" si="191"/>
        <v>0</v>
      </c>
      <c r="O209" s="27">
        <f t="shared" si="184"/>
        <v>0</v>
      </c>
    </row>
    <row r="210" spans="1:15" ht="15.75" x14ac:dyDescent="0.25">
      <c r="A210" s="26" t="s">
        <v>186</v>
      </c>
      <c r="B210" s="220">
        <v>902</v>
      </c>
      <c r="C210" s="218" t="s">
        <v>201</v>
      </c>
      <c r="D210" s="218" t="s">
        <v>289</v>
      </c>
      <c r="E210" s="218" t="s">
        <v>291</v>
      </c>
      <c r="F210" s="218" t="s">
        <v>196</v>
      </c>
      <c r="G210" s="27">
        <f t="shared" si="189"/>
        <v>90</v>
      </c>
      <c r="H210" s="27">
        <f t="shared" si="190"/>
        <v>0</v>
      </c>
      <c r="I210" s="27">
        <f t="shared" si="189"/>
        <v>90</v>
      </c>
      <c r="J210" s="27">
        <f t="shared" si="189"/>
        <v>90</v>
      </c>
      <c r="K210" s="27">
        <f t="shared" si="189"/>
        <v>90</v>
      </c>
      <c r="L210" s="27">
        <f t="shared" si="189"/>
        <v>90</v>
      </c>
      <c r="M210" s="27">
        <f t="shared" si="191"/>
        <v>48.9</v>
      </c>
      <c r="N210" s="27">
        <f t="shared" si="191"/>
        <v>0</v>
      </c>
      <c r="O210" s="27">
        <f t="shared" si="184"/>
        <v>0</v>
      </c>
    </row>
    <row r="211" spans="1:15" ht="63" x14ac:dyDescent="0.25">
      <c r="A211" s="26" t="s">
        <v>235</v>
      </c>
      <c r="B211" s="220">
        <v>902</v>
      </c>
      <c r="C211" s="218" t="s">
        <v>201</v>
      </c>
      <c r="D211" s="218" t="s">
        <v>289</v>
      </c>
      <c r="E211" s="218" t="s">
        <v>291</v>
      </c>
      <c r="F211" s="218" t="s">
        <v>211</v>
      </c>
      <c r="G211" s="27">
        <v>90</v>
      </c>
      <c r="H211" s="27">
        <v>0</v>
      </c>
      <c r="I211" s="27">
        <v>90</v>
      </c>
      <c r="J211" s="27">
        <v>90</v>
      </c>
      <c r="K211" s="27">
        <v>90</v>
      </c>
      <c r="L211" s="27">
        <v>90</v>
      </c>
      <c r="M211" s="27">
        <v>48.9</v>
      </c>
      <c r="N211" s="27">
        <v>0</v>
      </c>
      <c r="O211" s="27">
        <f t="shared" si="184"/>
        <v>0</v>
      </c>
    </row>
    <row r="212" spans="1:15" ht="63" x14ac:dyDescent="0.25">
      <c r="A212" s="33" t="s">
        <v>292</v>
      </c>
      <c r="B212" s="220">
        <v>902</v>
      </c>
      <c r="C212" s="218" t="s">
        <v>201</v>
      </c>
      <c r="D212" s="218" t="s">
        <v>289</v>
      </c>
      <c r="E212" s="218" t="s">
        <v>293</v>
      </c>
      <c r="F212" s="218"/>
      <c r="G212" s="27">
        <f>G213+G215</f>
        <v>1281.3999999999999</v>
      </c>
      <c r="H212" s="27">
        <f>H213+H215</f>
        <v>763.19999999999993</v>
      </c>
      <c r="I212" s="27">
        <f t="shared" ref="I212:L212" si="192">I213+I215</f>
        <v>1281.3999999999999</v>
      </c>
      <c r="J212" s="27">
        <f t="shared" si="192"/>
        <v>1281.3999999999999</v>
      </c>
      <c r="K212" s="27">
        <f t="shared" si="192"/>
        <v>1281.3999999999999</v>
      </c>
      <c r="L212" s="27">
        <f t="shared" si="192"/>
        <v>1281.3999999999999</v>
      </c>
      <c r="M212" s="27">
        <f t="shared" ref="M212:N212" si="193">M213+M215</f>
        <v>901.3</v>
      </c>
      <c r="N212" s="27">
        <f t="shared" si="193"/>
        <v>276.3</v>
      </c>
      <c r="O212" s="27">
        <f t="shared" si="184"/>
        <v>30.655719516254305</v>
      </c>
    </row>
    <row r="213" spans="1:15" ht="94.5" x14ac:dyDescent="0.25">
      <c r="A213" s="26" t="s">
        <v>178</v>
      </c>
      <c r="B213" s="220">
        <v>902</v>
      </c>
      <c r="C213" s="218" t="s">
        <v>201</v>
      </c>
      <c r="D213" s="218" t="s">
        <v>289</v>
      </c>
      <c r="E213" s="218" t="s">
        <v>293</v>
      </c>
      <c r="F213" s="218" t="s">
        <v>179</v>
      </c>
      <c r="G213" s="27">
        <f>G214</f>
        <v>1116.3999999999999</v>
      </c>
      <c r="H213" s="27">
        <f>H214</f>
        <v>716.3</v>
      </c>
      <c r="I213" s="27">
        <f t="shared" ref="I213:L213" si="194">I214</f>
        <v>1116.3999999999999</v>
      </c>
      <c r="J213" s="27">
        <f t="shared" si="194"/>
        <v>1116.3999999999999</v>
      </c>
      <c r="K213" s="27">
        <f t="shared" si="194"/>
        <v>1116.3999999999999</v>
      </c>
      <c r="L213" s="27">
        <f t="shared" si="194"/>
        <v>1116.3999999999999</v>
      </c>
      <c r="M213" s="27">
        <f t="shared" ref="M213:N213" si="195">M214</f>
        <v>779.69999999999993</v>
      </c>
      <c r="N213" s="27">
        <f t="shared" si="195"/>
        <v>224.2</v>
      </c>
      <c r="O213" s="27">
        <f t="shared" si="184"/>
        <v>28.754649224060536</v>
      </c>
    </row>
    <row r="214" spans="1:15" ht="31.5" x14ac:dyDescent="0.25">
      <c r="A214" s="26" t="s">
        <v>180</v>
      </c>
      <c r="B214" s="220">
        <v>902</v>
      </c>
      <c r="C214" s="218" t="s">
        <v>201</v>
      </c>
      <c r="D214" s="218" t="s">
        <v>289</v>
      </c>
      <c r="E214" s="218" t="s">
        <v>293</v>
      </c>
      <c r="F214" s="218" t="s">
        <v>181</v>
      </c>
      <c r="G214" s="27">
        <f>1302-123.4-62.2</f>
        <v>1116.3999999999999</v>
      </c>
      <c r="H214" s="27">
        <v>716.3</v>
      </c>
      <c r="I214" s="27">
        <f t="shared" ref="I214:L214" si="196">1302-123.4-62.2</f>
        <v>1116.3999999999999</v>
      </c>
      <c r="J214" s="27">
        <f t="shared" si="196"/>
        <v>1116.3999999999999</v>
      </c>
      <c r="K214" s="27">
        <f t="shared" si="196"/>
        <v>1116.3999999999999</v>
      </c>
      <c r="L214" s="27">
        <f t="shared" si="196"/>
        <v>1116.3999999999999</v>
      </c>
      <c r="M214" s="27">
        <f>901.3-361.1+239.5</f>
        <v>779.69999999999993</v>
      </c>
      <c r="N214" s="27">
        <v>224.2</v>
      </c>
      <c r="O214" s="27">
        <f t="shared" si="184"/>
        <v>28.754649224060536</v>
      </c>
    </row>
    <row r="215" spans="1:15" ht="31.5" x14ac:dyDescent="0.25">
      <c r="A215" s="26" t="s">
        <v>182</v>
      </c>
      <c r="B215" s="220">
        <v>902</v>
      </c>
      <c r="C215" s="218" t="s">
        <v>201</v>
      </c>
      <c r="D215" s="218" t="s">
        <v>289</v>
      </c>
      <c r="E215" s="218" t="s">
        <v>293</v>
      </c>
      <c r="F215" s="218" t="s">
        <v>183</v>
      </c>
      <c r="G215" s="27">
        <f>G216</f>
        <v>165</v>
      </c>
      <c r="H215" s="27">
        <f>H216</f>
        <v>46.9</v>
      </c>
      <c r="I215" s="27">
        <f t="shared" ref="I215:L215" si="197">I216</f>
        <v>165</v>
      </c>
      <c r="J215" s="27">
        <f t="shared" si="197"/>
        <v>165</v>
      </c>
      <c r="K215" s="27">
        <f t="shared" si="197"/>
        <v>165</v>
      </c>
      <c r="L215" s="27">
        <f t="shared" si="197"/>
        <v>165</v>
      </c>
      <c r="M215" s="27">
        <f t="shared" ref="M215:N215" si="198">M216</f>
        <v>121.60000000000002</v>
      </c>
      <c r="N215" s="27">
        <f t="shared" si="198"/>
        <v>52.1</v>
      </c>
      <c r="O215" s="27">
        <f t="shared" si="184"/>
        <v>42.845394736842096</v>
      </c>
    </row>
    <row r="216" spans="1:15" ht="47.25" x14ac:dyDescent="0.25">
      <c r="A216" s="26" t="s">
        <v>184</v>
      </c>
      <c r="B216" s="220">
        <v>902</v>
      </c>
      <c r="C216" s="218" t="s">
        <v>201</v>
      </c>
      <c r="D216" s="218" t="s">
        <v>289</v>
      </c>
      <c r="E216" s="218" t="s">
        <v>293</v>
      </c>
      <c r="F216" s="218" t="s">
        <v>185</v>
      </c>
      <c r="G216" s="27">
        <f>102.8+62.2</f>
        <v>165</v>
      </c>
      <c r="H216" s="27">
        <v>46.9</v>
      </c>
      <c r="I216" s="27">
        <f t="shared" ref="I216:L216" si="199">102.8+62.2</f>
        <v>165</v>
      </c>
      <c r="J216" s="27">
        <f t="shared" si="199"/>
        <v>165</v>
      </c>
      <c r="K216" s="27">
        <f t="shared" si="199"/>
        <v>165</v>
      </c>
      <c r="L216" s="27">
        <f t="shared" si="199"/>
        <v>165</v>
      </c>
      <c r="M216" s="27">
        <f>361.1-239.5</f>
        <v>121.60000000000002</v>
      </c>
      <c r="N216" s="27">
        <v>52.1</v>
      </c>
      <c r="O216" s="27">
        <f t="shared" si="184"/>
        <v>42.845394736842096</v>
      </c>
    </row>
    <row r="217" spans="1:15" ht="16.5" customHeight="1" x14ac:dyDescent="0.25">
      <c r="A217" s="24" t="s">
        <v>294</v>
      </c>
      <c r="B217" s="217">
        <v>902</v>
      </c>
      <c r="C217" s="219" t="s">
        <v>295</v>
      </c>
      <c r="D217" s="219"/>
      <c r="E217" s="219"/>
      <c r="F217" s="219"/>
      <c r="G217" s="22">
        <f>G218+G224+G234</f>
        <v>12224.9</v>
      </c>
      <c r="H217" s="22">
        <f t="shared" ref="H217" si="200">H218+H224+H234</f>
        <v>8816</v>
      </c>
      <c r="I217" s="22">
        <f t="shared" ref="I217:L217" si="201">I218+I224+I234</f>
        <v>12214.9</v>
      </c>
      <c r="J217" s="22">
        <f t="shared" si="201"/>
        <v>12225</v>
      </c>
      <c r="K217" s="22">
        <f t="shared" si="201"/>
        <v>12225</v>
      </c>
      <c r="L217" s="22">
        <f t="shared" si="201"/>
        <v>12225</v>
      </c>
      <c r="M217" s="22">
        <f t="shared" ref="M217:N217" si="202">M218+M224+M234</f>
        <v>12225.1</v>
      </c>
      <c r="N217" s="22">
        <f t="shared" si="202"/>
        <v>8857</v>
      </c>
      <c r="O217" s="22">
        <f t="shared" si="184"/>
        <v>72.449305118158534</v>
      </c>
    </row>
    <row r="218" spans="1:15" ht="15.75" x14ac:dyDescent="0.25">
      <c r="A218" s="24" t="s">
        <v>296</v>
      </c>
      <c r="B218" s="217">
        <v>902</v>
      </c>
      <c r="C218" s="219" t="s">
        <v>295</v>
      </c>
      <c r="D218" s="219" t="s">
        <v>169</v>
      </c>
      <c r="E218" s="219"/>
      <c r="F218" s="219"/>
      <c r="G218" s="22">
        <f>G219</f>
        <v>9066.4</v>
      </c>
      <c r="H218" s="22">
        <f t="shared" ref="H218:L218" si="203">H219</f>
        <v>6799.8</v>
      </c>
      <c r="I218" s="22">
        <f t="shared" si="203"/>
        <v>9066.4</v>
      </c>
      <c r="J218" s="22">
        <f t="shared" si="203"/>
        <v>9066.5</v>
      </c>
      <c r="K218" s="22">
        <f t="shared" si="203"/>
        <v>9066.5</v>
      </c>
      <c r="L218" s="22">
        <f t="shared" si="203"/>
        <v>9066.5</v>
      </c>
      <c r="M218" s="22">
        <f t="shared" ref="M218:N222" si="204">M219</f>
        <v>9066.4</v>
      </c>
      <c r="N218" s="22">
        <f t="shared" si="204"/>
        <v>6805.2</v>
      </c>
      <c r="O218" s="22">
        <f t="shared" si="184"/>
        <v>75.059560575311039</v>
      </c>
    </row>
    <row r="219" spans="1:15" ht="15.75" x14ac:dyDescent="0.25">
      <c r="A219" s="26" t="s">
        <v>172</v>
      </c>
      <c r="B219" s="220">
        <v>902</v>
      </c>
      <c r="C219" s="218" t="s">
        <v>295</v>
      </c>
      <c r="D219" s="218" t="s">
        <v>169</v>
      </c>
      <c r="E219" s="218" t="s">
        <v>173</v>
      </c>
      <c r="F219" s="218"/>
      <c r="G219" s="27">
        <f t="shared" ref="G219:L222" si="205">G220</f>
        <v>9066.4</v>
      </c>
      <c r="H219" s="27">
        <f t="shared" ref="H219:H221" si="206">H220</f>
        <v>6799.8</v>
      </c>
      <c r="I219" s="27">
        <f t="shared" si="205"/>
        <v>9066.4</v>
      </c>
      <c r="J219" s="27">
        <f t="shared" si="205"/>
        <v>9066.5</v>
      </c>
      <c r="K219" s="27">
        <f t="shared" si="205"/>
        <v>9066.5</v>
      </c>
      <c r="L219" s="27">
        <f t="shared" si="205"/>
        <v>9066.5</v>
      </c>
      <c r="M219" s="27">
        <f t="shared" si="204"/>
        <v>9066.4</v>
      </c>
      <c r="N219" s="27">
        <f t="shared" si="204"/>
        <v>6805.2</v>
      </c>
      <c r="O219" s="27">
        <f t="shared" si="184"/>
        <v>75.059560575311039</v>
      </c>
    </row>
    <row r="220" spans="1:15" ht="15.75" x14ac:dyDescent="0.25">
      <c r="A220" s="26" t="s">
        <v>192</v>
      </c>
      <c r="B220" s="220">
        <v>902</v>
      </c>
      <c r="C220" s="218" t="s">
        <v>295</v>
      </c>
      <c r="D220" s="218" t="s">
        <v>169</v>
      </c>
      <c r="E220" s="218" t="s">
        <v>193</v>
      </c>
      <c r="F220" s="218"/>
      <c r="G220" s="27">
        <f>G221</f>
        <v>9066.4</v>
      </c>
      <c r="H220" s="27">
        <f>H221</f>
        <v>6799.8</v>
      </c>
      <c r="I220" s="27">
        <f t="shared" si="205"/>
        <v>9066.4</v>
      </c>
      <c r="J220" s="27">
        <f t="shared" si="205"/>
        <v>9066.5</v>
      </c>
      <c r="K220" s="27">
        <f t="shared" si="205"/>
        <v>9066.5</v>
      </c>
      <c r="L220" s="27">
        <f t="shared" si="205"/>
        <v>9066.5</v>
      </c>
      <c r="M220" s="27">
        <f t="shared" si="204"/>
        <v>9066.4</v>
      </c>
      <c r="N220" s="27">
        <f t="shared" si="204"/>
        <v>6805.2</v>
      </c>
      <c r="O220" s="27">
        <f t="shared" si="184"/>
        <v>75.059560575311039</v>
      </c>
    </row>
    <row r="221" spans="1:15" ht="15.75" x14ac:dyDescent="0.25">
      <c r="A221" s="26" t="s">
        <v>297</v>
      </c>
      <c r="B221" s="220">
        <v>902</v>
      </c>
      <c r="C221" s="218" t="s">
        <v>295</v>
      </c>
      <c r="D221" s="218" t="s">
        <v>169</v>
      </c>
      <c r="E221" s="218" t="s">
        <v>298</v>
      </c>
      <c r="F221" s="218"/>
      <c r="G221" s="27">
        <f t="shared" si="205"/>
        <v>9066.4</v>
      </c>
      <c r="H221" s="27">
        <f t="shared" si="206"/>
        <v>6799.8</v>
      </c>
      <c r="I221" s="27">
        <f t="shared" si="205"/>
        <v>9066.4</v>
      </c>
      <c r="J221" s="27">
        <f t="shared" si="205"/>
        <v>9066.5</v>
      </c>
      <c r="K221" s="27">
        <f t="shared" si="205"/>
        <v>9066.5</v>
      </c>
      <c r="L221" s="27">
        <f t="shared" si="205"/>
        <v>9066.5</v>
      </c>
      <c r="M221" s="27">
        <f t="shared" si="204"/>
        <v>9066.4</v>
      </c>
      <c r="N221" s="27">
        <f t="shared" si="204"/>
        <v>6805.2</v>
      </c>
      <c r="O221" s="27">
        <f t="shared" si="184"/>
        <v>75.059560575311039</v>
      </c>
    </row>
    <row r="222" spans="1:15" ht="31.5" x14ac:dyDescent="0.25">
      <c r="A222" s="26" t="s">
        <v>299</v>
      </c>
      <c r="B222" s="220">
        <v>902</v>
      </c>
      <c r="C222" s="218" t="s">
        <v>295</v>
      </c>
      <c r="D222" s="218" t="s">
        <v>169</v>
      </c>
      <c r="E222" s="218" t="s">
        <v>298</v>
      </c>
      <c r="F222" s="218" t="s">
        <v>300</v>
      </c>
      <c r="G222" s="27">
        <f>G223</f>
        <v>9066.4</v>
      </c>
      <c r="H222" s="27">
        <f>H223</f>
        <v>6799.8</v>
      </c>
      <c r="I222" s="27">
        <f t="shared" si="205"/>
        <v>9066.4</v>
      </c>
      <c r="J222" s="27">
        <f t="shared" si="205"/>
        <v>9066.5</v>
      </c>
      <c r="K222" s="27">
        <f t="shared" si="205"/>
        <v>9066.5</v>
      </c>
      <c r="L222" s="27">
        <f t="shared" si="205"/>
        <v>9066.5</v>
      </c>
      <c r="M222" s="27">
        <f t="shared" si="204"/>
        <v>9066.4</v>
      </c>
      <c r="N222" s="27">
        <f t="shared" si="204"/>
        <v>6805.2</v>
      </c>
      <c r="O222" s="27">
        <f t="shared" si="184"/>
        <v>75.059560575311039</v>
      </c>
    </row>
    <row r="223" spans="1:15" ht="31.5" x14ac:dyDescent="0.25">
      <c r="A223" s="26" t="s">
        <v>301</v>
      </c>
      <c r="B223" s="220">
        <v>902</v>
      </c>
      <c r="C223" s="218" t="s">
        <v>295</v>
      </c>
      <c r="D223" s="218" t="s">
        <v>169</v>
      </c>
      <c r="E223" s="218" t="s">
        <v>298</v>
      </c>
      <c r="F223" s="218" t="s">
        <v>302</v>
      </c>
      <c r="G223" s="28">
        <v>9066.4</v>
      </c>
      <c r="H223" s="28">
        <v>6799.8</v>
      </c>
      <c r="I223" s="28">
        <v>9066.4</v>
      </c>
      <c r="J223" s="28">
        <v>9066.5</v>
      </c>
      <c r="K223" s="28">
        <f>J223</f>
        <v>9066.5</v>
      </c>
      <c r="L223" s="28">
        <f>K223</f>
        <v>9066.5</v>
      </c>
      <c r="M223" s="28">
        <v>9066.4</v>
      </c>
      <c r="N223" s="28">
        <v>6805.2</v>
      </c>
      <c r="O223" s="27">
        <f t="shared" si="184"/>
        <v>75.059560575311039</v>
      </c>
    </row>
    <row r="224" spans="1:15" ht="15.75" x14ac:dyDescent="0.25">
      <c r="A224" s="24" t="s">
        <v>303</v>
      </c>
      <c r="B224" s="217">
        <v>902</v>
      </c>
      <c r="C224" s="219" t="s">
        <v>295</v>
      </c>
      <c r="D224" s="219" t="s">
        <v>266</v>
      </c>
      <c r="E224" s="218"/>
      <c r="F224" s="218"/>
      <c r="G224" s="22">
        <f>G225+G229</f>
        <v>10</v>
      </c>
      <c r="H224" s="22">
        <f t="shared" ref="H224:L224" si="207">H225+H229</f>
        <v>0</v>
      </c>
      <c r="I224" s="22">
        <f t="shared" si="207"/>
        <v>0</v>
      </c>
      <c r="J224" s="22">
        <f t="shared" si="207"/>
        <v>10</v>
      </c>
      <c r="K224" s="22">
        <f t="shared" si="207"/>
        <v>10</v>
      </c>
      <c r="L224" s="22">
        <f t="shared" si="207"/>
        <v>10</v>
      </c>
      <c r="M224" s="22">
        <f t="shared" ref="M224:N224" si="208">M225+M229</f>
        <v>10</v>
      </c>
      <c r="N224" s="22">
        <f t="shared" si="208"/>
        <v>0</v>
      </c>
      <c r="O224" s="22">
        <f t="shared" si="184"/>
        <v>0</v>
      </c>
    </row>
    <row r="225" spans="1:15" ht="78.75" x14ac:dyDescent="0.25">
      <c r="A225" s="26" t="s">
        <v>304</v>
      </c>
      <c r="B225" s="220">
        <v>902</v>
      </c>
      <c r="C225" s="218" t="s">
        <v>295</v>
      </c>
      <c r="D225" s="218" t="s">
        <v>266</v>
      </c>
      <c r="E225" s="218" t="s">
        <v>305</v>
      </c>
      <c r="F225" s="218"/>
      <c r="G225" s="27">
        <f>G226</f>
        <v>10</v>
      </c>
      <c r="H225" s="27">
        <f t="shared" ref="H225:H227" si="209">H226</f>
        <v>0</v>
      </c>
      <c r="I225" s="27">
        <f t="shared" ref="I225:L227" si="210">I226</f>
        <v>0</v>
      </c>
      <c r="J225" s="27">
        <f t="shared" si="210"/>
        <v>10</v>
      </c>
      <c r="K225" s="27">
        <f t="shared" si="210"/>
        <v>10</v>
      </c>
      <c r="L225" s="27">
        <f t="shared" si="210"/>
        <v>10</v>
      </c>
      <c r="M225" s="27">
        <f t="shared" ref="M225:N227" si="211">M226</f>
        <v>10</v>
      </c>
      <c r="N225" s="27">
        <f t="shared" si="211"/>
        <v>0</v>
      </c>
      <c r="O225" s="27">
        <f t="shared" si="184"/>
        <v>0</v>
      </c>
    </row>
    <row r="226" spans="1:15" ht="31.5" x14ac:dyDescent="0.25">
      <c r="A226" s="26" t="s">
        <v>208</v>
      </c>
      <c r="B226" s="220">
        <v>902</v>
      </c>
      <c r="C226" s="218" t="s">
        <v>295</v>
      </c>
      <c r="D226" s="218" t="s">
        <v>266</v>
      </c>
      <c r="E226" s="218" t="s">
        <v>306</v>
      </c>
      <c r="F226" s="218"/>
      <c r="G226" s="27">
        <f>G227</f>
        <v>10</v>
      </c>
      <c r="H226" s="27">
        <f t="shared" si="209"/>
        <v>0</v>
      </c>
      <c r="I226" s="27">
        <f t="shared" si="210"/>
        <v>0</v>
      </c>
      <c r="J226" s="27">
        <f t="shared" si="210"/>
        <v>10</v>
      </c>
      <c r="K226" s="27">
        <f t="shared" si="210"/>
        <v>10</v>
      </c>
      <c r="L226" s="27">
        <f t="shared" si="210"/>
        <v>10</v>
      </c>
      <c r="M226" s="27">
        <f t="shared" si="211"/>
        <v>10</v>
      </c>
      <c r="N226" s="27">
        <f t="shared" si="211"/>
        <v>0</v>
      </c>
      <c r="O226" s="27">
        <f t="shared" si="184"/>
        <v>0</v>
      </c>
    </row>
    <row r="227" spans="1:15" ht="31.5" x14ac:dyDescent="0.25">
      <c r="A227" s="26" t="s">
        <v>299</v>
      </c>
      <c r="B227" s="220">
        <v>902</v>
      </c>
      <c r="C227" s="218" t="s">
        <v>295</v>
      </c>
      <c r="D227" s="218" t="s">
        <v>266</v>
      </c>
      <c r="E227" s="218" t="s">
        <v>306</v>
      </c>
      <c r="F227" s="218" t="s">
        <v>300</v>
      </c>
      <c r="G227" s="27">
        <f>G228</f>
        <v>10</v>
      </c>
      <c r="H227" s="27">
        <f t="shared" si="209"/>
        <v>0</v>
      </c>
      <c r="I227" s="27">
        <f t="shared" si="210"/>
        <v>0</v>
      </c>
      <c r="J227" s="27">
        <f t="shared" si="210"/>
        <v>10</v>
      </c>
      <c r="K227" s="27">
        <f t="shared" si="210"/>
        <v>10</v>
      </c>
      <c r="L227" s="27">
        <f t="shared" si="210"/>
        <v>10</v>
      </c>
      <c r="M227" s="27">
        <f t="shared" si="211"/>
        <v>10</v>
      </c>
      <c r="N227" s="27">
        <f t="shared" si="211"/>
        <v>0</v>
      </c>
      <c r="O227" s="27">
        <f t="shared" si="184"/>
        <v>0</v>
      </c>
    </row>
    <row r="228" spans="1:15" ht="31.5" x14ac:dyDescent="0.25">
      <c r="A228" s="26" t="s">
        <v>301</v>
      </c>
      <c r="B228" s="220">
        <v>902</v>
      </c>
      <c r="C228" s="218" t="s">
        <v>295</v>
      </c>
      <c r="D228" s="218" t="s">
        <v>266</v>
      </c>
      <c r="E228" s="218" t="s">
        <v>306</v>
      </c>
      <c r="F228" s="218" t="s">
        <v>302</v>
      </c>
      <c r="G228" s="27">
        <v>10</v>
      </c>
      <c r="H228" s="27">
        <v>0</v>
      </c>
      <c r="I228" s="27">
        <v>0</v>
      </c>
      <c r="J228" s="27">
        <v>10</v>
      </c>
      <c r="K228" s="27">
        <v>10</v>
      </c>
      <c r="L228" s="27">
        <v>10</v>
      </c>
      <c r="M228" s="27">
        <v>10</v>
      </c>
      <c r="N228" s="27">
        <v>0</v>
      </c>
      <c r="O228" s="27">
        <f t="shared" si="184"/>
        <v>0</v>
      </c>
    </row>
    <row r="229" spans="1:15" ht="15.75" hidden="1" customHeight="1" x14ac:dyDescent="0.25">
      <c r="A229" s="26" t="s">
        <v>172</v>
      </c>
      <c r="B229" s="220">
        <v>902</v>
      </c>
      <c r="C229" s="218" t="s">
        <v>295</v>
      </c>
      <c r="D229" s="218" t="s">
        <v>266</v>
      </c>
      <c r="E229" s="218" t="s">
        <v>173</v>
      </c>
      <c r="F229" s="218"/>
      <c r="G229" s="27">
        <f>G230</f>
        <v>0</v>
      </c>
      <c r="H229" s="27">
        <f t="shared" ref="H229:H232" si="212">H230</f>
        <v>0</v>
      </c>
      <c r="I229" s="27">
        <f t="shared" ref="I229:L232" si="213">I230</f>
        <v>0</v>
      </c>
      <c r="J229" s="27">
        <f t="shared" si="213"/>
        <v>0</v>
      </c>
      <c r="K229" s="27">
        <f t="shared" si="213"/>
        <v>0</v>
      </c>
      <c r="L229" s="27">
        <f t="shared" si="213"/>
        <v>0</v>
      </c>
      <c r="M229" s="27">
        <f t="shared" ref="M229:N232" si="214">M230</f>
        <v>0</v>
      </c>
      <c r="N229" s="27">
        <f t="shared" si="214"/>
        <v>0</v>
      </c>
      <c r="O229" s="27" t="e">
        <f t="shared" si="184"/>
        <v>#DIV/0!</v>
      </c>
    </row>
    <row r="230" spans="1:15" ht="31.5" hidden="1" customHeight="1" x14ac:dyDescent="0.25">
      <c r="A230" s="26" t="s">
        <v>236</v>
      </c>
      <c r="B230" s="220">
        <v>902</v>
      </c>
      <c r="C230" s="218" t="s">
        <v>295</v>
      </c>
      <c r="D230" s="218" t="s">
        <v>266</v>
      </c>
      <c r="E230" s="218" t="s">
        <v>237</v>
      </c>
      <c r="F230" s="218"/>
      <c r="G230" s="27">
        <f>G231</f>
        <v>0</v>
      </c>
      <c r="H230" s="27">
        <f t="shared" si="212"/>
        <v>0</v>
      </c>
      <c r="I230" s="27">
        <f t="shared" si="213"/>
        <v>0</v>
      </c>
      <c r="J230" s="27">
        <f t="shared" si="213"/>
        <v>0</v>
      </c>
      <c r="K230" s="27">
        <f t="shared" si="213"/>
        <v>0</v>
      </c>
      <c r="L230" s="27">
        <f t="shared" si="213"/>
        <v>0</v>
      </c>
      <c r="M230" s="27">
        <f t="shared" si="214"/>
        <v>0</v>
      </c>
      <c r="N230" s="27">
        <f t="shared" si="214"/>
        <v>0</v>
      </c>
      <c r="O230" s="27" t="e">
        <f t="shared" si="184"/>
        <v>#DIV/0!</v>
      </c>
    </row>
    <row r="231" spans="1:15" ht="47.25" hidden="1" customHeight="1" x14ac:dyDescent="0.25">
      <c r="A231" s="33" t="s">
        <v>307</v>
      </c>
      <c r="B231" s="220">
        <v>902</v>
      </c>
      <c r="C231" s="218" t="s">
        <v>295</v>
      </c>
      <c r="D231" s="218" t="s">
        <v>266</v>
      </c>
      <c r="E231" s="218" t="s">
        <v>308</v>
      </c>
      <c r="F231" s="218"/>
      <c r="G231" s="27">
        <f>G232</f>
        <v>0</v>
      </c>
      <c r="H231" s="27">
        <f t="shared" si="212"/>
        <v>0</v>
      </c>
      <c r="I231" s="27">
        <f t="shared" si="213"/>
        <v>0</v>
      </c>
      <c r="J231" s="27">
        <f t="shared" si="213"/>
        <v>0</v>
      </c>
      <c r="K231" s="27">
        <f t="shared" si="213"/>
        <v>0</v>
      </c>
      <c r="L231" s="27">
        <f t="shared" si="213"/>
        <v>0</v>
      </c>
      <c r="M231" s="27">
        <f t="shared" si="214"/>
        <v>0</v>
      </c>
      <c r="N231" s="27">
        <f t="shared" si="214"/>
        <v>0</v>
      </c>
      <c r="O231" s="27" t="e">
        <f t="shared" si="184"/>
        <v>#DIV/0!</v>
      </c>
    </row>
    <row r="232" spans="1:15" ht="31.5" hidden="1" customHeight="1" x14ac:dyDescent="0.25">
      <c r="A232" s="26" t="s">
        <v>299</v>
      </c>
      <c r="B232" s="220">
        <v>902</v>
      </c>
      <c r="C232" s="218" t="s">
        <v>295</v>
      </c>
      <c r="D232" s="218" t="s">
        <v>266</v>
      </c>
      <c r="E232" s="218" t="s">
        <v>308</v>
      </c>
      <c r="F232" s="218" t="s">
        <v>300</v>
      </c>
      <c r="G232" s="27">
        <f>G233</f>
        <v>0</v>
      </c>
      <c r="H232" s="27">
        <f t="shared" si="212"/>
        <v>0</v>
      </c>
      <c r="I232" s="27">
        <f t="shared" si="213"/>
        <v>0</v>
      </c>
      <c r="J232" s="27">
        <f t="shared" si="213"/>
        <v>0</v>
      </c>
      <c r="K232" s="27">
        <f t="shared" si="213"/>
        <v>0</v>
      </c>
      <c r="L232" s="27">
        <f t="shared" si="213"/>
        <v>0</v>
      </c>
      <c r="M232" s="27">
        <f t="shared" si="214"/>
        <v>0</v>
      </c>
      <c r="N232" s="27">
        <f t="shared" si="214"/>
        <v>0</v>
      </c>
      <c r="O232" s="27" t="e">
        <f t="shared" si="184"/>
        <v>#DIV/0!</v>
      </c>
    </row>
    <row r="233" spans="1:15" ht="31.5" hidden="1" customHeight="1" x14ac:dyDescent="0.25">
      <c r="A233" s="26" t="s">
        <v>301</v>
      </c>
      <c r="B233" s="220">
        <v>902</v>
      </c>
      <c r="C233" s="218" t="s">
        <v>295</v>
      </c>
      <c r="D233" s="218" t="s">
        <v>266</v>
      </c>
      <c r="E233" s="218" t="s">
        <v>308</v>
      </c>
      <c r="F233" s="218" t="s">
        <v>302</v>
      </c>
      <c r="G233" s="27">
        <f>6250-6250</f>
        <v>0</v>
      </c>
      <c r="H233" s="27">
        <f>6250-6250</f>
        <v>0</v>
      </c>
      <c r="I233" s="27">
        <f t="shared" ref="I233:L233" si="215">6250-6250</f>
        <v>0</v>
      </c>
      <c r="J233" s="27">
        <f t="shared" si="215"/>
        <v>0</v>
      </c>
      <c r="K233" s="27">
        <f t="shared" si="215"/>
        <v>0</v>
      </c>
      <c r="L233" s="27">
        <f t="shared" si="215"/>
        <v>0</v>
      </c>
      <c r="M233" s="27">
        <f t="shared" ref="M233:N233" si="216">6250-6250</f>
        <v>0</v>
      </c>
      <c r="N233" s="27">
        <f t="shared" si="216"/>
        <v>0</v>
      </c>
      <c r="O233" s="27" t="e">
        <f t="shared" si="184"/>
        <v>#DIV/0!</v>
      </c>
    </row>
    <row r="234" spans="1:15" ht="31.5" x14ac:dyDescent="0.25">
      <c r="A234" s="24" t="s">
        <v>309</v>
      </c>
      <c r="B234" s="217">
        <v>902</v>
      </c>
      <c r="C234" s="219" t="s">
        <v>295</v>
      </c>
      <c r="D234" s="219" t="s">
        <v>171</v>
      </c>
      <c r="E234" s="219"/>
      <c r="F234" s="219"/>
      <c r="G234" s="22">
        <f>G235</f>
        <v>3148.5000000000005</v>
      </c>
      <c r="H234" s="22">
        <f t="shared" ref="H234:L236" si="217">H235</f>
        <v>2016.2</v>
      </c>
      <c r="I234" s="22">
        <f t="shared" si="217"/>
        <v>3148.5000000000005</v>
      </c>
      <c r="J234" s="22">
        <f t="shared" si="217"/>
        <v>3148.5000000000005</v>
      </c>
      <c r="K234" s="22">
        <f t="shared" si="217"/>
        <v>3148.5000000000005</v>
      </c>
      <c r="L234" s="22">
        <f t="shared" si="217"/>
        <v>3148.5000000000005</v>
      </c>
      <c r="M234" s="22">
        <f t="shared" ref="M234:N236" si="218">M235</f>
        <v>3148.7000000000003</v>
      </c>
      <c r="N234" s="22">
        <f t="shared" si="218"/>
        <v>2051.8000000000002</v>
      </c>
      <c r="O234" s="22">
        <f t="shared" si="184"/>
        <v>65.163400768571151</v>
      </c>
    </row>
    <row r="235" spans="1:15" ht="15.75" x14ac:dyDescent="0.25">
      <c r="A235" s="26" t="s">
        <v>172</v>
      </c>
      <c r="B235" s="220">
        <v>902</v>
      </c>
      <c r="C235" s="218" t="s">
        <v>295</v>
      </c>
      <c r="D235" s="218" t="s">
        <v>171</v>
      </c>
      <c r="E235" s="218" t="s">
        <v>173</v>
      </c>
      <c r="F235" s="219"/>
      <c r="G235" s="27">
        <f>G236</f>
        <v>3148.5000000000005</v>
      </c>
      <c r="H235" s="27">
        <f t="shared" ref="H235:H236" si="219">H236</f>
        <v>2016.2</v>
      </c>
      <c r="I235" s="27">
        <f t="shared" si="217"/>
        <v>3148.5000000000005</v>
      </c>
      <c r="J235" s="27">
        <f t="shared" si="217"/>
        <v>3148.5000000000005</v>
      </c>
      <c r="K235" s="27">
        <f t="shared" si="217"/>
        <v>3148.5000000000005</v>
      </c>
      <c r="L235" s="27">
        <f t="shared" si="217"/>
        <v>3148.5000000000005</v>
      </c>
      <c r="M235" s="27">
        <f t="shared" si="218"/>
        <v>3148.7000000000003</v>
      </c>
      <c r="N235" s="27">
        <f t="shared" si="218"/>
        <v>2051.8000000000002</v>
      </c>
      <c r="O235" s="27">
        <f t="shared" si="184"/>
        <v>65.163400768571151</v>
      </c>
    </row>
    <row r="236" spans="1:15" ht="31.5" x14ac:dyDescent="0.25">
      <c r="A236" s="26" t="s">
        <v>236</v>
      </c>
      <c r="B236" s="220">
        <v>902</v>
      </c>
      <c r="C236" s="218" t="s">
        <v>295</v>
      </c>
      <c r="D236" s="218" t="s">
        <v>171</v>
      </c>
      <c r="E236" s="218" t="s">
        <v>237</v>
      </c>
      <c r="F236" s="218"/>
      <c r="G236" s="27">
        <f>G237</f>
        <v>3148.5000000000005</v>
      </c>
      <c r="H236" s="27">
        <f t="shared" si="219"/>
        <v>2016.2</v>
      </c>
      <c r="I236" s="27">
        <f t="shared" si="217"/>
        <v>3148.5000000000005</v>
      </c>
      <c r="J236" s="27">
        <f t="shared" si="217"/>
        <v>3148.5000000000005</v>
      </c>
      <c r="K236" s="27">
        <f t="shared" si="217"/>
        <v>3148.5000000000005</v>
      </c>
      <c r="L236" s="27">
        <f t="shared" si="217"/>
        <v>3148.5000000000005</v>
      </c>
      <c r="M236" s="27">
        <f t="shared" si="218"/>
        <v>3148.7000000000003</v>
      </c>
      <c r="N236" s="27">
        <f t="shared" si="218"/>
        <v>2051.8000000000002</v>
      </c>
      <c r="O236" s="27">
        <f t="shared" si="184"/>
        <v>65.163400768571151</v>
      </c>
    </row>
    <row r="237" spans="1:15" ht="47.25" x14ac:dyDescent="0.25">
      <c r="A237" s="33" t="s">
        <v>310</v>
      </c>
      <c r="B237" s="220">
        <v>902</v>
      </c>
      <c r="C237" s="218" t="s">
        <v>295</v>
      </c>
      <c r="D237" s="218" t="s">
        <v>171</v>
      </c>
      <c r="E237" s="218" t="s">
        <v>311</v>
      </c>
      <c r="F237" s="218"/>
      <c r="G237" s="27">
        <f>G238+G240</f>
        <v>3148.5000000000005</v>
      </c>
      <c r="H237" s="27">
        <f t="shared" ref="H237:L237" si="220">H238+H240</f>
        <v>2016.2</v>
      </c>
      <c r="I237" s="27">
        <f t="shared" si="220"/>
        <v>3148.5000000000005</v>
      </c>
      <c r="J237" s="27">
        <f t="shared" si="220"/>
        <v>3148.5000000000005</v>
      </c>
      <c r="K237" s="27">
        <f t="shared" si="220"/>
        <v>3148.5000000000005</v>
      </c>
      <c r="L237" s="27">
        <f t="shared" si="220"/>
        <v>3148.5000000000005</v>
      </c>
      <c r="M237" s="27">
        <f t="shared" ref="M237:N237" si="221">M238+M240</f>
        <v>3148.7000000000003</v>
      </c>
      <c r="N237" s="27">
        <f t="shared" si="221"/>
        <v>2051.8000000000002</v>
      </c>
      <c r="O237" s="27">
        <f t="shared" si="184"/>
        <v>65.163400768571151</v>
      </c>
    </row>
    <row r="238" spans="1:15" ht="94.5" x14ac:dyDescent="0.25">
      <c r="A238" s="26" t="s">
        <v>178</v>
      </c>
      <c r="B238" s="220">
        <v>902</v>
      </c>
      <c r="C238" s="218" t="s">
        <v>295</v>
      </c>
      <c r="D238" s="218" t="s">
        <v>171</v>
      </c>
      <c r="E238" s="218" t="s">
        <v>311</v>
      </c>
      <c r="F238" s="218" t="s">
        <v>179</v>
      </c>
      <c r="G238" s="27">
        <f>G239</f>
        <v>2884.1000000000004</v>
      </c>
      <c r="H238" s="27">
        <f>H239</f>
        <v>1917.8</v>
      </c>
      <c r="I238" s="27">
        <f t="shared" ref="I238:L238" si="222">I239</f>
        <v>2884.1000000000004</v>
      </c>
      <c r="J238" s="27">
        <f t="shared" si="222"/>
        <v>2884.1000000000004</v>
      </c>
      <c r="K238" s="27">
        <f t="shared" si="222"/>
        <v>2884.1000000000004</v>
      </c>
      <c r="L238" s="27">
        <f t="shared" si="222"/>
        <v>2884.1000000000004</v>
      </c>
      <c r="M238" s="27">
        <f t="shared" ref="M238:N238" si="223">M239</f>
        <v>2857.3</v>
      </c>
      <c r="N238" s="27">
        <f t="shared" si="223"/>
        <v>1959.3</v>
      </c>
      <c r="O238" s="27">
        <f t="shared" si="184"/>
        <v>68.571728554929464</v>
      </c>
    </row>
    <row r="239" spans="1:15" ht="31.5" x14ac:dyDescent="0.25">
      <c r="A239" s="26" t="s">
        <v>180</v>
      </c>
      <c r="B239" s="220">
        <v>902</v>
      </c>
      <c r="C239" s="218" t="s">
        <v>295</v>
      </c>
      <c r="D239" s="218" t="s">
        <v>171</v>
      </c>
      <c r="E239" s="218" t="s">
        <v>311</v>
      </c>
      <c r="F239" s="218" t="s">
        <v>181</v>
      </c>
      <c r="G239" s="28">
        <f>2826.8+14.8+42.5</f>
        <v>2884.1000000000004</v>
      </c>
      <c r="H239" s="28">
        <v>1917.8</v>
      </c>
      <c r="I239" s="28">
        <f t="shared" ref="I239:L239" si="224">2826.8+14.8+42.5</f>
        <v>2884.1000000000004</v>
      </c>
      <c r="J239" s="28">
        <f t="shared" si="224"/>
        <v>2884.1000000000004</v>
      </c>
      <c r="K239" s="28">
        <f t="shared" si="224"/>
        <v>2884.1000000000004</v>
      </c>
      <c r="L239" s="28">
        <f t="shared" si="224"/>
        <v>2884.1000000000004</v>
      </c>
      <c r="M239" s="28">
        <f>2529.8+327.5</f>
        <v>2857.3</v>
      </c>
      <c r="N239" s="28">
        <v>1959.3</v>
      </c>
      <c r="O239" s="27">
        <f t="shared" si="184"/>
        <v>68.571728554929464</v>
      </c>
    </row>
    <row r="240" spans="1:15" ht="31.5" x14ac:dyDescent="0.25">
      <c r="A240" s="26" t="s">
        <v>182</v>
      </c>
      <c r="B240" s="220">
        <v>902</v>
      </c>
      <c r="C240" s="218" t="s">
        <v>295</v>
      </c>
      <c r="D240" s="218" t="s">
        <v>171</v>
      </c>
      <c r="E240" s="218" t="s">
        <v>311</v>
      </c>
      <c r="F240" s="218" t="s">
        <v>183</v>
      </c>
      <c r="G240" s="27">
        <f>G241</f>
        <v>264.39999999999998</v>
      </c>
      <c r="H240" s="27">
        <f>H241</f>
        <v>98.4</v>
      </c>
      <c r="I240" s="27">
        <f t="shared" ref="I240:L240" si="225">I241</f>
        <v>264.39999999999998</v>
      </c>
      <c r="J240" s="27">
        <f t="shared" si="225"/>
        <v>264.39999999999998</v>
      </c>
      <c r="K240" s="27">
        <f t="shared" si="225"/>
        <v>264.39999999999998</v>
      </c>
      <c r="L240" s="27">
        <f t="shared" si="225"/>
        <v>264.39999999999998</v>
      </c>
      <c r="M240" s="27">
        <f t="shared" ref="M240:N240" si="226">M241</f>
        <v>291.39999999999998</v>
      </c>
      <c r="N240" s="27">
        <f t="shared" si="226"/>
        <v>92.5</v>
      </c>
      <c r="O240" s="27">
        <f t="shared" si="184"/>
        <v>31.743308167467397</v>
      </c>
    </row>
    <row r="241" spans="1:15" ht="47.25" x14ac:dyDescent="0.25">
      <c r="A241" s="26" t="s">
        <v>184</v>
      </c>
      <c r="B241" s="220">
        <v>902</v>
      </c>
      <c r="C241" s="218" t="s">
        <v>295</v>
      </c>
      <c r="D241" s="218" t="s">
        <v>171</v>
      </c>
      <c r="E241" s="218" t="s">
        <v>311</v>
      </c>
      <c r="F241" s="218" t="s">
        <v>185</v>
      </c>
      <c r="G241" s="28">
        <f>433.9-112.2-14.8-42.5</f>
        <v>264.39999999999998</v>
      </c>
      <c r="H241" s="28">
        <v>98.4</v>
      </c>
      <c r="I241" s="28">
        <f t="shared" ref="I241:L241" si="227">433.9-112.2-14.8-42.5</f>
        <v>264.39999999999998</v>
      </c>
      <c r="J241" s="28">
        <f t="shared" si="227"/>
        <v>264.39999999999998</v>
      </c>
      <c r="K241" s="28">
        <f t="shared" si="227"/>
        <v>264.39999999999998</v>
      </c>
      <c r="L241" s="28">
        <f t="shared" si="227"/>
        <v>264.39999999999998</v>
      </c>
      <c r="M241" s="28">
        <f>433.9-112.2-14.8-42.5+354.5-327.5</f>
        <v>291.39999999999998</v>
      </c>
      <c r="N241" s="28">
        <v>92.5</v>
      </c>
      <c r="O241" s="27">
        <f t="shared" si="184"/>
        <v>31.743308167467397</v>
      </c>
    </row>
    <row r="242" spans="1:15" ht="47.25" x14ac:dyDescent="0.25">
      <c r="A242" s="20" t="s">
        <v>312</v>
      </c>
      <c r="B242" s="217">
        <v>903</v>
      </c>
      <c r="C242" s="218"/>
      <c r="D242" s="218"/>
      <c r="E242" s="218"/>
      <c r="F242" s="218"/>
      <c r="G242" s="22">
        <f t="shared" ref="G242:M242" si="228">G282+G327+G453+G243</f>
        <v>83896.2</v>
      </c>
      <c r="H242" s="22">
        <f t="shared" si="228"/>
        <v>65955.600000000006</v>
      </c>
      <c r="I242" s="22">
        <f t="shared" si="228"/>
        <v>79268.317647058822</v>
      </c>
      <c r="J242" s="22">
        <f t="shared" si="228"/>
        <v>100194.20000000001</v>
      </c>
      <c r="K242" s="22">
        <f t="shared" si="228"/>
        <v>101222.8</v>
      </c>
      <c r="L242" s="22">
        <f t="shared" si="228"/>
        <v>102250.79999999999</v>
      </c>
      <c r="M242" s="22">
        <f t="shared" si="228"/>
        <v>83883.200000000012</v>
      </c>
      <c r="N242" s="22">
        <f t="shared" ref="N242" si="229">N282+N327+N453+N243</f>
        <v>66545</v>
      </c>
      <c r="O242" s="22">
        <f t="shared" si="184"/>
        <v>79.33054532969652</v>
      </c>
    </row>
    <row r="243" spans="1:15" ht="15.75" x14ac:dyDescent="0.25">
      <c r="A243" s="24" t="s">
        <v>168</v>
      </c>
      <c r="B243" s="217">
        <v>903</v>
      </c>
      <c r="C243" s="219" t="s">
        <v>169</v>
      </c>
      <c r="D243" s="218"/>
      <c r="E243" s="218"/>
      <c r="F243" s="218"/>
      <c r="G243" s="22">
        <f>G244</f>
        <v>88.7</v>
      </c>
      <c r="H243" s="22">
        <f t="shared" ref="H243:H273" si="230">H244</f>
        <v>0</v>
      </c>
      <c r="I243" s="22">
        <f t="shared" ref="I243:L271" si="231">I244</f>
        <v>88.7</v>
      </c>
      <c r="J243" s="22">
        <f t="shared" si="231"/>
        <v>95</v>
      </c>
      <c r="K243" s="22">
        <f t="shared" si="231"/>
        <v>95</v>
      </c>
      <c r="L243" s="22">
        <f t="shared" si="231"/>
        <v>95</v>
      </c>
      <c r="M243" s="22">
        <f t="shared" ref="M243:N273" si="232">M244</f>
        <v>1796.6000000000001</v>
      </c>
      <c r="N243" s="22">
        <f t="shared" si="232"/>
        <v>1597</v>
      </c>
      <c r="O243" s="22">
        <f t="shared" si="184"/>
        <v>88.89012579316487</v>
      </c>
    </row>
    <row r="244" spans="1:15" ht="15.75" x14ac:dyDescent="0.25">
      <c r="A244" s="24" t="s">
        <v>190</v>
      </c>
      <c r="B244" s="217">
        <v>903</v>
      </c>
      <c r="C244" s="219" t="s">
        <v>169</v>
      </c>
      <c r="D244" s="219" t="s">
        <v>191</v>
      </c>
      <c r="E244" s="218"/>
      <c r="F244" s="218"/>
      <c r="G244" s="22">
        <f>G270+G250+G266</f>
        <v>88.7</v>
      </c>
      <c r="H244" s="22">
        <f t="shared" ref="H244:L244" si="233">H270+H250+H266</f>
        <v>0</v>
      </c>
      <c r="I244" s="22">
        <f t="shared" si="233"/>
        <v>88.7</v>
      </c>
      <c r="J244" s="22">
        <f t="shared" si="233"/>
        <v>95</v>
      </c>
      <c r="K244" s="22">
        <f t="shared" si="233"/>
        <v>95</v>
      </c>
      <c r="L244" s="22">
        <f t="shared" si="233"/>
        <v>95</v>
      </c>
      <c r="M244" s="22">
        <f>M270+M250+M266+M275+M245</f>
        <v>1796.6000000000001</v>
      </c>
      <c r="N244" s="22">
        <f>N270+N250+N266+N275+N245</f>
        <v>1597</v>
      </c>
      <c r="O244" s="22">
        <f t="shared" si="184"/>
        <v>88.89012579316487</v>
      </c>
    </row>
    <row r="245" spans="1:15" ht="94.5" x14ac:dyDescent="0.25">
      <c r="A245" s="31" t="s">
        <v>218</v>
      </c>
      <c r="B245" s="220">
        <v>903</v>
      </c>
      <c r="C245" s="222" t="s">
        <v>169</v>
      </c>
      <c r="D245" s="222" t="s">
        <v>191</v>
      </c>
      <c r="E245" s="223" t="s">
        <v>219</v>
      </c>
      <c r="F245" s="222"/>
      <c r="G245" s="22"/>
      <c r="H245" s="22"/>
      <c r="I245" s="22"/>
      <c r="J245" s="22"/>
      <c r="K245" s="22"/>
      <c r="L245" s="22"/>
      <c r="M245" s="27">
        <f t="shared" ref="M245:N248" si="234">M246</f>
        <v>25</v>
      </c>
      <c r="N245" s="27">
        <f t="shared" si="234"/>
        <v>25</v>
      </c>
      <c r="O245" s="27">
        <f t="shared" si="184"/>
        <v>100</v>
      </c>
    </row>
    <row r="246" spans="1:15" ht="78.75" x14ac:dyDescent="0.25">
      <c r="A246" s="31" t="s">
        <v>220</v>
      </c>
      <c r="B246" s="220">
        <v>903</v>
      </c>
      <c r="C246" s="222" t="s">
        <v>169</v>
      </c>
      <c r="D246" s="222" t="s">
        <v>191</v>
      </c>
      <c r="E246" s="224" t="s">
        <v>221</v>
      </c>
      <c r="F246" s="222"/>
      <c r="G246" s="22"/>
      <c r="H246" s="22"/>
      <c r="I246" s="22"/>
      <c r="J246" s="22"/>
      <c r="K246" s="22"/>
      <c r="L246" s="22"/>
      <c r="M246" s="27">
        <f t="shared" si="234"/>
        <v>25</v>
      </c>
      <c r="N246" s="27">
        <f t="shared" si="234"/>
        <v>25</v>
      </c>
      <c r="O246" s="27">
        <f t="shared" si="184"/>
        <v>100</v>
      </c>
    </row>
    <row r="247" spans="1:15" ht="31.5" x14ac:dyDescent="0.25">
      <c r="A247" s="210" t="s">
        <v>222</v>
      </c>
      <c r="B247" s="220">
        <v>903</v>
      </c>
      <c r="C247" s="222" t="s">
        <v>169</v>
      </c>
      <c r="D247" s="222" t="s">
        <v>191</v>
      </c>
      <c r="E247" s="223" t="s">
        <v>223</v>
      </c>
      <c r="F247" s="222"/>
      <c r="G247" s="22"/>
      <c r="H247" s="22"/>
      <c r="I247" s="22"/>
      <c r="J247" s="22"/>
      <c r="K247" s="22"/>
      <c r="L247" s="22"/>
      <c r="M247" s="27">
        <f t="shared" si="234"/>
        <v>25</v>
      </c>
      <c r="N247" s="27">
        <f t="shared" si="234"/>
        <v>25</v>
      </c>
      <c r="O247" s="27">
        <f t="shared" si="184"/>
        <v>100</v>
      </c>
    </row>
    <row r="248" spans="1:15" ht="31.5" x14ac:dyDescent="0.25">
      <c r="A248" s="26" t="s">
        <v>182</v>
      </c>
      <c r="B248" s="220">
        <v>903</v>
      </c>
      <c r="C248" s="222" t="s">
        <v>169</v>
      </c>
      <c r="D248" s="222" t="s">
        <v>191</v>
      </c>
      <c r="E248" s="223" t="s">
        <v>223</v>
      </c>
      <c r="F248" s="222" t="s">
        <v>183</v>
      </c>
      <c r="G248" s="22"/>
      <c r="H248" s="22"/>
      <c r="I248" s="22"/>
      <c r="J248" s="22"/>
      <c r="K248" s="22"/>
      <c r="L248" s="22"/>
      <c r="M248" s="27">
        <f t="shared" si="234"/>
        <v>25</v>
      </c>
      <c r="N248" s="27">
        <f t="shared" si="234"/>
        <v>25</v>
      </c>
      <c r="O248" s="27">
        <f t="shared" si="184"/>
        <v>100</v>
      </c>
    </row>
    <row r="249" spans="1:15" ht="47.25" x14ac:dyDescent="0.25">
      <c r="A249" s="26" t="s">
        <v>184</v>
      </c>
      <c r="B249" s="220">
        <v>903</v>
      </c>
      <c r="C249" s="222" t="s">
        <v>169</v>
      </c>
      <c r="D249" s="222" t="s">
        <v>191</v>
      </c>
      <c r="E249" s="223" t="s">
        <v>223</v>
      </c>
      <c r="F249" s="222" t="s">
        <v>185</v>
      </c>
      <c r="G249" s="22"/>
      <c r="H249" s="22"/>
      <c r="I249" s="22"/>
      <c r="J249" s="22"/>
      <c r="K249" s="22"/>
      <c r="L249" s="22"/>
      <c r="M249" s="27">
        <f>25</f>
        <v>25</v>
      </c>
      <c r="N249" s="27">
        <v>25</v>
      </c>
      <c r="O249" s="27">
        <f t="shared" si="184"/>
        <v>100</v>
      </c>
    </row>
    <row r="250" spans="1:15" ht="47.25" x14ac:dyDescent="0.25">
      <c r="A250" s="26" t="s">
        <v>385</v>
      </c>
      <c r="B250" s="220">
        <v>903</v>
      </c>
      <c r="C250" s="218" t="s">
        <v>169</v>
      </c>
      <c r="D250" s="218" t="s">
        <v>191</v>
      </c>
      <c r="E250" s="218" t="s">
        <v>386</v>
      </c>
      <c r="F250" s="218"/>
      <c r="G250" s="27">
        <f>G254+G260+G251+G257+G263</f>
        <v>0</v>
      </c>
      <c r="H250" s="27">
        <f t="shared" ref="H250:M250" si="235">H254+H260+H251+H257+H263</f>
        <v>0</v>
      </c>
      <c r="I250" s="27">
        <f t="shared" si="235"/>
        <v>0</v>
      </c>
      <c r="J250" s="27">
        <f t="shared" si="235"/>
        <v>95</v>
      </c>
      <c r="K250" s="27">
        <f t="shared" si="235"/>
        <v>95</v>
      </c>
      <c r="L250" s="27">
        <f t="shared" si="235"/>
        <v>95</v>
      </c>
      <c r="M250" s="27">
        <f t="shared" si="235"/>
        <v>95</v>
      </c>
      <c r="N250" s="27">
        <f t="shared" ref="N250" si="236">N254+N260+N251+N257+N263</f>
        <v>0</v>
      </c>
      <c r="O250" s="27">
        <f t="shared" si="184"/>
        <v>0</v>
      </c>
    </row>
    <row r="251" spans="1:15" ht="47.25" x14ac:dyDescent="0.25">
      <c r="A251" s="123" t="s">
        <v>919</v>
      </c>
      <c r="B251" s="220">
        <v>903</v>
      </c>
      <c r="C251" s="218" t="s">
        <v>169</v>
      </c>
      <c r="D251" s="218" t="s">
        <v>191</v>
      </c>
      <c r="E251" s="218" t="s">
        <v>388</v>
      </c>
      <c r="F251" s="218"/>
      <c r="G251" s="27">
        <f>G252</f>
        <v>0</v>
      </c>
      <c r="H251" s="27">
        <f t="shared" ref="H251:H252" si="237">H252</f>
        <v>0</v>
      </c>
      <c r="I251" s="27">
        <f t="shared" ref="I251:I252" si="238">I252</f>
        <v>0</v>
      </c>
      <c r="J251" s="27">
        <f t="shared" ref="J251:J252" si="239">J252</f>
        <v>50</v>
      </c>
      <c r="K251" s="27">
        <f t="shared" ref="K251:K252" si="240">K252</f>
        <v>50</v>
      </c>
      <c r="L251" s="27">
        <f t="shared" ref="L251:L252" si="241">L252</f>
        <v>50</v>
      </c>
      <c r="M251" s="27">
        <f t="shared" ref="M251:N252" si="242">M252</f>
        <v>50</v>
      </c>
      <c r="N251" s="27">
        <f t="shared" si="242"/>
        <v>0</v>
      </c>
      <c r="O251" s="27">
        <f t="shared" si="184"/>
        <v>0</v>
      </c>
    </row>
    <row r="252" spans="1:15" ht="31.5" x14ac:dyDescent="0.25">
      <c r="A252" s="26" t="s">
        <v>182</v>
      </c>
      <c r="B252" s="220">
        <v>903</v>
      </c>
      <c r="C252" s="218" t="s">
        <v>169</v>
      </c>
      <c r="D252" s="218" t="s">
        <v>191</v>
      </c>
      <c r="E252" s="218" t="s">
        <v>388</v>
      </c>
      <c r="F252" s="218" t="s">
        <v>183</v>
      </c>
      <c r="G252" s="27">
        <f>G253</f>
        <v>0</v>
      </c>
      <c r="H252" s="27">
        <f t="shared" si="237"/>
        <v>0</v>
      </c>
      <c r="I252" s="27">
        <f t="shared" si="238"/>
        <v>0</v>
      </c>
      <c r="J252" s="27">
        <f t="shared" si="239"/>
        <v>50</v>
      </c>
      <c r="K252" s="27">
        <f t="shared" si="240"/>
        <v>50</v>
      </c>
      <c r="L252" s="27">
        <f t="shared" si="241"/>
        <v>50</v>
      </c>
      <c r="M252" s="27">
        <f t="shared" si="242"/>
        <v>50</v>
      </c>
      <c r="N252" s="27">
        <f t="shared" si="242"/>
        <v>0</v>
      </c>
      <c r="O252" s="27">
        <f t="shared" si="184"/>
        <v>0</v>
      </c>
    </row>
    <row r="253" spans="1:15" ht="47.25" x14ac:dyDescent="0.25">
      <c r="A253" s="26" t="s">
        <v>184</v>
      </c>
      <c r="B253" s="220">
        <v>903</v>
      </c>
      <c r="C253" s="218" t="s">
        <v>169</v>
      </c>
      <c r="D253" s="218" t="s">
        <v>191</v>
      </c>
      <c r="E253" s="218" t="s">
        <v>388</v>
      </c>
      <c r="F253" s="218" t="s">
        <v>185</v>
      </c>
      <c r="G253" s="27">
        <v>0</v>
      </c>
      <c r="H253" s="27">
        <v>0</v>
      </c>
      <c r="I253" s="27">
        <v>0</v>
      </c>
      <c r="J253" s="27">
        <v>50</v>
      </c>
      <c r="K253" s="27">
        <v>50</v>
      </c>
      <c r="L253" s="27">
        <v>50</v>
      </c>
      <c r="M253" s="27">
        <v>50</v>
      </c>
      <c r="N253" s="27">
        <v>0</v>
      </c>
      <c r="O253" s="27">
        <f t="shared" si="184"/>
        <v>0</v>
      </c>
    </row>
    <row r="254" spans="1:15" ht="31.5" x14ac:dyDescent="0.25">
      <c r="A254" s="26" t="s">
        <v>389</v>
      </c>
      <c r="B254" s="220">
        <v>903</v>
      </c>
      <c r="C254" s="218" t="s">
        <v>169</v>
      </c>
      <c r="D254" s="218" t="s">
        <v>191</v>
      </c>
      <c r="E254" s="218" t="s">
        <v>390</v>
      </c>
      <c r="F254" s="218"/>
      <c r="G254" s="27">
        <f>G255</f>
        <v>0</v>
      </c>
      <c r="H254" s="27">
        <f>H255</f>
        <v>0</v>
      </c>
      <c r="I254" s="27">
        <f t="shared" ref="I254:N255" si="243">I255</f>
        <v>0</v>
      </c>
      <c r="J254" s="27">
        <f t="shared" si="243"/>
        <v>20</v>
      </c>
      <c r="K254" s="27">
        <f t="shared" si="243"/>
        <v>20</v>
      </c>
      <c r="L254" s="27">
        <f t="shared" si="243"/>
        <v>20</v>
      </c>
      <c r="M254" s="27">
        <f t="shared" si="243"/>
        <v>20</v>
      </c>
      <c r="N254" s="27">
        <f t="shared" si="243"/>
        <v>0</v>
      </c>
      <c r="O254" s="27">
        <f t="shared" si="184"/>
        <v>0</v>
      </c>
    </row>
    <row r="255" spans="1:15" ht="31.5" x14ac:dyDescent="0.25">
      <c r="A255" s="26" t="s">
        <v>182</v>
      </c>
      <c r="B255" s="220">
        <v>903</v>
      </c>
      <c r="C255" s="218" t="s">
        <v>169</v>
      </c>
      <c r="D255" s="218" t="s">
        <v>191</v>
      </c>
      <c r="E255" s="218" t="s">
        <v>390</v>
      </c>
      <c r="F255" s="218" t="s">
        <v>183</v>
      </c>
      <c r="G255" s="27">
        <f>G256</f>
        <v>0</v>
      </c>
      <c r="H255" s="27">
        <f>H256</f>
        <v>0</v>
      </c>
      <c r="I255" s="27">
        <f t="shared" si="243"/>
        <v>0</v>
      </c>
      <c r="J255" s="27">
        <f t="shared" si="243"/>
        <v>20</v>
      </c>
      <c r="K255" s="27">
        <f t="shared" si="243"/>
        <v>20</v>
      </c>
      <c r="L255" s="27">
        <f t="shared" si="243"/>
        <v>20</v>
      </c>
      <c r="M255" s="27">
        <f t="shared" si="243"/>
        <v>20</v>
      </c>
      <c r="N255" s="27">
        <f t="shared" si="243"/>
        <v>0</v>
      </c>
      <c r="O255" s="27">
        <f t="shared" si="184"/>
        <v>0</v>
      </c>
    </row>
    <row r="256" spans="1:15" ht="47.25" x14ac:dyDescent="0.25">
      <c r="A256" s="26" t="s">
        <v>184</v>
      </c>
      <c r="B256" s="220">
        <v>903</v>
      </c>
      <c r="C256" s="218" t="s">
        <v>169</v>
      </c>
      <c r="D256" s="218" t="s">
        <v>191</v>
      </c>
      <c r="E256" s="218" t="s">
        <v>390</v>
      </c>
      <c r="F256" s="218" t="s">
        <v>185</v>
      </c>
      <c r="G256" s="27">
        <v>0</v>
      </c>
      <c r="H256" s="27">
        <v>0</v>
      </c>
      <c r="I256" s="27">
        <v>0</v>
      </c>
      <c r="J256" s="27">
        <v>20</v>
      </c>
      <c r="K256" s="27">
        <v>20</v>
      </c>
      <c r="L256" s="27">
        <v>20</v>
      </c>
      <c r="M256" s="27">
        <v>20</v>
      </c>
      <c r="N256" s="27">
        <v>0</v>
      </c>
      <c r="O256" s="27">
        <f t="shared" si="184"/>
        <v>0</v>
      </c>
    </row>
    <row r="257" spans="1:15" ht="47.25" x14ac:dyDescent="0.25">
      <c r="A257" s="33" t="s">
        <v>920</v>
      </c>
      <c r="B257" s="220">
        <v>903</v>
      </c>
      <c r="C257" s="218" t="s">
        <v>169</v>
      </c>
      <c r="D257" s="218" t="s">
        <v>191</v>
      </c>
      <c r="E257" s="218" t="s">
        <v>917</v>
      </c>
      <c r="F257" s="218"/>
      <c r="G257" s="27">
        <f>G258</f>
        <v>0</v>
      </c>
      <c r="H257" s="27">
        <f t="shared" ref="H257:H258" si="244">H258</f>
        <v>0</v>
      </c>
      <c r="I257" s="27">
        <f t="shared" ref="I257:I258" si="245">I258</f>
        <v>0</v>
      </c>
      <c r="J257" s="27">
        <f t="shared" ref="J257:J258" si="246">J258</f>
        <v>5</v>
      </c>
      <c r="K257" s="27">
        <f t="shared" ref="K257:K258" si="247">K258</f>
        <v>5</v>
      </c>
      <c r="L257" s="27">
        <f t="shared" ref="L257:L258" si="248">L258</f>
        <v>5</v>
      </c>
      <c r="M257" s="27">
        <f t="shared" ref="M257:N258" si="249">M258</f>
        <v>5</v>
      </c>
      <c r="N257" s="27">
        <f t="shared" si="249"/>
        <v>0</v>
      </c>
      <c r="O257" s="27">
        <f t="shared" si="184"/>
        <v>0</v>
      </c>
    </row>
    <row r="258" spans="1:15" ht="31.5" x14ac:dyDescent="0.25">
      <c r="A258" s="26" t="s">
        <v>182</v>
      </c>
      <c r="B258" s="220">
        <v>903</v>
      </c>
      <c r="C258" s="218" t="s">
        <v>169</v>
      </c>
      <c r="D258" s="218" t="s">
        <v>191</v>
      </c>
      <c r="E258" s="218" t="s">
        <v>917</v>
      </c>
      <c r="F258" s="218" t="s">
        <v>183</v>
      </c>
      <c r="G258" s="27">
        <f>G259</f>
        <v>0</v>
      </c>
      <c r="H258" s="27">
        <f t="shared" si="244"/>
        <v>0</v>
      </c>
      <c r="I258" s="27">
        <f t="shared" si="245"/>
        <v>0</v>
      </c>
      <c r="J258" s="27">
        <f t="shared" si="246"/>
        <v>5</v>
      </c>
      <c r="K258" s="27">
        <f t="shared" si="247"/>
        <v>5</v>
      </c>
      <c r="L258" s="27">
        <f t="shared" si="248"/>
        <v>5</v>
      </c>
      <c r="M258" s="27">
        <f t="shared" si="249"/>
        <v>5</v>
      </c>
      <c r="N258" s="27">
        <f t="shared" si="249"/>
        <v>0</v>
      </c>
      <c r="O258" s="27">
        <f t="shared" si="184"/>
        <v>0</v>
      </c>
    </row>
    <row r="259" spans="1:15" ht="47.25" x14ac:dyDescent="0.25">
      <c r="A259" s="26" t="s">
        <v>184</v>
      </c>
      <c r="B259" s="220">
        <v>903</v>
      </c>
      <c r="C259" s="218" t="s">
        <v>169</v>
      </c>
      <c r="D259" s="218" t="s">
        <v>191</v>
      </c>
      <c r="E259" s="218" t="s">
        <v>917</v>
      </c>
      <c r="F259" s="218" t="s">
        <v>185</v>
      </c>
      <c r="G259" s="27">
        <v>0</v>
      </c>
      <c r="H259" s="27">
        <v>0</v>
      </c>
      <c r="I259" s="27">
        <v>0</v>
      </c>
      <c r="J259" s="27">
        <v>5</v>
      </c>
      <c r="K259" s="27">
        <v>5</v>
      </c>
      <c r="L259" s="27">
        <v>5</v>
      </c>
      <c r="M259" s="27">
        <v>5</v>
      </c>
      <c r="N259" s="27">
        <v>0</v>
      </c>
      <c r="O259" s="27">
        <f t="shared" si="184"/>
        <v>0</v>
      </c>
    </row>
    <row r="260" spans="1:15" ht="63" hidden="1" x14ac:dyDescent="0.25">
      <c r="A260" s="26" t="s">
        <v>802</v>
      </c>
      <c r="B260" s="220">
        <v>903</v>
      </c>
      <c r="C260" s="218" t="s">
        <v>169</v>
      </c>
      <c r="D260" s="218" t="s">
        <v>191</v>
      </c>
      <c r="E260" s="218" t="s">
        <v>922</v>
      </c>
      <c r="F260" s="218"/>
      <c r="G260" s="27">
        <f>G261</f>
        <v>0</v>
      </c>
      <c r="H260" s="27">
        <f>H261</f>
        <v>0</v>
      </c>
      <c r="I260" s="27">
        <f t="shared" ref="I260:N261" si="250">I261</f>
        <v>0</v>
      </c>
      <c r="J260" s="27">
        <f t="shared" si="250"/>
        <v>0</v>
      </c>
      <c r="K260" s="27">
        <f t="shared" si="250"/>
        <v>0</v>
      </c>
      <c r="L260" s="27">
        <f t="shared" si="250"/>
        <v>0</v>
      </c>
      <c r="M260" s="27">
        <f t="shared" si="250"/>
        <v>0</v>
      </c>
      <c r="N260" s="27">
        <f t="shared" si="250"/>
        <v>0</v>
      </c>
      <c r="O260" s="27" t="e">
        <f t="shared" si="184"/>
        <v>#DIV/0!</v>
      </c>
    </row>
    <row r="261" spans="1:15" ht="31.5" hidden="1" x14ac:dyDescent="0.25">
      <c r="A261" s="26" t="s">
        <v>182</v>
      </c>
      <c r="B261" s="220">
        <v>903</v>
      </c>
      <c r="C261" s="218" t="s">
        <v>169</v>
      </c>
      <c r="D261" s="218" t="s">
        <v>191</v>
      </c>
      <c r="E261" s="218" t="s">
        <v>922</v>
      </c>
      <c r="F261" s="218" t="s">
        <v>183</v>
      </c>
      <c r="G261" s="27">
        <f>G262</f>
        <v>0</v>
      </c>
      <c r="H261" s="27">
        <f>H262</f>
        <v>0</v>
      </c>
      <c r="I261" s="27">
        <f t="shared" si="250"/>
        <v>0</v>
      </c>
      <c r="J261" s="27">
        <f t="shared" si="250"/>
        <v>0</v>
      </c>
      <c r="K261" s="27">
        <f t="shared" si="250"/>
        <v>0</v>
      </c>
      <c r="L261" s="27">
        <f t="shared" si="250"/>
        <v>0</v>
      </c>
      <c r="M261" s="27">
        <f t="shared" si="250"/>
        <v>0</v>
      </c>
      <c r="N261" s="27">
        <f t="shared" si="250"/>
        <v>0</v>
      </c>
      <c r="O261" s="27" t="e">
        <f t="shared" si="184"/>
        <v>#DIV/0!</v>
      </c>
    </row>
    <row r="262" spans="1:15" ht="47.25" hidden="1" x14ac:dyDescent="0.25">
      <c r="A262" s="26" t="s">
        <v>184</v>
      </c>
      <c r="B262" s="220">
        <v>903</v>
      </c>
      <c r="C262" s="218" t="s">
        <v>169</v>
      </c>
      <c r="D262" s="218" t="s">
        <v>191</v>
      </c>
      <c r="E262" s="218" t="s">
        <v>922</v>
      </c>
      <c r="F262" s="218" t="s">
        <v>185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 t="e">
        <f t="shared" si="184"/>
        <v>#DIV/0!</v>
      </c>
    </row>
    <row r="263" spans="1:15" ht="31.5" x14ac:dyDescent="0.25">
      <c r="A263" s="33" t="s">
        <v>921</v>
      </c>
      <c r="B263" s="220">
        <v>903</v>
      </c>
      <c r="C263" s="218" t="s">
        <v>169</v>
      </c>
      <c r="D263" s="218" t="s">
        <v>191</v>
      </c>
      <c r="E263" s="218" t="s">
        <v>918</v>
      </c>
      <c r="F263" s="218"/>
      <c r="G263" s="27">
        <f>G264</f>
        <v>0</v>
      </c>
      <c r="H263" s="27">
        <f t="shared" ref="H263:H264" si="251">H264</f>
        <v>0</v>
      </c>
      <c r="I263" s="27">
        <f t="shared" ref="I263:I264" si="252">I264</f>
        <v>0</v>
      </c>
      <c r="J263" s="27">
        <f t="shared" ref="J263:J264" si="253">J264</f>
        <v>20</v>
      </c>
      <c r="K263" s="27">
        <f t="shared" ref="K263:K264" si="254">K264</f>
        <v>20</v>
      </c>
      <c r="L263" s="27">
        <f t="shared" ref="L263:L264" si="255">L264</f>
        <v>20</v>
      </c>
      <c r="M263" s="27">
        <f t="shared" ref="M263:N264" si="256">M264</f>
        <v>20</v>
      </c>
      <c r="N263" s="27">
        <f t="shared" si="256"/>
        <v>0</v>
      </c>
      <c r="O263" s="27">
        <f t="shared" si="184"/>
        <v>0</v>
      </c>
    </row>
    <row r="264" spans="1:15" ht="31.5" x14ac:dyDescent="0.25">
      <c r="A264" s="26" t="s">
        <v>182</v>
      </c>
      <c r="B264" s="220">
        <v>903</v>
      </c>
      <c r="C264" s="218" t="s">
        <v>169</v>
      </c>
      <c r="D264" s="218" t="s">
        <v>191</v>
      </c>
      <c r="E264" s="218" t="s">
        <v>918</v>
      </c>
      <c r="F264" s="218" t="s">
        <v>183</v>
      </c>
      <c r="G264" s="27">
        <f>G265</f>
        <v>0</v>
      </c>
      <c r="H264" s="27">
        <f t="shared" si="251"/>
        <v>0</v>
      </c>
      <c r="I264" s="27">
        <f t="shared" si="252"/>
        <v>0</v>
      </c>
      <c r="J264" s="27">
        <f t="shared" si="253"/>
        <v>20</v>
      </c>
      <c r="K264" s="27">
        <f t="shared" si="254"/>
        <v>20</v>
      </c>
      <c r="L264" s="27">
        <f t="shared" si="255"/>
        <v>20</v>
      </c>
      <c r="M264" s="27">
        <f t="shared" si="256"/>
        <v>20</v>
      </c>
      <c r="N264" s="27">
        <f t="shared" si="256"/>
        <v>0</v>
      </c>
      <c r="O264" s="27">
        <f t="shared" si="184"/>
        <v>0</v>
      </c>
    </row>
    <row r="265" spans="1:15" ht="47.25" x14ac:dyDescent="0.25">
      <c r="A265" s="26" t="s">
        <v>184</v>
      </c>
      <c r="B265" s="220">
        <v>903</v>
      </c>
      <c r="C265" s="218" t="s">
        <v>169</v>
      </c>
      <c r="D265" s="218" t="s">
        <v>191</v>
      </c>
      <c r="E265" s="218" t="s">
        <v>918</v>
      </c>
      <c r="F265" s="218" t="s">
        <v>185</v>
      </c>
      <c r="G265" s="27">
        <v>0</v>
      </c>
      <c r="H265" s="27">
        <v>0</v>
      </c>
      <c r="I265" s="27">
        <v>0</v>
      </c>
      <c r="J265" s="27">
        <v>20</v>
      </c>
      <c r="K265" s="27">
        <v>20</v>
      </c>
      <c r="L265" s="27">
        <v>20</v>
      </c>
      <c r="M265" s="27">
        <v>20</v>
      </c>
      <c r="N265" s="27">
        <v>0</v>
      </c>
      <c r="O265" s="27">
        <f t="shared" si="184"/>
        <v>0</v>
      </c>
    </row>
    <row r="266" spans="1:15" ht="63" hidden="1" x14ac:dyDescent="0.25">
      <c r="A266" s="31" t="s">
        <v>801</v>
      </c>
      <c r="B266" s="220">
        <v>903</v>
      </c>
      <c r="C266" s="218" t="s">
        <v>169</v>
      </c>
      <c r="D266" s="218" t="s">
        <v>191</v>
      </c>
      <c r="E266" s="218" t="s">
        <v>799</v>
      </c>
      <c r="F266" s="218"/>
      <c r="G266" s="27">
        <f>G267</f>
        <v>0</v>
      </c>
      <c r="H266" s="27">
        <f t="shared" ref="H266:N268" si="257">H267</f>
        <v>0</v>
      </c>
      <c r="I266" s="27">
        <f t="shared" si="257"/>
        <v>0</v>
      </c>
      <c r="J266" s="27">
        <f t="shared" si="257"/>
        <v>0</v>
      </c>
      <c r="K266" s="27">
        <f t="shared" si="257"/>
        <v>0</v>
      </c>
      <c r="L266" s="27">
        <f t="shared" si="257"/>
        <v>0</v>
      </c>
      <c r="M266" s="27">
        <f t="shared" si="257"/>
        <v>0</v>
      </c>
      <c r="N266" s="27">
        <f t="shared" si="257"/>
        <v>0</v>
      </c>
      <c r="O266" s="27" t="e">
        <f t="shared" si="184"/>
        <v>#DIV/0!</v>
      </c>
    </row>
    <row r="267" spans="1:15" ht="31.5" hidden="1" x14ac:dyDescent="0.25">
      <c r="A267" s="26" t="s">
        <v>420</v>
      </c>
      <c r="B267" s="220">
        <v>903</v>
      </c>
      <c r="C267" s="218" t="s">
        <v>169</v>
      </c>
      <c r="D267" s="218" t="s">
        <v>191</v>
      </c>
      <c r="E267" s="218" t="s">
        <v>807</v>
      </c>
      <c r="F267" s="218"/>
      <c r="G267" s="27">
        <f>G268</f>
        <v>0</v>
      </c>
      <c r="H267" s="27">
        <f t="shared" si="257"/>
        <v>0</v>
      </c>
      <c r="I267" s="27">
        <f t="shared" si="257"/>
        <v>0</v>
      </c>
      <c r="J267" s="27">
        <f t="shared" si="257"/>
        <v>0</v>
      </c>
      <c r="K267" s="27">
        <f t="shared" si="257"/>
        <v>0</v>
      </c>
      <c r="L267" s="27">
        <f t="shared" si="257"/>
        <v>0</v>
      </c>
      <c r="M267" s="27">
        <f t="shared" si="257"/>
        <v>0</v>
      </c>
      <c r="N267" s="27">
        <f t="shared" si="257"/>
        <v>0</v>
      </c>
      <c r="O267" s="27" t="e">
        <f t="shared" si="184"/>
        <v>#DIV/0!</v>
      </c>
    </row>
    <row r="268" spans="1:15" ht="31.5" hidden="1" x14ac:dyDescent="0.25">
      <c r="A268" s="26" t="s">
        <v>182</v>
      </c>
      <c r="B268" s="220">
        <v>903</v>
      </c>
      <c r="C268" s="218" t="s">
        <v>169</v>
      </c>
      <c r="D268" s="218" t="s">
        <v>191</v>
      </c>
      <c r="E268" s="218" t="s">
        <v>807</v>
      </c>
      <c r="F268" s="218" t="s">
        <v>183</v>
      </c>
      <c r="G268" s="27">
        <f>G269</f>
        <v>0</v>
      </c>
      <c r="H268" s="27">
        <f t="shared" si="257"/>
        <v>0</v>
      </c>
      <c r="I268" s="27">
        <f t="shared" si="257"/>
        <v>0</v>
      </c>
      <c r="J268" s="27">
        <f t="shared" si="257"/>
        <v>0</v>
      </c>
      <c r="K268" s="27">
        <f t="shared" si="257"/>
        <v>0</v>
      </c>
      <c r="L268" s="27">
        <f t="shared" si="257"/>
        <v>0</v>
      </c>
      <c r="M268" s="27">
        <f t="shared" si="257"/>
        <v>0</v>
      </c>
      <c r="N268" s="27">
        <f t="shared" si="257"/>
        <v>0</v>
      </c>
      <c r="O268" s="27" t="e">
        <f t="shared" ref="O268:O331" si="258">N268/M268*100</f>
        <v>#DIV/0!</v>
      </c>
    </row>
    <row r="269" spans="1:15" ht="47.25" hidden="1" x14ac:dyDescent="0.25">
      <c r="A269" s="26" t="s">
        <v>184</v>
      </c>
      <c r="B269" s="220">
        <v>903</v>
      </c>
      <c r="C269" s="218" t="s">
        <v>169</v>
      </c>
      <c r="D269" s="218" t="s">
        <v>191</v>
      </c>
      <c r="E269" s="218" t="s">
        <v>807</v>
      </c>
      <c r="F269" s="218" t="s">
        <v>185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 t="e">
        <f t="shared" si="258"/>
        <v>#DIV/0!</v>
      </c>
    </row>
    <row r="270" spans="1:15" ht="15.75" hidden="1" x14ac:dyDescent="0.25">
      <c r="A270" s="26" t="s">
        <v>172</v>
      </c>
      <c r="B270" s="220">
        <v>903</v>
      </c>
      <c r="C270" s="218" t="s">
        <v>169</v>
      </c>
      <c r="D270" s="218" t="s">
        <v>191</v>
      </c>
      <c r="E270" s="218" t="s">
        <v>173</v>
      </c>
      <c r="F270" s="218"/>
      <c r="G270" s="27">
        <f>G271</f>
        <v>88.7</v>
      </c>
      <c r="H270" s="27">
        <f t="shared" si="230"/>
        <v>0</v>
      </c>
      <c r="I270" s="27">
        <f t="shared" si="231"/>
        <v>88.7</v>
      </c>
      <c r="J270" s="27">
        <f t="shared" si="231"/>
        <v>0</v>
      </c>
      <c r="K270" s="27">
        <f t="shared" si="231"/>
        <v>0</v>
      </c>
      <c r="L270" s="27">
        <f t="shared" si="231"/>
        <v>0</v>
      </c>
      <c r="M270" s="27">
        <f t="shared" si="232"/>
        <v>0</v>
      </c>
      <c r="N270" s="27">
        <f t="shared" si="232"/>
        <v>0</v>
      </c>
      <c r="O270" s="27" t="e">
        <f t="shared" si="258"/>
        <v>#DIV/0!</v>
      </c>
    </row>
    <row r="271" spans="1:15" ht="31.5" hidden="1" x14ac:dyDescent="0.25">
      <c r="A271" s="26" t="s">
        <v>236</v>
      </c>
      <c r="B271" s="220">
        <v>903</v>
      </c>
      <c r="C271" s="218" t="s">
        <v>169</v>
      </c>
      <c r="D271" s="218" t="s">
        <v>191</v>
      </c>
      <c r="E271" s="218" t="s">
        <v>237</v>
      </c>
      <c r="F271" s="218"/>
      <c r="G271" s="27">
        <f>G272</f>
        <v>88.7</v>
      </c>
      <c r="H271" s="27">
        <f t="shared" si="230"/>
        <v>0</v>
      </c>
      <c r="I271" s="27">
        <f t="shared" si="231"/>
        <v>88.7</v>
      </c>
      <c r="J271" s="27">
        <f t="shared" si="231"/>
        <v>0</v>
      </c>
      <c r="K271" s="27">
        <f t="shared" si="231"/>
        <v>0</v>
      </c>
      <c r="L271" s="27">
        <f t="shared" si="231"/>
        <v>0</v>
      </c>
      <c r="M271" s="27">
        <f t="shared" si="232"/>
        <v>0</v>
      </c>
      <c r="N271" s="27">
        <f t="shared" si="232"/>
        <v>0</v>
      </c>
      <c r="O271" s="27" t="e">
        <f t="shared" si="258"/>
        <v>#DIV/0!</v>
      </c>
    </row>
    <row r="272" spans="1:15" ht="47.25" hidden="1" x14ac:dyDescent="0.25">
      <c r="A272" s="37" t="s">
        <v>829</v>
      </c>
      <c r="B272" s="220">
        <v>903</v>
      </c>
      <c r="C272" s="218" t="s">
        <v>169</v>
      </c>
      <c r="D272" s="218" t="s">
        <v>191</v>
      </c>
      <c r="E272" s="218" t="s">
        <v>828</v>
      </c>
      <c r="F272" s="219"/>
      <c r="G272" s="27">
        <f t="shared" ref="G272:L273" si="259">G273</f>
        <v>88.7</v>
      </c>
      <c r="H272" s="27">
        <f t="shared" si="230"/>
        <v>0</v>
      </c>
      <c r="I272" s="27">
        <f t="shared" si="259"/>
        <v>88.7</v>
      </c>
      <c r="J272" s="27">
        <f t="shared" si="259"/>
        <v>0</v>
      </c>
      <c r="K272" s="27">
        <f t="shared" si="259"/>
        <v>0</v>
      </c>
      <c r="L272" s="27">
        <f t="shared" si="259"/>
        <v>0</v>
      </c>
      <c r="M272" s="27">
        <f t="shared" si="232"/>
        <v>0</v>
      </c>
      <c r="N272" s="27">
        <f t="shared" si="232"/>
        <v>0</v>
      </c>
      <c r="O272" s="27" t="e">
        <f t="shared" si="258"/>
        <v>#DIV/0!</v>
      </c>
    </row>
    <row r="273" spans="1:15" ht="31.5" hidden="1" x14ac:dyDescent="0.25">
      <c r="A273" s="26" t="s">
        <v>182</v>
      </c>
      <c r="B273" s="220">
        <v>903</v>
      </c>
      <c r="C273" s="218" t="s">
        <v>169</v>
      </c>
      <c r="D273" s="218" t="s">
        <v>191</v>
      </c>
      <c r="E273" s="218" t="s">
        <v>828</v>
      </c>
      <c r="F273" s="218" t="s">
        <v>183</v>
      </c>
      <c r="G273" s="27">
        <f t="shared" si="259"/>
        <v>88.7</v>
      </c>
      <c r="H273" s="27">
        <f t="shared" si="230"/>
        <v>0</v>
      </c>
      <c r="I273" s="27">
        <f t="shared" si="259"/>
        <v>88.7</v>
      </c>
      <c r="J273" s="27">
        <f t="shared" si="259"/>
        <v>0</v>
      </c>
      <c r="K273" s="27">
        <f t="shared" si="259"/>
        <v>0</v>
      </c>
      <c r="L273" s="27">
        <f t="shared" si="259"/>
        <v>0</v>
      </c>
      <c r="M273" s="27">
        <f t="shared" si="232"/>
        <v>0</v>
      </c>
      <c r="N273" s="27">
        <f t="shared" si="232"/>
        <v>0</v>
      </c>
      <c r="O273" s="27" t="e">
        <f t="shared" si="258"/>
        <v>#DIV/0!</v>
      </c>
    </row>
    <row r="274" spans="1:15" ht="53.25" hidden="1" customHeight="1" x14ac:dyDescent="0.25">
      <c r="A274" s="26" t="s">
        <v>184</v>
      </c>
      <c r="B274" s="220">
        <v>903</v>
      </c>
      <c r="C274" s="218" t="s">
        <v>169</v>
      </c>
      <c r="D274" s="218" t="s">
        <v>191</v>
      </c>
      <c r="E274" s="218" t="s">
        <v>828</v>
      </c>
      <c r="F274" s="218" t="s">
        <v>185</v>
      </c>
      <c r="G274" s="27">
        <v>88.7</v>
      </c>
      <c r="H274" s="27">
        <v>0</v>
      </c>
      <c r="I274" s="27">
        <v>88.7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 t="e">
        <f t="shared" si="258"/>
        <v>#DIV/0!</v>
      </c>
    </row>
    <row r="275" spans="1:15" ht="66" customHeight="1" x14ac:dyDescent="0.25">
      <c r="A275" s="31" t="s">
        <v>801</v>
      </c>
      <c r="B275" s="220">
        <v>903</v>
      </c>
      <c r="C275" s="218" t="s">
        <v>169</v>
      </c>
      <c r="D275" s="218" t="s">
        <v>191</v>
      </c>
      <c r="E275" s="218" t="s">
        <v>799</v>
      </c>
      <c r="F275" s="225"/>
      <c r="G275" s="27">
        <f>G276</f>
        <v>29</v>
      </c>
      <c r="H275" s="27">
        <f t="shared" ref="H275:N277" si="260">H276</f>
        <v>19.100000000000001</v>
      </c>
      <c r="I275" s="27">
        <f t="shared" si="260"/>
        <v>29</v>
      </c>
      <c r="J275" s="27">
        <f t="shared" si="260"/>
        <v>0</v>
      </c>
      <c r="K275" s="27">
        <f t="shared" si="260"/>
        <v>0</v>
      </c>
      <c r="L275" s="27">
        <f t="shared" si="260"/>
        <v>0</v>
      </c>
      <c r="M275" s="27">
        <f>M276+M279</f>
        <v>1676.6000000000001</v>
      </c>
      <c r="N275" s="27">
        <f>N276+N279</f>
        <v>1572</v>
      </c>
      <c r="O275" s="27">
        <f t="shared" si="258"/>
        <v>93.76118334725038</v>
      </c>
    </row>
    <row r="276" spans="1:15" ht="53.25" customHeight="1" x14ac:dyDescent="0.25">
      <c r="A276" s="125" t="s">
        <v>928</v>
      </c>
      <c r="B276" s="220">
        <v>903</v>
      </c>
      <c r="C276" s="218" t="s">
        <v>169</v>
      </c>
      <c r="D276" s="218" t="s">
        <v>191</v>
      </c>
      <c r="E276" s="218" t="s">
        <v>927</v>
      </c>
      <c r="F276" s="225"/>
      <c r="G276" s="27">
        <f>G277</f>
        <v>29</v>
      </c>
      <c r="H276" s="27">
        <f t="shared" si="260"/>
        <v>19.100000000000001</v>
      </c>
      <c r="I276" s="27">
        <f t="shared" si="260"/>
        <v>29</v>
      </c>
      <c r="J276" s="27">
        <f t="shared" si="260"/>
        <v>0</v>
      </c>
      <c r="K276" s="27">
        <f t="shared" si="260"/>
        <v>0</v>
      </c>
      <c r="L276" s="27">
        <f t="shared" si="260"/>
        <v>0</v>
      </c>
      <c r="M276" s="27">
        <f t="shared" si="260"/>
        <v>5</v>
      </c>
      <c r="N276" s="27">
        <f t="shared" si="260"/>
        <v>0</v>
      </c>
      <c r="O276" s="27">
        <f t="shared" si="258"/>
        <v>0</v>
      </c>
    </row>
    <row r="277" spans="1:15" ht="42" customHeight="1" x14ac:dyDescent="0.25">
      <c r="A277" s="26" t="s">
        <v>182</v>
      </c>
      <c r="B277" s="220">
        <v>903</v>
      </c>
      <c r="C277" s="218" t="s">
        <v>169</v>
      </c>
      <c r="D277" s="218" t="s">
        <v>191</v>
      </c>
      <c r="E277" s="218" t="s">
        <v>927</v>
      </c>
      <c r="F277" s="225" t="s">
        <v>183</v>
      </c>
      <c r="G277" s="27">
        <f>G278</f>
        <v>29</v>
      </c>
      <c r="H277" s="27">
        <f t="shared" si="260"/>
        <v>19.100000000000001</v>
      </c>
      <c r="I277" s="27">
        <f t="shared" si="260"/>
        <v>29</v>
      </c>
      <c r="J277" s="27">
        <f t="shared" si="260"/>
        <v>0</v>
      </c>
      <c r="K277" s="27">
        <f t="shared" si="260"/>
        <v>0</v>
      </c>
      <c r="L277" s="27">
        <f t="shared" si="260"/>
        <v>0</v>
      </c>
      <c r="M277" s="27">
        <f t="shared" si="260"/>
        <v>5</v>
      </c>
      <c r="N277" s="27">
        <f t="shared" si="260"/>
        <v>0</v>
      </c>
      <c r="O277" s="27">
        <f t="shared" si="258"/>
        <v>0</v>
      </c>
    </row>
    <row r="278" spans="1:15" ht="43.5" customHeight="1" x14ac:dyDescent="0.25">
      <c r="A278" s="26" t="s">
        <v>184</v>
      </c>
      <c r="B278" s="220">
        <v>903</v>
      </c>
      <c r="C278" s="218" t="s">
        <v>169</v>
      </c>
      <c r="D278" s="218" t="s">
        <v>191</v>
      </c>
      <c r="E278" s="218" t="s">
        <v>927</v>
      </c>
      <c r="F278" s="225" t="s">
        <v>185</v>
      </c>
      <c r="G278" s="27">
        <v>29</v>
      </c>
      <c r="H278" s="27">
        <v>19.100000000000001</v>
      </c>
      <c r="I278" s="27">
        <v>29</v>
      </c>
      <c r="J278" s="27">
        <v>0</v>
      </c>
      <c r="K278" s="27">
        <v>0</v>
      </c>
      <c r="L278" s="27">
        <v>0</v>
      </c>
      <c r="M278" s="27">
        <v>5</v>
      </c>
      <c r="N278" s="27">
        <v>0</v>
      </c>
      <c r="O278" s="27">
        <f t="shared" si="258"/>
        <v>0</v>
      </c>
    </row>
    <row r="279" spans="1:15" ht="51" customHeight="1" x14ac:dyDescent="0.25">
      <c r="A279" s="125" t="s">
        <v>945</v>
      </c>
      <c r="B279" s="218" t="s">
        <v>704</v>
      </c>
      <c r="C279" s="218" t="s">
        <v>169</v>
      </c>
      <c r="D279" s="218" t="s">
        <v>191</v>
      </c>
      <c r="E279" s="218" t="s">
        <v>946</v>
      </c>
      <c r="F279" s="225"/>
      <c r="G279" s="27">
        <f>G280</f>
        <v>29</v>
      </c>
      <c r="H279" s="27">
        <f t="shared" ref="H279:N280" si="261">H280</f>
        <v>19.100000000000001</v>
      </c>
      <c r="I279" s="27">
        <f t="shared" si="261"/>
        <v>29</v>
      </c>
      <c r="J279" s="27">
        <f t="shared" si="261"/>
        <v>0</v>
      </c>
      <c r="K279" s="27">
        <f t="shared" si="261"/>
        <v>0</v>
      </c>
      <c r="L279" s="27">
        <f t="shared" si="261"/>
        <v>0</v>
      </c>
      <c r="M279" s="27">
        <f t="shared" si="261"/>
        <v>1671.6000000000001</v>
      </c>
      <c r="N279" s="27">
        <f t="shared" si="261"/>
        <v>1572</v>
      </c>
      <c r="O279" s="27">
        <f t="shared" si="258"/>
        <v>94.041636755204578</v>
      </c>
    </row>
    <row r="280" spans="1:15" ht="47.25" customHeight="1" x14ac:dyDescent="0.25">
      <c r="A280" s="31" t="s">
        <v>323</v>
      </c>
      <c r="B280" s="220">
        <v>903</v>
      </c>
      <c r="C280" s="218" t="s">
        <v>169</v>
      </c>
      <c r="D280" s="218" t="s">
        <v>191</v>
      </c>
      <c r="E280" s="218" t="s">
        <v>946</v>
      </c>
      <c r="F280" s="225" t="s">
        <v>324</v>
      </c>
      <c r="G280" s="27">
        <f>G281</f>
        <v>29</v>
      </c>
      <c r="H280" s="27">
        <f t="shared" si="261"/>
        <v>19.100000000000001</v>
      </c>
      <c r="I280" s="27">
        <f t="shared" si="261"/>
        <v>29</v>
      </c>
      <c r="J280" s="27">
        <f t="shared" si="261"/>
        <v>0</v>
      </c>
      <c r="K280" s="27">
        <f t="shared" si="261"/>
        <v>0</v>
      </c>
      <c r="L280" s="27">
        <f t="shared" si="261"/>
        <v>0</v>
      </c>
      <c r="M280" s="27">
        <f t="shared" si="261"/>
        <v>1671.6000000000001</v>
      </c>
      <c r="N280" s="27">
        <f t="shared" si="261"/>
        <v>1572</v>
      </c>
      <c r="O280" s="27">
        <f t="shared" si="258"/>
        <v>94.041636755204578</v>
      </c>
    </row>
    <row r="281" spans="1:15" ht="21" customHeight="1" x14ac:dyDescent="0.25">
      <c r="A281" s="262" t="s">
        <v>325</v>
      </c>
      <c r="B281" s="220">
        <v>903</v>
      </c>
      <c r="C281" s="218" t="s">
        <v>169</v>
      </c>
      <c r="D281" s="218" t="s">
        <v>191</v>
      </c>
      <c r="E281" s="218" t="s">
        <v>946</v>
      </c>
      <c r="F281" s="225" t="s">
        <v>326</v>
      </c>
      <c r="G281" s="27">
        <v>29</v>
      </c>
      <c r="H281" s="27">
        <v>19.100000000000001</v>
      </c>
      <c r="I281" s="27">
        <v>29</v>
      </c>
      <c r="J281" s="27">
        <v>0</v>
      </c>
      <c r="K281" s="27">
        <v>0</v>
      </c>
      <c r="L281" s="27">
        <v>0</v>
      </c>
      <c r="M281" s="27">
        <f>1014.2+329.5+17.9+310</f>
        <v>1671.6000000000001</v>
      </c>
      <c r="N281" s="27">
        <v>1572</v>
      </c>
      <c r="O281" s="27">
        <f t="shared" si="258"/>
        <v>94.041636755204578</v>
      </c>
    </row>
    <row r="282" spans="1:15" ht="15.75" x14ac:dyDescent="0.25">
      <c r="A282" s="24" t="s">
        <v>314</v>
      </c>
      <c r="B282" s="217">
        <v>903</v>
      </c>
      <c r="C282" s="219" t="s">
        <v>315</v>
      </c>
      <c r="D282" s="218"/>
      <c r="E282" s="218"/>
      <c r="F282" s="218"/>
      <c r="G282" s="22">
        <f t="shared" ref="G282:M282" si="262">G283+G321</f>
        <v>17482.699999999997</v>
      </c>
      <c r="H282" s="22">
        <f t="shared" si="262"/>
        <v>9307.7999999999993</v>
      </c>
      <c r="I282" s="22">
        <f t="shared" si="262"/>
        <v>12420.433333333334</v>
      </c>
      <c r="J282" s="22">
        <f t="shared" si="262"/>
        <v>22861.1</v>
      </c>
      <c r="K282" s="22">
        <f t="shared" si="262"/>
        <v>22534.699999999997</v>
      </c>
      <c r="L282" s="22">
        <f t="shared" si="262"/>
        <v>22761.899999999998</v>
      </c>
      <c r="M282" s="22">
        <f t="shared" si="262"/>
        <v>17761.500000000004</v>
      </c>
      <c r="N282" s="22">
        <f t="shared" ref="N282" si="263">N283+N321</f>
        <v>14358.699999999999</v>
      </c>
      <c r="O282" s="22">
        <f t="shared" si="258"/>
        <v>80.841708189060597</v>
      </c>
    </row>
    <row r="283" spans="1:15" ht="15.75" x14ac:dyDescent="0.25">
      <c r="A283" s="24" t="s">
        <v>316</v>
      </c>
      <c r="B283" s="217">
        <v>903</v>
      </c>
      <c r="C283" s="219" t="s">
        <v>315</v>
      </c>
      <c r="D283" s="219" t="s">
        <v>266</v>
      </c>
      <c r="E283" s="219"/>
      <c r="F283" s="219"/>
      <c r="G283" s="22">
        <f t="shared" ref="G283:M283" si="264">G284+G310</f>
        <v>17482.699999999997</v>
      </c>
      <c r="H283" s="22">
        <f t="shared" si="264"/>
        <v>9307.7999999999993</v>
      </c>
      <c r="I283" s="22">
        <f t="shared" si="264"/>
        <v>12420.433333333334</v>
      </c>
      <c r="J283" s="22">
        <f t="shared" si="264"/>
        <v>22861.1</v>
      </c>
      <c r="K283" s="22">
        <f t="shared" si="264"/>
        <v>22534.699999999997</v>
      </c>
      <c r="L283" s="22">
        <f t="shared" si="264"/>
        <v>22761.899999999998</v>
      </c>
      <c r="M283" s="22">
        <f t="shared" si="264"/>
        <v>17761.500000000004</v>
      </c>
      <c r="N283" s="22">
        <f t="shared" ref="N283" si="265">N284+N310</f>
        <v>14358.699999999999</v>
      </c>
      <c r="O283" s="22">
        <f t="shared" si="258"/>
        <v>80.841708189060597</v>
      </c>
    </row>
    <row r="284" spans="1:15" ht="47.25" x14ac:dyDescent="0.25">
      <c r="A284" s="26" t="s">
        <v>317</v>
      </c>
      <c r="B284" s="220">
        <v>903</v>
      </c>
      <c r="C284" s="218" t="s">
        <v>315</v>
      </c>
      <c r="D284" s="218" t="s">
        <v>266</v>
      </c>
      <c r="E284" s="218" t="s">
        <v>318</v>
      </c>
      <c r="F284" s="218"/>
      <c r="G284" s="27">
        <f>G285</f>
        <v>16445.599999999999</v>
      </c>
      <c r="H284" s="27">
        <f t="shared" ref="H284:L284" si="266">H285</f>
        <v>8550</v>
      </c>
      <c r="I284" s="27">
        <f t="shared" si="266"/>
        <v>11383.333333333334</v>
      </c>
      <c r="J284" s="27">
        <f t="shared" si="266"/>
        <v>21824</v>
      </c>
      <c r="K284" s="27">
        <f t="shared" si="266"/>
        <v>21497.599999999999</v>
      </c>
      <c r="L284" s="27">
        <f t="shared" si="266"/>
        <v>21724.799999999999</v>
      </c>
      <c r="M284" s="27">
        <f t="shared" ref="M284:N284" si="267">M285</f>
        <v>16723.800000000003</v>
      </c>
      <c r="N284" s="27">
        <f t="shared" si="267"/>
        <v>13739.999999999998</v>
      </c>
      <c r="O284" s="27">
        <f t="shared" si="258"/>
        <v>82.158361138018847</v>
      </c>
    </row>
    <row r="285" spans="1:15" ht="63" x14ac:dyDescent="0.25">
      <c r="A285" s="26" t="s">
        <v>319</v>
      </c>
      <c r="B285" s="220">
        <v>903</v>
      </c>
      <c r="C285" s="218" t="s">
        <v>315</v>
      </c>
      <c r="D285" s="218" t="s">
        <v>266</v>
      </c>
      <c r="E285" s="218" t="s">
        <v>320</v>
      </c>
      <c r="F285" s="218"/>
      <c r="G285" s="27">
        <f>G286+G298+G301+G304+G307</f>
        <v>16445.599999999999</v>
      </c>
      <c r="H285" s="27">
        <f t="shared" ref="H285" si="268">H286+H298+H301+H304+H307</f>
        <v>8550</v>
      </c>
      <c r="I285" s="27">
        <f t="shared" ref="I285:L285" si="269">I286+I298+I301+I304+I307</f>
        <v>11383.333333333334</v>
      </c>
      <c r="J285" s="27">
        <f t="shared" si="269"/>
        <v>21824</v>
      </c>
      <c r="K285" s="27">
        <f t="shared" si="269"/>
        <v>21497.599999999999</v>
      </c>
      <c r="L285" s="27">
        <f t="shared" si="269"/>
        <v>21724.799999999999</v>
      </c>
      <c r="M285" s="27">
        <f>M286+M298+M301+M304+M307+M292</f>
        <v>16723.800000000003</v>
      </c>
      <c r="N285" s="27">
        <f>N286+N298+N301+N304+N307+N292</f>
        <v>13739.999999999998</v>
      </c>
      <c r="O285" s="27">
        <f t="shared" si="258"/>
        <v>82.158361138018847</v>
      </c>
    </row>
    <row r="286" spans="1:15" ht="47.25" x14ac:dyDescent="0.25">
      <c r="A286" s="26" t="s">
        <v>321</v>
      </c>
      <c r="B286" s="220">
        <v>903</v>
      </c>
      <c r="C286" s="218" t="s">
        <v>315</v>
      </c>
      <c r="D286" s="218" t="s">
        <v>266</v>
      </c>
      <c r="E286" s="218" t="s">
        <v>322</v>
      </c>
      <c r="F286" s="218"/>
      <c r="G286" s="27">
        <f>G287</f>
        <v>16395.599999999999</v>
      </c>
      <c r="H286" s="27">
        <f>H287</f>
        <v>8500</v>
      </c>
      <c r="I286" s="27">
        <f t="shared" ref="I286:L286" si="270">I287</f>
        <v>11333.333333333334</v>
      </c>
      <c r="J286" s="27">
        <f t="shared" si="270"/>
        <v>20227.2</v>
      </c>
      <c r="K286" s="27">
        <f t="shared" si="270"/>
        <v>20500.8</v>
      </c>
      <c r="L286" s="27">
        <f t="shared" si="270"/>
        <v>20728</v>
      </c>
      <c r="M286" s="27">
        <f t="shared" ref="M286:N287" si="271">M287</f>
        <v>15846.66</v>
      </c>
      <c r="N286" s="27">
        <f t="shared" si="271"/>
        <v>12900.8</v>
      </c>
      <c r="O286" s="27">
        <f t="shared" si="258"/>
        <v>81.410215149438429</v>
      </c>
    </row>
    <row r="287" spans="1:15" ht="47.25" x14ac:dyDescent="0.25">
      <c r="A287" s="26" t="s">
        <v>323</v>
      </c>
      <c r="B287" s="220">
        <v>903</v>
      </c>
      <c r="C287" s="218" t="s">
        <v>315</v>
      </c>
      <c r="D287" s="218" t="s">
        <v>266</v>
      </c>
      <c r="E287" s="218" t="s">
        <v>322</v>
      </c>
      <c r="F287" s="218" t="s">
        <v>324</v>
      </c>
      <c r="G287" s="27">
        <f>G288</f>
        <v>16395.599999999999</v>
      </c>
      <c r="H287" s="27">
        <f>H288</f>
        <v>8500</v>
      </c>
      <c r="I287" s="27">
        <f t="shared" ref="I287:L287" si="272">I288</f>
        <v>11333.333333333334</v>
      </c>
      <c r="J287" s="27">
        <f t="shared" si="272"/>
        <v>20227.2</v>
      </c>
      <c r="K287" s="27">
        <f t="shared" si="272"/>
        <v>20500.8</v>
      </c>
      <c r="L287" s="27">
        <f t="shared" si="272"/>
        <v>20728</v>
      </c>
      <c r="M287" s="27">
        <f t="shared" si="271"/>
        <v>15846.66</v>
      </c>
      <c r="N287" s="27">
        <f t="shared" si="271"/>
        <v>12900.8</v>
      </c>
      <c r="O287" s="27">
        <f t="shared" si="258"/>
        <v>81.410215149438429</v>
      </c>
    </row>
    <row r="288" spans="1:15" ht="15.75" x14ac:dyDescent="0.25">
      <c r="A288" s="26" t="s">
        <v>325</v>
      </c>
      <c r="B288" s="220">
        <v>903</v>
      </c>
      <c r="C288" s="218" t="s">
        <v>315</v>
      </c>
      <c r="D288" s="218" t="s">
        <v>266</v>
      </c>
      <c r="E288" s="218" t="s">
        <v>322</v>
      </c>
      <c r="F288" s="218" t="s">
        <v>326</v>
      </c>
      <c r="G288" s="28">
        <f>15572+756.3+67.3</f>
        <v>16395.599999999999</v>
      </c>
      <c r="H288" s="28">
        <v>8500</v>
      </c>
      <c r="I288" s="28">
        <f>H288/9*12</f>
        <v>11333.333333333334</v>
      </c>
      <c r="J288" s="28">
        <v>20227.2</v>
      </c>
      <c r="K288" s="28">
        <v>20500.8</v>
      </c>
      <c r="L288" s="28">
        <v>20728</v>
      </c>
      <c r="M288" s="28">
        <f>16378.1-221-37.94-80.6-145.1-46.8</f>
        <v>15846.66</v>
      </c>
      <c r="N288" s="28">
        <v>12900.8</v>
      </c>
      <c r="O288" s="27">
        <f t="shared" si="258"/>
        <v>81.410215149438429</v>
      </c>
    </row>
    <row r="289" spans="1:15" ht="47.25" hidden="1" customHeight="1" x14ac:dyDescent="0.25">
      <c r="A289" s="26" t="s">
        <v>327</v>
      </c>
      <c r="B289" s="220">
        <v>903</v>
      </c>
      <c r="C289" s="218" t="s">
        <v>315</v>
      </c>
      <c r="D289" s="218" t="s">
        <v>266</v>
      </c>
      <c r="E289" s="218" t="s">
        <v>328</v>
      </c>
      <c r="F289" s="218"/>
      <c r="G289" s="27">
        <f t="shared" ref="G289:L290" si="273">G290</f>
        <v>0</v>
      </c>
      <c r="H289" s="22">
        <f>H290+H325</f>
        <v>8569.2999999999993</v>
      </c>
      <c r="I289" s="27">
        <f t="shared" si="273"/>
        <v>0</v>
      </c>
      <c r="J289" s="27">
        <f t="shared" si="273"/>
        <v>0</v>
      </c>
      <c r="K289" s="27">
        <f t="shared" si="273"/>
        <v>0</v>
      </c>
      <c r="L289" s="27">
        <f t="shared" si="273"/>
        <v>0</v>
      </c>
      <c r="M289" s="27">
        <f t="shared" ref="M289:N290" si="274">M290</f>
        <v>0</v>
      </c>
      <c r="N289" s="27">
        <f t="shared" si="274"/>
        <v>0</v>
      </c>
      <c r="O289" s="27" t="e">
        <f t="shared" si="258"/>
        <v>#DIV/0!</v>
      </c>
    </row>
    <row r="290" spans="1:15" ht="47.25" hidden="1" customHeight="1" x14ac:dyDescent="0.25">
      <c r="A290" s="26" t="s">
        <v>323</v>
      </c>
      <c r="B290" s="220">
        <v>903</v>
      </c>
      <c r="C290" s="218" t="s">
        <v>315</v>
      </c>
      <c r="D290" s="218" t="s">
        <v>266</v>
      </c>
      <c r="E290" s="218" t="s">
        <v>328</v>
      </c>
      <c r="F290" s="218" t="s">
        <v>324</v>
      </c>
      <c r="G290" s="27">
        <f t="shared" si="273"/>
        <v>0</v>
      </c>
      <c r="H290" s="22">
        <f>H291+H314</f>
        <v>8569.2999999999993</v>
      </c>
      <c r="I290" s="27">
        <f t="shared" si="273"/>
        <v>0</v>
      </c>
      <c r="J290" s="27">
        <f t="shared" si="273"/>
        <v>0</v>
      </c>
      <c r="K290" s="27">
        <f t="shared" si="273"/>
        <v>0</v>
      </c>
      <c r="L290" s="27">
        <f t="shared" si="273"/>
        <v>0</v>
      </c>
      <c r="M290" s="27">
        <f t="shared" si="274"/>
        <v>0</v>
      </c>
      <c r="N290" s="27">
        <f t="shared" si="274"/>
        <v>0</v>
      </c>
      <c r="O290" s="27" t="e">
        <f t="shared" si="258"/>
        <v>#DIV/0!</v>
      </c>
    </row>
    <row r="291" spans="1:15" ht="15.75" hidden="1" customHeight="1" x14ac:dyDescent="0.25">
      <c r="A291" s="26" t="s">
        <v>325</v>
      </c>
      <c r="B291" s="220">
        <v>903</v>
      </c>
      <c r="C291" s="218" t="s">
        <v>315</v>
      </c>
      <c r="D291" s="218" t="s">
        <v>266</v>
      </c>
      <c r="E291" s="218" t="s">
        <v>328</v>
      </c>
      <c r="F291" s="218" t="s">
        <v>326</v>
      </c>
      <c r="G291" s="27">
        <v>0</v>
      </c>
      <c r="H291" s="27">
        <f>H292</f>
        <v>8500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 t="e">
        <f t="shared" si="258"/>
        <v>#DIV/0!</v>
      </c>
    </row>
    <row r="292" spans="1:15" ht="47.25" customHeight="1" x14ac:dyDescent="0.25">
      <c r="A292" s="26" t="s">
        <v>329</v>
      </c>
      <c r="B292" s="220">
        <v>903</v>
      </c>
      <c r="C292" s="218" t="s">
        <v>315</v>
      </c>
      <c r="D292" s="218" t="s">
        <v>266</v>
      </c>
      <c r="E292" s="218" t="s">
        <v>330</v>
      </c>
      <c r="F292" s="218"/>
      <c r="G292" s="27">
        <f t="shared" ref="G292:L293" si="275">G293</f>
        <v>0</v>
      </c>
      <c r="H292" s="27">
        <f>H293+H305</f>
        <v>8500</v>
      </c>
      <c r="I292" s="27">
        <f t="shared" si="275"/>
        <v>0</v>
      </c>
      <c r="J292" s="27">
        <f t="shared" si="275"/>
        <v>0</v>
      </c>
      <c r="K292" s="27">
        <f t="shared" si="275"/>
        <v>0</v>
      </c>
      <c r="L292" s="27">
        <f t="shared" si="275"/>
        <v>0</v>
      </c>
      <c r="M292" s="27">
        <f t="shared" ref="M292:N293" si="276">M293</f>
        <v>127.39999999999999</v>
      </c>
      <c r="N292" s="27">
        <f t="shared" si="276"/>
        <v>127.4</v>
      </c>
      <c r="O292" s="27">
        <f t="shared" si="258"/>
        <v>100.00000000000003</v>
      </c>
    </row>
    <row r="293" spans="1:15" ht="47.25" customHeight="1" x14ac:dyDescent="0.25">
      <c r="A293" s="26" t="s">
        <v>323</v>
      </c>
      <c r="B293" s="220">
        <v>903</v>
      </c>
      <c r="C293" s="218" t="s">
        <v>315</v>
      </c>
      <c r="D293" s="218" t="s">
        <v>266</v>
      </c>
      <c r="E293" s="218" t="s">
        <v>330</v>
      </c>
      <c r="F293" s="218" t="s">
        <v>324</v>
      </c>
      <c r="G293" s="27">
        <f t="shared" si="275"/>
        <v>0</v>
      </c>
      <c r="H293" s="27">
        <f>H294</f>
        <v>8500</v>
      </c>
      <c r="I293" s="27">
        <f t="shared" si="275"/>
        <v>0</v>
      </c>
      <c r="J293" s="27">
        <f t="shared" si="275"/>
        <v>0</v>
      </c>
      <c r="K293" s="27">
        <f t="shared" si="275"/>
        <v>0</v>
      </c>
      <c r="L293" s="27">
        <f t="shared" si="275"/>
        <v>0</v>
      </c>
      <c r="M293" s="27">
        <f t="shared" si="276"/>
        <v>127.39999999999999</v>
      </c>
      <c r="N293" s="27">
        <f t="shared" si="276"/>
        <v>127.4</v>
      </c>
      <c r="O293" s="27">
        <f t="shared" si="258"/>
        <v>100.00000000000003</v>
      </c>
    </row>
    <row r="294" spans="1:15" ht="15.75" customHeight="1" x14ac:dyDescent="0.25">
      <c r="A294" s="26" t="s">
        <v>325</v>
      </c>
      <c r="B294" s="220">
        <v>903</v>
      </c>
      <c r="C294" s="218" t="s">
        <v>315</v>
      </c>
      <c r="D294" s="218" t="s">
        <v>266</v>
      </c>
      <c r="E294" s="218" t="s">
        <v>330</v>
      </c>
      <c r="F294" s="218" t="s">
        <v>326</v>
      </c>
      <c r="G294" s="27">
        <v>0</v>
      </c>
      <c r="H294" s="27">
        <f>H295</f>
        <v>8500</v>
      </c>
      <c r="I294" s="27">
        <v>0</v>
      </c>
      <c r="J294" s="27">
        <v>0</v>
      </c>
      <c r="K294" s="27">
        <v>0</v>
      </c>
      <c r="L294" s="27">
        <v>0</v>
      </c>
      <c r="M294" s="27">
        <f>80.6+46.8</f>
        <v>127.39999999999999</v>
      </c>
      <c r="N294" s="27">
        <v>127.4</v>
      </c>
      <c r="O294" s="27">
        <f t="shared" si="258"/>
        <v>100.00000000000003</v>
      </c>
    </row>
    <row r="295" spans="1:15" ht="31.5" hidden="1" customHeight="1" x14ac:dyDescent="0.25">
      <c r="A295" s="26" t="s">
        <v>331</v>
      </c>
      <c r="B295" s="220">
        <v>903</v>
      </c>
      <c r="C295" s="218" t="s">
        <v>315</v>
      </c>
      <c r="D295" s="218" t="s">
        <v>266</v>
      </c>
      <c r="E295" s="218" t="s">
        <v>332</v>
      </c>
      <c r="F295" s="218"/>
      <c r="G295" s="27">
        <f t="shared" ref="G295:L296" si="277">G296</f>
        <v>0</v>
      </c>
      <c r="H295" s="28">
        <v>8500</v>
      </c>
      <c r="I295" s="27">
        <f t="shared" si="277"/>
        <v>0</v>
      </c>
      <c r="J295" s="27">
        <f t="shared" si="277"/>
        <v>0</v>
      </c>
      <c r="K295" s="27">
        <f t="shared" si="277"/>
        <v>0</v>
      </c>
      <c r="L295" s="27">
        <f t="shared" si="277"/>
        <v>0</v>
      </c>
      <c r="M295" s="27">
        <f t="shared" ref="M295:N296" si="278">M296</f>
        <v>0</v>
      </c>
      <c r="N295" s="27">
        <f t="shared" si="278"/>
        <v>0</v>
      </c>
      <c r="O295" s="27" t="e">
        <f t="shared" si="258"/>
        <v>#DIV/0!</v>
      </c>
    </row>
    <row r="296" spans="1:15" ht="47.25" hidden="1" customHeight="1" x14ac:dyDescent="0.25">
      <c r="A296" s="26" t="s">
        <v>323</v>
      </c>
      <c r="B296" s="220">
        <v>903</v>
      </c>
      <c r="C296" s="218" t="s">
        <v>315</v>
      </c>
      <c r="D296" s="218" t="s">
        <v>266</v>
      </c>
      <c r="E296" s="218" t="s">
        <v>332</v>
      </c>
      <c r="F296" s="218" t="s">
        <v>324</v>
      </c>
      <c r="G296" s="27">
        <f t="shared" si="277"/>
        <v>0</v>
      </c>
      <c r="H296" s="27"/>
      <c r="I296" s="27">
        <f t="shared" si="277"/>
        <v>0</v>
      </c>
      <c r="J296" s="27">
        <f t="shared" si="277"/>
        <v>0</v>
      </c>
      <c r="K296" s="27">
        <f t="shared" si="277"/>
        <v>0</v>
      </c>
      <c r="L296" s="27">
        <f t="shared" si="277"/>
        <v>0</v>
      </c>
      <c r="M296" s="27">
        <f t="shared" si="278"/>
        <v>0</v>
      </c>
      <c r="N296" s="27">
        <f t="shared" si="278"/>
        <v>0</v>
      </c>
      <c r="O296" s="27" t="e">
        <f t="shared" si="258"/>
        <v>#DIV/0!</v>
      </c>
    </row>
    <row r="297" spans="1:15" ht="15.75" hidden="1" customHeight="1" x14ac:dyDescent="0.25">
      <c r="A297" s="26" t="s">
        <v>325</v>
      </c>
      <c r="B297" s="220">
        <v>903</v>
      </c>
      <c r="C297" s="218" t="s">
        <v>315</v>
      </c>
      <c r="D297" s="218" t="s">
        <v>266</v>
      </c>
      <c r="E297" s="218" t="s">
        <v>332</v>
      </c>
      <c r="F297" s="218" t="s">
        <v>326</v>
      </c>
      <c r="G297" s="27">
        <v>0</v>
      </c>
      <c r="H297" s="27"/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 t="e">
        <f t="shared" si="258"/>
        <v>#DIV/0!</v>
      </c>
    </row>
    <row r="298" spans="1:15" ht="39.75" customHeight="1" x14ac:dyDescent="0.25">
      <c r="A298" s="26" t="s">
        <v>333</v>
      </c>
      <c r="B298" s="220">
        <v>903</v>
      </c>
      <c r="C298" s="218" t="s">
        <v>315</v>
      </c>
      <c r="D298" s="218" t="s">
        <v>266</v>
      </c>
      <c r="E298" s="218" t="s">
        <v>334</v>
      </c>
      <c r="F298" s="218"/>
      <c r="G298" s="27">
        <f>G299</f>
        <v>50</v>
      </c>
      <c r="H298" s="27">
        <f>H299</f>
        <v>50</v>
      </c>
      <c r="I298" s="27">
        <f t="shared" ref="I298:L298" si="279">I299</f>
        <v>50</v>
      </c>
      <c r="J298" s="27">
        <f t="shared" si="279"/>
        <v>60</v>
      </c>
      <c r="K298" s="27">
        <f t="shared" si="279"/>
        <v>60</v>
      </c>
      <c r="L298" s="27">
        <f t="shared" si="279"/>
        <v>60</v>
      </c>
      <c r="M298" s="27">
        <f t="shared" ref="M298:N299" si="280">M299</f>
        <v>50</v>
      </c>
      <c r="N298" s="27">
        <f t="shared" si="280"/>
        <v>50</v>
      </c>
      <c r="O298" s="27">
        <f t="shared" si="258"/>
        <v>100</v>
      </c>
    </row>
    <row r="299" spans="1:15" ht="47.25" x14ac:dyDescent="0.25">
      <c r="A299" s="26" t="s">
        <v>323</v>
      </c>
      <c r="B299" s="220">
        <v>903</v>
      </c>
      <c r="C299" s="218" t="s">
        <v>315</v>
      </c>
      <c r="D299" s="218" t="s">
        <v>266</v>
      </c>
      <c r="E299" s="218" t="s">
        <v>334</v>
      </c>
      <c r="F299" s="218" t="s">
        <v>324</v>
      </c>
      <c r="G299" s="27">
        <f t="shared" ref="G299:L299" si="281">G300</f>
        <v>50</v>
      </c>
      <c r="H299" s="27">
        <f>H300</f>
        <v>50</v>
      </c>
      <c r="I299" s="27">
        <f t="shared" si="281"/>
        <v>50</v>
      </c>
      <c r="J299" s="27">
        <f t="shared" si="281"/>
        <v>60</v>
      </c>
      <c r="K299" s="27">
        <f t="shared" si="281"/>
        <v>60</v>
      </c>
      <c r="L299" s="27">
        <f t="shared" si="281"/>
        <v>60</v>
      </c>
      <c r="M299" s="27">
        <f t="shared" si="280"/>
        <v>50</v>
      </c>
      <c r="N299" s="27">
        <f t="shared" si="280"/>
        <v>50</v>
      </c>
      <c r="O299" s="27">
        <f t="shared" si="258"/>
        <v>100</v>
      </c>
    </row>
    <row r="300" spans="1:15" ht="15.75" x14ac:dyDescent="0.25">
      <c r="A300" s="26" t="s">
        <v>325</v>
      </c>
      <c r="B300" s="220">
        <v>903</v>
      </c>
      <c r="C300" s="218" t="s">
        <v>315</v>
      </c>
      <c r="D300" s="218" t="s">
        <v>266</v>
      </c>
      <c r="E300" s="218" t="s">
        <v>334</v>
      </c>
      <c r="F300" s="218" t="s">
        <v>326</v>
      </c>
      <c r="G300" s="27">
        <v>50</v>
      </c>
      <c r="H300" s="27">
        <v>50</v>
      </c>
      <c r="I300" s="27">
        <v>50</v>
      </c>
      <c r="J300" s="27">
        <v>60</v>
      </c>
      <c r="K300" s="27">
        <v>60</v>
      </c>
      <c r="L300" s="27">
        <v>60</v>
      </c>
      <c r="M300" s="27">
        <v>50</v>
      </c>
      <c r="N300" s="27">
        <v>50</v>
      </c>
      <c r="O300" s="27">
        <f t="shared" si="258"/>
        <v>100</v>
      </c>
    </row>
    <row r="301" spans="1:15" ht="31.5" customHeight="1" x14ac:dyDescent="0.25">
      <c r="A301" s="26" t="s">
        <v>335</v>
      </c>
      <c r="B301" s="220">
        <v>903</v>
      </c>
      <c r="C301" s="218" t="s">
        <v>315</v>
      </c>
      <c r="D301" s="218" t="s">
        <v>266</v>
      </c>
      <c r="E301" s="218" t="s">
        <v>337</v>
      </c>
      <c r="F301" s="218"/>
      <c r="G301" s="27">
        <f t="shared" ref="G301:L302" si="282">G302</f>
        <v>0</v>
      </c>
      <c r="H301" s="27">
        <v>0</v>
      </c>
      <c r="I301" s="27">
        <f t="shared" si="282"/>
        <v>0</v>
      </c>
      <c r="J301" s="27">
        <f t="shared" si="282"/>
        <v>275</v>
      </c>
      <c r="K301" s="27">
        <f t="shared" si="282"/>
        <v>275</v>
      </c>
      <c r="L301" s="27">
        <f t="shared" si="282"/>
        <v>275</v>
      </c>
      <c r="M301" s="27">
        <f t="shared" ref="M301:N302" si="283">M302</f>
        <v>37.94</v>
      </c>
      <c r="N301" s="27">
        <f t="shared" si="283"/>
        <v>0</v>
      </c>
      <c r="O301" s="27">
        <f t="shared" si="258"/>
        <v>0</v>
      </c>
    </row>
    <row r="302" spans="1:15" ht="47.25" customHeight="1" x14ac:dyDescent="0.25">
      <c r="A302" s="26" t="s">
        <v>323</v>
      </c>
      <c r="B302" s="220">
        <v>903</v>
      </c>
      <c r="C302" s="218" t="s">
        <v>315</v>
      </c>
      <c r="D302" s="218" t="s">
        <v>266</v>
      </c>
      <c r="E302" s="218" t="s">
        <v>337</v>
      </c>
      <c r="F302" s="218" t="s">
        <v>324</v>
      </c>
      <c r="G302" s="27">
        <f t="shared" si="282"/>
        <v>0</v>
      </c>
      <c r="H302" s="27">
        <v>0</v>
      </c>
      <c r="I302" s="27">
        <f t="shared" si="282"/>
        <v>0</v>
      </c>
      <c r="J302" s="27">
        <f t="shared" si="282"/>
        <v>275</v>
      </c>
      <c r="K302" s="27">
        <f t="shared" si="282"/>
        <v>275</v>
      </c>
      <c r="L302" s="27">
        <f t="shared" si="282"/>
        <v>275</v>
      </c>
      <c r="M302" s="27">
        <f t="shared" si="283"/>
        <v>37.94</v>
      </c>
      <c r="N302" s="27">
        <f t="shared" si="283"/>
        <v>0</v>
      </c>
      <c r="O302" s="27">
        <f t="shared" si="258"/>
        <v>0</v>
      </c>
    </row>
    <row r="303" spans="1:15" ht="15.75" customHeight="1" x14ac:dyDescent="0.25">
      <c r="A303" s="26" t="s">
        <v>325</v>
      </c>
      <c r="B303" s="220">
        <v>903</v>
      </c>
      <c r="C303" s="218" t="s">
        <v>315</v>
      </c>
      <c r="D303" s="218" t="s">
        <v>266</v>
      </c>
      <c r="E303" s="218" t="s">
        <v>337</v>
      </c>
      <c r="F303" s="218" t="s">
        <v>326</v>
      </c>
      <c r="G303" s="27">
        <v>0</v>
      </c>
      <c r="H303" s="27">
        <v>0</v>
      </c>
      <c r="I303" s="27">
        <v>0</v>
      </c>
      <c r="J303" s="27">
        <v>275</v>
      </c>
      <c r="K303" s="27">
        <v>275</v>
      </c>
      <c r="L303" s="27">
        <v>275</v>
      </c>
      <c r="M303" s="27">
        <v>37.94</v>
      </c>
      <c r="N303" s="27">
        <v>0</v>
      </c>
      <c r="O303" s="27">
        <f t="shared" si="258"/>
        <v>0</v>
      </c>
    </row>
    <row r="304" spans="1:15" ht="47.25" hidden="1" customHeight="1" x14ac:dyDescent="0.25">
      <c r="A304" s="70" t="s">
        <v>338</v>
      </c>
      <c r="B304" s="220">
        <v>903</v>
      </c>
      <c r="C304" s="218" t="s">
        <v>315</v>
      </c>
      <c r="D304" s="218" t="s">
        <v>266</v>
      </c>
      <c r="E304" s="218" t="s">
        <v>339</v>
      </c>
      <c r="F304" s="218"/>
      <c r="G304" s="27">
        <f t="shared" ref="G304:L308" si="284">G305</f>
        <v>0</v>
      </c>
      <c r="H304" s="27">
        <v>0</v>
      </c>
      <c r="I304" s="27">
        <f t="shared" si="284"/>
        <v>0</v>
      </c>
      <c r="J304" s="27">
        <f t="shared" si="284"/>
        <v>600</v>
      </c>
      <c r="K304" s="27">
        <f t="shared" si="284"/>
        <v>0</v>
      </c>
      <c r="L304" s="27">
        <f t="shared" si="284"/>
        <v>0</v>
      </c>
      <c r="M304" s="27">
        <f t="shared" ref="M304:N305" si="285">M305</f>
        <v>0</v>
      </c>
      <c r="N304" s="27">
        <f t="shared" si="285"/>
        <v>0</v>
      </c>
      <c r="O304" s="27" t="e">
        <f t="shared" si="258"/>
        <v>#DIV/0!</v>
      </c>
    </row>
    <row r="305" spans="1:15" ht="47.25" hidden="1" customHeight="1" x14ac:dyDescent="0.25">
      <c r="A305" s="31" t="s">
        <v>323</v>
      </c>
      <c r="B305" s="220">
        <v>903</v>
      </c>
      <c r="C305" s="218" t="s">
        <v>315</v>
      </c>
      <c r="D305" s="218" t="s">
        <v>266</v>
      </c>
      <c r="E305" s="218" t="s">
        <v>339</v>
      </c>
      <c r="F305" s="218" t="s">
        <v>324</v>
      </c>
      <c r="G305" s="27">
        <f t="shared" si="284"/>
        <v>0</v>
      </c>
      <c r="H305" s="27">
        <v>0</v>
      </c>
      <c r="I305" s="27">
        <f t="shared" si="284"/>
        <v>0</v>
      </c>
      <c r="J305" s="27">
        <f t="shared" si="284"/>
        <v>600</v>
      </c>
      <c r="K305" s="27">
        <f t="shared" si="284"/>
        <v>0</v>
      </c>
      <c r="L305" s="27">
        <f t="shared" si="284"/>
        <v>0</v>
      </c>
      <c r="M305" s="27">
        <f t="shared" si="285"/>
        <v>0</v>
      </c>
      <c r="N305" s="27">
        <f t="shared" si="285"/>
        <v>0</v>
      </c>
      <c r="O305" s="27" t="e">
        <f t="shared" si="258"/>
        <v>#DIV/0!</v>
      </c>
    </row>
    <row r="306" spans="1:15" ht="15.75" hidden="1" customHeight="1" x14ac:dyDescent="0.25">
      <c r="A306" s="262" t="s">
        <v>325</v>
      </c>
      <c r="B306" s="220">
        <v>903</v>
      </c>
      <c r="C306" s="218" t="s">
        <v>315</v>
      </c>
      <c r="D306" s="218" t="s">
        <v>266</v>
      </c>
      <c r="E306" s="218" t="s">
        <v>339</v>
      </c>
      <c r="F306" s="218" t="s">
        <v>326</v>
      </c>
      <c r="G306" s="27">
        <v>0</v>
      </c>
      <c r="H306" s="27">
        <v>0</v>
      </c>
      <c r="I306" s="27">
        <v>0</v>
      </c>
      <c r="J306" s="27">
        <v>600</v>
      </c>
      <c r="K306" s="27">
        <v>0</v>
      </c>
      <c r="L306" s="27">
        <v>0</v>
      </c>
      <c r="M306" s="27">
        <v>0</v>
      </c>
      <c r="N306" s="27">
        <v>0</v>
      </c>
      <c r="O306" s="27" t="e">
        <f t="shared" si="258"/>
        <v>#DIV/0!</v>
      </c>
    </row>
    <row r="307" spans="1:15" ht="48" customHeight="1" x14ac:dyDescent="0.25">
      <c r="A307" s="70" t="s">
        <v>861</v>
      </c>
      <c r="B307" s="220">
        <v>903</v>
      </c>
      <c r="C307" s="218" t="s">
        <v>315</v>
      </c>
      <c r="D307" s="218" t="s">
        <v>266</v>
      </c>
      <c r="E307" s="218" t="s">
        <v>867</v>
      </c>
      <c r="F307" s="218"/>
      <c r="G307" s="27">
        <f t="shared" si="284"/>
        <v>0</v>
      </c>
      <c r="H307" s="27">
        <v>0</v>
      </c>
      <c r="I307" s="27">
        <f>I308</f>
        <v>0</v>
      </c>
      <c r="J307" s="27">
        <f t="shared" ref="J307:L308" si="286">J308</f>
        <v>661.8</v>
      </c>
      <c r="K307" s="27">
        <f t="shared" si="286"/>
        <v>661.8</v>
      </c>
      <c r="L307" s="27">
        <f t="shared" si="286"/>
        <v>661.8</v>
      </c>
      <c r="M307" s="27">
        <f>M308</f>
        <v>661.8</v>
      </c>
      <c r="N307" s="27">
        <f>N308</f>
        <v>661.8</v>
      </c>
      <c r="O307" s="27">
        <f t="shared" si="258"/>
        <v>100</v>
      </c>
    </row>
    <row r="308" spans="1:15" ht="51.75" customHeight="1" x14ac:dyDescent="0.25">
      <c r="A308" s="31" t="s">
        <v>323</v>
      </c>
      <c r="B308" s="220">
        <v>903</v>
      </c>
      <c r="C308" s="218" t="s">
        <v>315</v>
      </c>
      <c r="D308" s="218" t="s">
        <v>266</v>
      </c>
      <c r="E308" s="218" t="s">
        <v>867</v>
      </c>
      <c r="F308" s="218" t="s">
        <v>324</v>
      </c>
      <c r="G308" s="27">
        <f t="shared" si="284"/>
        <v>0</v>
      </c>
      <c r="H308" s="27">
        <v>0</v>
      </c>
      <c r="I308" s="27">
        <f>I309</f>
        <v>0</v>
      </c>
      <c r="J308" s="27">
        <f t="shared" si="286"/>
        <v>661.8</v>
      </c>
      <c r="K308" s="27">
        <f t="shared" si="286"/>
        <v>661.8</v>
      </c>
      <c r="L308" s="27">
        <f t="shared" si="286"/>
        <v>661.8</v>
      </c>
      <c r="M308" s="27">
        <f>M309</f>
        <v>661.8</v>
      </c>
      <c r="N308" s="27">
        <f>N309</f>
        <v>661.8</v>
      </c>
      <c r="O308" s="27">
        <f t="shared" si="258"/>
        <v>100</v>
      </c>
    </row>
    <row r="309" spans="1:15" ht="15.75" customHeight="1" x14ac:dyDescent="0.25">
      <c r="A309" s="262" t="s">
        <v>325</v>
      </c>
      <c r="B309" s="220">
        <v>903</v>
      </c>
      <c r="C309" s="218" t="s">
        <v>315</v>
      </c>
      <c r="D309" s="218" t="s">
        <v>266</v>
      </c>
      <c r="E309" s="218" t="s">
        <v>867</v>
      </c>
      <c r="F309" s="218" t="s">
        <v>326</v>
      </c>
      <c r="G309" s="27">
        <v>0</v>
      </c>
      <c r="H309" s="27">
        <v>0</v>
      </c>
      <c r="I309" s="27">
        <v>0</v>
      </c>
      <c r="J309" s="27">
        <v>661.8</v>
      </c>
      <c r="K309" s="27">
        <v>661.8</v>
      </c>
      <c r="L309" s="27">
        <v>661.8</v>
      </c>
      <c r="M309" s="27">
        <v>661.8</v>
      </c>
      <c r="N309" s="27">
        <v>661.8</v>
      </c>
      <c r="O309" s="27">
        <f t="shared" si="258"/>
        <v>100</v>
      </c>
    </row>
    <row r="310" spans="1:15" ht="15.75" x14ac:dyDescent="0.25">
      <c r="A310" s="26" t="s">
        <v>172</v>
      </c>
      <c r="B310" s="220">
        <v>903</v>
      </c>
      <c r="C310" s="218" t="s">
        <v>315</v>
      </c>
      <c r="D310" s="218" t="s">
        <v>266</v>
      </c>
      <c r="E310" s="218" t="s">
        <v>173</v>
      </c>
      <c r="F310" s="218"/>
      <c r="G310" s="27">
        <f t="shared" ref="G310:L310" si="287">G311</f>
        <v>1037.1000000000001</v>
      </c>
      <c r="H310" s="27">
        <f t="shared" si="287"/>
        <v>757.8</v>
      </c>
      <c r="I310" s="27">
        <f t="shared" si="287"/>
        <v>1037.1000000000001</v>
      </c>
      <c r="J310" s="27">
        <f t="shared" si="287"/>
        <v>1037.1000000000001</v>
      </c>
      <c r="K310" s="27">
        <f t="shared" si="287"/>
        <v>1037.1000000000001</v>
      </c>
      <c r="L310" s="27">
        <f t="shared" si="287"/>
        <v>1037.1000000000001</v>
      </c>
      <c r="M310" s="27">
        <f t="shared" ref="M310:N310" si="288">M311</f>
        <v>1037.7</v>
      </c>
      <c r="N310" s="27">
        <f t="shared" si="288"/>
        <v>618.70000000000005</v>
      </c>
      <c r="O310" s="27">
        <f t="shared" si="258"/>
        <v>59.622241495615299</v>
      </c>
    </row>
    <row r="311" spans="1:15" ht="31.5" x14ac:dyDescent="0.25">
      <c r="A311" s="26" t="s">
        <v>236</v>
      </c>
      <c r="B311" s="220">
        <v>903</v>
      </c>
      <c r="C311" s="218" t="s">
        <v>315</v>
      </c>
      <c r="D311" s="218" t="s">
        <v>266</v>
      </c>
      <c r="E311" s="218" t="s">
        <v>237</v>
      </c>
      <c r="F311" s="218"/>
      <c r="G311" s="27">
        <f>G312+G315+G318</f>
        <v>1037.1000000000001</v>
      </c>
      <c r="H311" s="27">
        <f>H312+H315+H318</f>
        <v>757.8</v>
      </c>
      <c r="I311" s="27">
        <f t="shared" ref="I311:L311" si="289">I312+I315+I318</f>
        <v>1037.1000000000001</v>
      </c>
      <c r="J311" s="27">
        <f t="shared" si="289"/>
        <v>1037.1000000000001</v>
      </c>
      <c r="K311" s="27">
        <f t="shared" si="289"/>
        <v>1037.1000000000001</v>
      </c>
      <c r="L311" s="27">
        <f t="shared" si="289"/>
        <v>1037.1000000000001</v>
      </c>
      <c r="M311" s="27">
        <f t="shared" ref="M311:N311" si="290">M312+M315+M318</f>
        <v>1037.7</v>
      </c>
      <c r="N311" s="27">
        <f t="shared" si="290"/>
        <v>618.70000000000005</v>
      </c>
      <c r="O311" s="27">
        <f t="shared" si="258"/>
        <v>59.622241495615299</v>
      </c>
    </row>
    <row r="312" spans="1:15" ht="63" x14ac:dyDescent="0.25">
      <c r="A312" s="33" t="s">
        <v>340</v>
      </c>
      <c r="B312" s="220">
        <v>903</v>
      </c>
      <c r="C312" s="218" t="s">
        <v>315</v>
      </c>
      <c r="D312" s="218" t="s">
        <v>266</v>
      </c>
      <c r="E312" s="218" t="s">
        <v>341</v>
      </c>
      <c r="F312" s="218"/>
      <c r="G312" s="27">
        <f>G313</f>
        <v>126.69999999999999</v>
      </c>
      <c r="H312" s="27">
        <f>H313</f>
        <v>69.3</v>
      </c>
      <c r="I312" s="27">
        <f t="shared" ref="I312:L313" si="291">I313</f>
        <v>126.69999999999999</v>
      </c>
      <c r="J312" s="27">
        <f t="shared" si="291"/>
        <v>126.69999999999999</v>
      </c>
      <c r="K312" s="27">
        <f t="shared" si="291"/>
        <v>126.69999999999999</v>
      </c>
      <c r="L312" s="27">
        <f t="shared" si="291"/>
        <v>126.69999999999999</v>
      </c>
      <c r="M312" s="27">
        <f t="shared" ref="M312:N313" si="292">M313</f>
        <v>126.69999999999999</v>
      </c>
      <c r="N312" s="27">
        <f t="shared" si="292"/>
        <v>82.5</v>
      </c>
      <c r="O312" s="27">
        <f t="shared" si="258"/>
        <v>65.114443567482255</v>
      </c>
    </row>
    <row r="313" spans="1:15" ht="47.25" x14ac:dyDescent="0.25">
      <c r="A313" s="26" t="s">
        <v>323</v>
      </c>
      <c r="B313" s="220">
        <v>903</v>
      </c>
      <c r="C313" s="218" t="s">
        <v>315</v>
      </c>
      <c r="D313" s="218" t="s">
        <v>266</v>
      </c>
      <c r="E313" s="218" t="s">
        <v>341</v>
      </c>
      <c r="F313" s="218" t="s">
        <v>324</v>
      </c>
      <c r="G313" s="27">
        <f>G314</f>
        <v>126.69999999999999</v>
      </c>
      <c r="H313" s="27">
        <f>H314</f>
        <v>69.3</v>
      </c>
      <c r="I313" s="27">
        <f t="shared" si="291"/>
        <v>126.69999999999999</v>
      </c>
      <c r="J313" s="27">
        <f t="shared" si="291"/>
        <v>126.69999999999999</v>
      </c>
      <c r="K313" s="27">
        <f t="shared" si="291"/>
        <v>126.69999999999999</v>
      </c>
      <c r="L313" s="27">
        <f t="shared" si="291"/>
        <v>126.69999999999999</v>
      </c>
      <c r="M313" s="27">
        <f t="shared" si="292"/>
        <v>126.69999999999999</v>
      </c>
      <c r="N313" s="27">
        <f t="shared" si="292"/>
        <v>82.5</v>
      </c>
      <c r="O313" s="27">
        <f t="shared" si="258"/>
        <v>65.114443567482255</v>
      </c>
    </row>
    <row r="314" spans="1:15" ht="15.75" x14ac:dyDescent="0.25">
      <c r="A314" s="26" t="s">
        <v>325</v>
      </c>
      <c r="B314" s="220">
        <v>903</v>
      </c>
      <c r="C314" s="218" t="s">
        <v>315</v>
      </c>
      <c r="D314" s="218" t="s">
        <v>266</v>
      </c>
      <c r="E314" s="218" t="s">
        <v>341</v>
      </c>
      <c r="F314" s="218" t="s">
        <v>326</v>
      </c>
      <c r="G314" s="27">
        <f>162.6-35.9</f>
        <v>126.69999999999999</v>
      </c>
      <c r="H314" s="27">
        <v>69.3</v>
      </c>
      <c r="I314" s="27">
        <f t="shared" ref="I314:L314" si="293">162.6-35.9</f>
        <v>126.69999999999999</v>
      </c>
      <c r="J314" s="27">
        <f t="shared" si="293"/>
        <v>126.69999999999999</v>
      </c>
      <c r="K314" s="27">
        <f t="shared" si="293"/>
        <v>126.69999999999999</v>
      </c>
      <c r="L314" s="27">
        <f t="shared" si="293"/>
        <v>126.69999999999999</v>
      </c>
      <c r="M314" s="27">
        <f t="shared" ref="M314" si="294">162.6-35.9</f>
        <v>126.69999999999999</v>
      </c>
      <c r="N314" s="27">
        <v>82.5</v>
      </c>
      <c r="O314" s="27">
        <f t="shared" si="258"/>
        <v>65.114443567482255</v>
      </c>
    </row>
    <row r="315" spans="1:15" ht="78.75" x14ac:dyDescent="0.25">
      <c r="A315" s="33" t="s">
        <v>342</v>
      </c>
      <c r="B315" s="220">
        <v>903</v>
      </c>
      <c r="C315" s="218" t="s">
        <v>315</v>
      </c>
      <c r="D315" s="218" t="s">
        <v>266</v>
      </c>
      <c r="E315" s="218" t="s">
        <v>343</v>
      </c>
      <c r="F315" s="218"/>
      <c r="G315" s="27">
        <f>G316</f>
        <v>310.70000000000005</v>
      </c>
      <c r="H315" s="27">
        <f>H316</f>
        <v>151.1</v>
      </c>
      <c r="I315" s="27">
        <f t="shared" ref="I315:L316" si="295">I316</f>
        <v>310.70000000000005</v>
      </c>
      <c r="J315" s="27">
        <f t="shared" si="295"/>
        <v>310.70000000000005</v>
      </c>
      <c r="K315" s="27">
        <f t="shared" si="295"/>
        <v>310.70000000000005</v>
      </c>
      <c r="L315" s="27">
        <f t="shared" si="295"/>
        <v>310.70000000000005</v>
      </c>
      <c r="M315" s="27">
        <f t="shared" ref="M315:N316" si="296">M316</f>
        <v>321.50000000000006</v>
      </c>
      <c r="N315" s="27">
        <f t="shared" si="296"/>
        <v>174.4</v>
      </c>
      <c r="O315" s="27">
        <f t="shared" si="258"/>
        <v>54.245723172628303</v>
      </c>
    </row>
    <row r="316" spans="1:15" ht="47.25" x14ac:dyDescent="0.25">
      <c r="A316" s="26" t="s">
        <v>323</v>
      </c>
      <c r="B316" s="220">
        <v>903</v>
      </c>
      <c r="C316" s="218" t="s">
        <v>315</v>
      </c>
      <c r="D316" s="218" t="s">
        <v>266</v>
      </c>
      <c r="E316" s="218" t="s">
        <v>343</v>
      </c>
      <c r="F316" s="218" t="s">
        <v>324</v>
      </c>
      <c r="G316" s="27">
        <f>G317</f>
        <v>310.70000000000005</v>
      </c>
      <c r="H316" s="27">
        <f>H317</f>
        <v>151.1</v>
      </c>
      <c r="I316" s="27">
        <f t="shared" si="295"/>
        <v>310.70000000000005</v>
      </c>
      <c r="J316" s="27">
        <f t="shared" si="295"/>
        <v>310.70000000000005</v>
      </c>
      <c r="K316" s="27">
        <f t="shared" si="295"/>
        <v>310.70000000000005</v>
      </c>
      <c r="L316" s="27">
        <f t="shared" si="295"/>
        <v>310.70000000000005</v>
      </c>
      <c r="M316" s="27">
        <f t="shared" si="296"/>
        <v>321.50000000000006</v>
      </c>
      <c r="N316" s="27">
        <f t="shared" si="296"/>
        <v>174.4</v>
      </c>
      <c r="O316" s="27">
        <f t="shared" si="258"/>
        <v>54.245723172628303</v>
      </c>
    </row>
    <row r="317" spans="1:15" ht="15.75" x14ac:dyDescent="0.25">
      <c r="A317" s="26" t="s">
        <v>325</v>
      </c>
      <c r="B317" s="220">
        <v>903</v>
      </c>
      <c r="C317" s="218" t="s">
        <v>315</v>
      </c>
      <c r="D317" s="218" t="s">
        <v>266</v>
      </c>
      <c r="E317" s="218" t="s">
        <v>343</v>
      </c>
      <c r="F317" s="218" t="s">
        <v>326</v>
      </c>
      <c r="G317" s="27">
        <f>393.3-82.6</f>
        <v>310.70000000000005</v>
      </c>
      <c r="H317" s="27">
        <v>151.1</v>
      </c>
      <c r="I317" s="27">
        <f t="shared" ref="I317:L317" si="297">393.3-82.6</f>
        <v>310.70000000000005</v>
      </c>
      <c r="J317" s="27">
        <f t="shared" si="297"/>
        <v>310.70000000000005</v>
      </c>
      <c r="K317" s="27">
        <f t="shared" si="297"/>
        <v>310.70000000000005</v>
      </c>
      <c r="L317" s="27">
        <f t="shared" si="297"/>
        <v>310.70000000000005</v>
      </c>
      <c r="M317" s="27">
        <f>393.3-82.6+10.8</f>
        <v>321.50000000000006</v>
      </c>
      <c r="N317" s="27">
        <v>174.4</v>
      </c>
      <c r="O317" s="27">
        <f t="shared" si="258"/>
        <v>54.245723172628303</v>
      </c>
    </row>
    <row r="318" spans="1:15" ht="110.25" x14ac:dyDescent="0.25">
      <c r="A318" s="33" t="s">
        <v>344</v>
      </c>
      <c r="B318" s="220">
        <v>903</v>
      </c>
      <c r="C318" s="218" t="s">
        <v>315</v>
      </c>
      <c r="D318" s="218" t="s">
        <v>266</v>
      </c>
      <c r="E318" s="218" t="s">
        <v>345</v>
      </c>
      <c r="F318" s="218"/>
      <c r="G318" s="27">
        <f>G319</f>
        <v>599.70000000000005</v>
      </c>
      <c r="H318" s="27">
        <f>H319</f>
        <v>537.4</v>
      </c>
      <c r="I318" s="27">
        <f t="shared" ref="I318:L319" si="298">I319</f>
        <v>599.70000000000005</v>
      </c>
      <c r="J318" s="27">
        <f t="shared" si="298"/>
        <v>599.70000000000005</v>
      </c>
      <c r="K318" s="27">
        <f t="shared" si="298"/>
        <v>599.70000000000005</v>
      </c>
      <c r="L318" s="27">
        <f t="shared" si="298"/>
        <v>599.70000000000005</v>
      </c>
      <c r="M318" s="27">
        <f t="shared" ref="M318:N319" si="299">M319</f>
        <v>589.5</v>
      </c>
      <c r="N318" s="27">
        <f t="shared" si="299"/>
        <v>361.8</v>
      </c>
      <c r="O318" s="27">
        <f t="shared" si="258"/>
        <v>61.374045801526719</v>
      </c>
    </row>
    <row r="319" spans="1:15" ht="47.25" x14ac:dyDescent="0.25">
      <c r="A319" s="26" t="s">
        <v>323</v>
      </c>
      <c r="B319" s="220">
        <v>903</v>
      </c>
      <c r="C319" s="218" t="s">
        <v>315</v>
      </c>
      <c r="D319" s="218" t="s">
        <v>266</v>
      </c>
      <c r="E319" s="218" t="s">
        <v>345</v>
      </c>
      <c r="F319" s="218" t="s">
        <v>324</v>
      </c>
      <c r="G319" s="27">
        <f>G320</f>
        <v>599.70000000000005</v>
      </c>
      <c r="H319" s="27">
        <f>H320</f>
        <v>537.4</v>
      </c>
      <c r="I319" s="27">
        <f t="shared" si="298"/>
        <v>599.70000000000005</v>
      </c>
      <c r="J319" s="27">
        <f t="shared" si="298"/>
        <v>599.70000000000005</v>
      </c>
      <c r="K319" s="27">
        <f t="shared" si="298"/>
        <v>599.70000000000005</v>
      </c>
      <c r="L319" s="27">
        <f t="shared" si="298"/>
        <v>599.70000000000005</v>
      </c>
      <c r="M319" s="27">
        <f t="shared" si="299"/>
        <v>589.5</v>
      </c>
      <c r="N319" s="27">
        <f t="shared" si="299"/>
        <v>361.8</v>
      </c>
      <c r="O319" s="27">
        <f t="shared" si="258"/>
        <v>61.374045801526719</v>
      </c>
    </row>
    <row r="320" spans="1:15" ht="15.75" x14ac:dyDescent="0.25">
      <c r="A320" s="26" t="s">
        <v>325</v>
      </c>
      <c r="B320" s="220">
        <v>903</v>
      </c>
      <c r="C320" s="218" t="s">
        <v>315</v>
      </c>
      <c r="D320" s="218" t="s">
        <v>266</v>
      </c>
      <c r="E320" s="218" t="s">
        <v>345</v>
      </c>
      <c r="F320" s="218" t="s">
        <v>326</v>
      </c>
      <c r="G320" s="27">
        <f>600-0.3</f>
        <v>599.70000000000005</v>
      </c>
      <c r="H320" s="27">
        <v>537.4</v>
      </c>
      <c r="I320" s="27">
        <f t="shared" ref="I320:L320" si="300">600-0.3</f>
        <v>599.70000000000005</v>
      </c>
      <c r="J320" s="27">
        <f t="shared" si="300"/>
        <v>599.70000000000005</v>
      </c>
      <c r="K320" s="27">
        <f t="shared" si="300"/>
        <v>599.70000000000005</v>
      </c>
      <c r="L320" s="27">
        <f t="shared" si="300"/>
        <v>599.70000000000005</v>
      </c>
      <c r="M320" s="27">
        <f>600-0.3-10.2</f>
        <v>589.5</v>
      </c>
      <c r="N320" s="27">
        <v>361.8</v>
      </c>
      <c r="O320" s="27">
        <f t="shared" si="258"/>
        <v>61.374045801526719</v>
      </c>
    </row>
    <row r="321" spans="1:17" ht="15.75" hidden="1" customHeight="1" x14ac:dyDescent="0.25">
      <c r="A321" s="24" t="s">
        <v>346</v>
      </c>
      <c r="B321" s="217">
        <v>903</v>
      </c>
      <c r="C321" s="219" t="s">
        <v>315</v>
      </c>
      <c r="D321" s="219" t="s">
        <v>270</v>
      </c>
      <c r="E321" s="219"/>
      <c r="F321" s="219"/>
      <c r="G321" s="27">
        <f t="shared" ref="G321:L323" si="301">G322</f>
        <v>0</v>
      </c>
      <c r="H321" s="27"/>
      <c r="I321" s="27">
        <f t="shared" si="301"/>
        <v>0</v>
      </c>
      <c r="J321" s="27">
        <f t="shared" si="301"/>
        <v>0</v>
      </c>
      <c r="K321" s="27">
        <f t="shared" si="301"/>
        <v>0</v>
      </c>
      <c r="L321" s="27">
        <f t="shared" si="301"/>
        <v>0</v>
      </c>
      <c r="M321" s="27">
        <f t="shared" ref="M321:N325" si="302">M322</f>
        <v>0</v>
      </c>
      <c r="N321" s="27">
        <f t="shared" si="302"/>
        <v>0</v>
      </c>
      <c r="O321" s="27" t="e">
        <f t="shared" si="258"/>
        <v>#DIV/0!</v>
      </c>
    </row>
    <row r="322" spans="1:17" ht="15.75" hidden="1" customHeight="1" x14ac:dyDescent="0.25">
      <c r="A322" s="26" t="s">
        <v>172</v>
      </c>
      <c r="B322" s="220">
        <v>903</v>
      </c>
      <c r="C322" s="218" t="s">
        <v>315</v>
      </c>
      <c r="D322" s="218" t="s">
        <v>270</v>
      </c>
      <c r="E322" s="218" t="s">
        <v>173</v>
      </c>
      <c r="F322" s="218"/>
      <c r="G322" s="27">
        <f t="shared" si="301"/>
        <v>0</v>
      </c>
      <c r="H322" s="27"/>
      <c r="I322" s="27">
        <f t="shared" si="301"/>
        <v>0</v>
      </c>
      <c r="J322" s="27">
        <f t="shared" si="301"/>
        <v>0</v>
      </c>
      <c r="K322" s="27">
        <f t="shared" si="301"/>
        <v>0</v>
      </c>
      <c r="L322" s="27">
        <f t="shared" si="301"/>
        <v>0</v>
      </c>
      <c r="M322" s="27">
        <f t="shared" si="302"/>
        <v>0</v>
      </c>
      <c r="N322" s="27">
        <f t="shared" si="302"/>
        <v>0</v>
      </c>
      <c r="O322" s="27" t="e">
        <f t="shared" si="258"/>
        <v>#DIV/0!</v>
      </c>
    </row>
    <row r="323" spans="1:17" ht="31.5" hidden="1" customHeight="1" x14ac:dyDescent="0.25">
      <c r="A323" s="26" t="s">
        <v>236</v>
      </c>
      <c r="B323" s="220">
        <v>903</v>
      </c>
      <c r="C323" s="218" t="s">
        <v>315</v>
      </c>
      <c r="D323" s="218" t="s">
        <v>270</v>
      </c>
      <c r="E323" s="218" t="s">
        <v>237</v>
      </c>
      <c r="F323" s="218"/>
      <c r="G323" s="27">
        <f t="shared" si="301"/>
        <v>0</v>
      </c>
      <c r="H323" s="27"/>
      <c r="I323" s="27">
        <f t="shared" si="301"/>
        <v>0</v>
      </c>
      <c r="J323" s="27">
        <f t="shared" si="301"/>
        <v>0</v>
      </c>
      <c r="K323" s="27">
        <f t="shared" si="301"/>
        <v>0</v>
      </c>
      <c r="L323" s="27">
        <f t="shared" si="301"/>
        <v>0</v>
      </c>
      <c r="M323" s="27">
        <f t="shared" si="302"/>
        <v>0</v>
      </c>
      <c r="N323" s="27">
        <f t="shared" si="302"/>
        <v>0</v>
      </c>
      <c r="O323" s="27" t="e">
        <f t="shared" si="258"/>
        <v>#DIV/0!</v>
      </c>
    </row>
    <row r="324" spans="1:17" ht="31.5" hidden="1" customHeight="1" x14ac:dyDescent="0.25">
      <c r="A324" s="38" t="s">
        <v>347</v>
      </c>
      <c r="B324" s="226">
        <v>903</v>
      </c>
      <c r="C324" s="218" t="s">
        <v>315</v>
      </c>
      <c r="D324" s="218" t="s">
        <v>270</v>
      </c>
      <c r="E324" s="218" t="s">
        <v>348</v>
      </c>
      <c r="F324" s="218"/>
      <c r="G324" s="27">
        <f t="shared" ref="G324:L325" si="303">G325</f>
        <v>0</v>
      </c>
      <c r="H324" s="27"/>
      <c r="I324" s="27">
        <f t="shared" si="303"/>
        <v>0</v>
      </c>
      <c r="J324" s="27">
        <f t="shared" si="303"/>
        <v>0</v>
      </c>
      <c r="K324" s="27">
        <f t="shared" si="303"/>
        <v>0</v>
      </c>
      <c r="L324" s="27">
        <f t="shared" si="303"/>
        <v>0</v>
      </c>
      <c r="M324" s="27">
        <f t="shared" si="302"/>
        <v>0</v>
      </c>
      <c r="N324" s="27">
        <f t="shared" si="302"/>
        <v>0</v>
      </c>
      <c r="O324" s="27" t="e">
        <f t="shared" si="258"/>
        <v>#DIV/0!</v>
      </c>
    </row>
    <row r="325" spans="1:17" ht="15.75" hidden="1" customHeight="1" x14ac:dyDescent="0.25">
      <c r="A325" s="26" t="s">
        <v>186</v>
      </c>
      <c r="B325" s="220">
        <v>903</v>
      </c>
      <c r="C325" s="218" t="s">
        <v>315</v>
      </c>
      <c r="D325" s="218" t="s">
        <v>270</v>
      </c>
      <c r="E325" s="218" t="s">
        <v>348</v>
      </c>
      <c r="F325" s="218" t="s">
        <v>196</v>
      </c>
      <c r="G325" s="27">
        <f t="shared" si="303"/>
        <v>0</v>
      </c>
      <c r="H325" s="27"/>
      <c r="I325" s="27">
        <f t="shared" si="303"/>
        <v>0</v>
      </c>
      <c r="J325" s="27">
        <f t="shared" si="303"/>
        <v>0</v>
      </c>
      <c r="K325" s="27">
        <f t="shared" si="303"/>
        <v>0</v>
      </c>
      <c r="L325" s="27">
        <f t="shared" si="303"/>
        <v>0</v>
      </c>
      <c r="M325" s="27">
        <f t="shared" si="302"/>
        <v>0</v>
      </c>
      <c r="N325" s="27">
        <f t="shared" si="302"/>
        <v>0</v>
      </c>
      <c r="O325" s="27" t="e">
        <f t="shared" si="258"/>
        <v>#DIV/0!</v>
      </c>
    </row>
    <row r="326" spans="1:17" ht="63" hidden="1" customHeight="1" x14ac:dyDescent="0.25">
      <c r="A326" s="26" t="s">
        <v>235</v>
      </c>
      <c r="B326" s="220">
        <v>903</v>
      </c>
      <c r="C326" s="218" t="s">
        <v>315</v>
      </c>
      <c r="D326" s="218" t="s">
        <v>270</v>
      </c>
      <c r="E326" s="218" t="s">
        <v>348</v>
      </c>
      <c r="F326" s="218" t="s">
        <v>211</v>
      </c>
      <c r="G326" s="27"/>
      <c r="H326" s="27"/>
      <c r="I326" s="27"/>
      <c r="J326" s="27"/>
      <c r="K326" s="27"/>
      <c r="L326" s="27"/>
      <c r="M326" s="27"/>
      <c r="N326" s="27"/>
      <c r="O326" s="27" t="e">
        <f t="shared" si="258"/>
        <v>#DIV/0!</v>
      </c>
    </row>
    <row r="327" spans="1:17" ht="15.75" x14ac:dyDescent="0.25">
      <c r="A327" s="24" t="s">
        <v>349</v>
      </c>
      <c r="B327" s="217">
        <v>903</v>
      </c>
      <c r="C327" s="219" t="s">
        <v>350</v>
      </c>
      <c r="D327" s="219"/>
      <c r="E327" s="219"/>
      <c r="F327" s="219"/>
      <c r="G327" s="22">
        <f t="shared" ref="G327:M327" si="304">G328+G414</f>
        <v>61699.8</v>
      </c>
      <c r="H327" s="22">
        <f t="shared" si="304"/>
        <v>54459.8</v>
      </c>
      <c r="I327" s="22">
        <f t="shared" si="304"/>
        <v>62134.184313725498</v>
      </c>
      <c r="J327" s="22">
        <f t="shared" si="304"/>
        <v>72053.100000000006</v>
      </c>
      <c r="K327" s="22">
        <f t="shared" si="304"/>
        <v>73293.100000000006</v>
      </c>
      <c r="L327" s="22">
        <f t="shared" si="304"/>
        <v>74048.899999999994</v>
      </c>
      <c r="M327" s="22">
        <f t="shared" si="304"/>
        <v>59789</v>
      </c>
      <c r="N327" s="22">
        <f t="shared" ref="N327" si="305">N328+N414</f>
        <v>48414.899999999994</v>
      </c>
      <c r="O327" s="22">
        <f t="shared" si="258"/>
        <v>80.9762665373229</v>
      </c>
    </row>
    <row r="328" spans="1:17" ht="15.75" x14ac:dyDescent="0.25">
      <c r="A328" s="24" t="s">
        <v>351</v>
      </c>
      <c r="B328" s="217">
        <v>903</v>
      </c>
      <c r="C328" s="219" t="s">
        <v>350</v>
      </c>
      <c r="D328" s="219" t="s">
        <v>169</v>
      </c>
      <c r="E328" s="219"/>
      <c r="F328" s="219"/>
      <c r="G328" s="22">
        <f t="shared" ref="G328:M328" si="306">G329+G393+G389</f>
        <v>44421.000000000007</v>
      </c>
      <c r="H328" s="22">
        <f t="shared" si="306"/>
        <v>41967.9</v>
      </c>
      <c r="I328" s="22">
        <f t="shared" si="306"/>
        <v>44421.000000000007</v>
      </c>
      <c r="J328" s="22">
        <f t="shared" si="306"/>
        <v>52460.700000000004</v>
      </c>
      <c r="K328" s="22">
        <f t="shared" si="306"/>
        <v>53585</v>
      </c>
      <c r="L328" s="22">
        <f t="shared" si="306"/>
        <v>54232.700000000004</v>
      </c>
      <c r="M328" s="22">
        <f t="shared" si="306"/>
        <v>43156.6</v>
      </c>
      <c r="N328" s="22">
        <f t="shared" ref="N328" si="307">N329+N393+N389</f>
        <v>34911.399999999994</v>
      </c>
      <c r="O328" s="22">
        <f t="shared" si="258"/>
        <v>80.894695133536914</v>
      </c>
    </row>
    <row r="329" spans="1:17" ht="47.25" x14ac:dyDescent="0.25">
      <c r="A329" s="26" t="s">
        <v>317</v>
      </c>
      <c r="B329" s="220">
        <v>903</v>
      </c>
      <c r="C329" s="218" t="s">
        <v>350</v>
      </c>
      <c r="D329" s="218" t="s">
        <v>169</v>
      </c>
      <c r="E329" s="218" t="s">
        <v>318</v>
      </c>
      <c r="F329" s="218"/>
      <c r="G329" s="27">
        <f>G330+G359</f>
        <v>42083.100000000006</v>
      </c>
      <c r="H329" s="27">
        <f t="shared" ref="H329" si="308">H330+H359</f>
        <v>40923.300000000003</v>
      </c>
      <c r="I329" s="27">
        <f t="shared" ref="I329:L329" si="309">I330+I359</f>
        <v>42083.100000000006</v>
      </c>
      <c r="J329" s="27">
        <f>J330+J359</f>
        <v>50326.8</v>
      </c>
      <c r="K329" s="27">
        <f t="shared" si="309"/>
        <v>51451.1</v>
      </c>
      <c r="L329" s="27">
        <f t="shared" si="309"/>
        <v>52098.8</v>
      </c>
      <c r="M329" s="27">
        <f t="shared" ref="M329:N329" si="310">M330+M359</f>
        <v>41053.5</v>
      </c>
      <c r="N329" s="27">
        <f t="shared" si="310"/>
        <v>33339.199999999997</v>
      </c>
      <c r="O329" s="27">
        <f t="shared" si="258"/>
        <v>81.20915390892371</v>
      </c>
    </row>
    <row r="330" spans="1:17" ht="63" x14ac:dyDescent="0.25">
      <c r="A330" s="26" t="s">
        <v>352</v>
      </c>
      <c r="B330" s="220">
        <v>903</v>
      </c>
      <c r="C330" s="218" t="s">
        <v>350</v>
      </c>
      <c r="D330" s="218" t="s">
        <v>169</v>
      </c>
      <c r="E330" s="218" t="s">
        <v>353</v>
      </c>
      <c r="F330" s="218"/>
      <c r="G330" s="27">
        <f>G331+G352+G334+G337+G340+G343+G346+G349</f>
        <v>25422.5</v>
      </c>
      <c r="H330" s="27">
        <f t="shared" ref="H330" si="311">H331+H352+H334+H337+H340+H343+H346+H349</f>
        <v>24267.699999999997</v>
      </c>
      <c r="I330" s="27">
        <f t="shared" ref="I330:L330" si="312">I331+I352+I334+I337+I340+I343+I346+I349</f>
        <v>25422.5</v>
      </c>
      <c r="J330" s="27">
        <f t="shared" si="312"/>
        <v>30257.599999999999</v>
      </c>
      <c r="K330" s="27">
        <f t="shared" si="312"/>
        <v>31110.899999999998</v>
      </c>
      <c r="L330" s="27">
        <f t="shared" si="312"/>
        <v>31536.199999999997</v>
      </c>
      <c r="M330" s="27">
        <f t="shared" ref="M330:N330" si="313">M331+M352+M334+M337+M340+M343+M346+M349</f>
        <v>23859.3</v>
      </c>
      <c r="N330" s="27">
        <f t="shared" si="313"/>
        <v>19307.499999999996</v>
      </c>
      <c r="O330" s="27">
        <f t="shared" si="258"/>
        <v>80.922323789884857</v>
      </c>
    </row>
    <row r="331" spans="1:17" ht="52.5" customHeight="1" x14ac:dyDescent="0.25">
      <c r="A331" s="26" t="s">
        <v>354</v>
      </c>
      <c r="B331" s="220">
        <v>903</v>
      </c>
      <c r="C331" s="218" t="s">
        <v>350</v>
      </c>
      <c r="D331" s="218" t="s">
        <v>169</v>
      </c>
      <c r="E331" s="218" t="s">
        <v>355</v>
      </c>
      <c r="F331" s="218"/>
      <c r="G331" s="27">
        <f>G332</f>
        <v>23654.800000000003</v>
      </c>
      <c r="H331" s="27">
        <f t="shared" ref="H331:L331" si="314">H332</f>
        <v>22500</v>
      </c>
      <c r="I331" s="27">
        <f t="shared" si="314"/>
        <v>23654.800000000003</v>
      </c>
      <c r="J331" s="27">
        <f t="shared" si="314"/>
        <v>26579.5</v>
      </c>
      <c r="K331" s="27">
        <f t="shared" si="314"/>
        <v>27182.799999999999</v>
      </c>
      <c r="L331" s="27">
        <f t="shared" si="314"/>
        <v>27608.1</v>
      </c>
      <c r="M331" s="27">
        <f t="shared" ref="M331:N332" si="315">M332</f>
        <v>21919.9</v>
      </c>
      <c r="N331" s="27">
        <f t="shared" si="315"/>
        <v>18409.3</v>
      </c>
      <c r="O331" s="27">
        <f t="shared" si="258"/>
        <v>83.984415987299201</v>
      </c>
    </row>
    <row r="332" spans="1:17" ht="47.25" x14ac:dyDescent="0.25">
      <c r="A332" s="26" t="s">
        <v>323</v>
      </c>
      <c r="B332" s="220">
        <v>903</v>
      </c>
      <c r="C332" s="218" t="s">
        <v>350</v>
      </c>
      <c r="D332" s="218" t="s">
        <v>169</v>
      </c>
      <c r="E332" s="218" t="s">
        <v>355</v>
      </c>
      <c r="F332" s="218" t="s">
        <v>324</v>
      </c>
      <c r="G332" s="27">
        <f t="shared" ref="G332:L332" si="316">G333</f>
        <v>23654.800000000003</v>
      </c>
      <c r="H332" s="27">
        <f t="shared" si="316"/>
        <v>22500</v>
      </c>
      <c r="I332" s="27">
        <f t="shared" si="316"/>
        <v>23654.800000000003</v>
      </c>
      <c r="J332" s="27">
        <f t="shared" si="316"/>
        <v>26579.5</v>
      </c>
      <c r="K332" s="27">
        <f t="shared" si="316"/>
        <v>27182.799999999999</v>
      </c>
      <c r="L332" s="27">
        <f t="shared" si="316"/>
        <v>27608.1</v>
      </c>
      <c r="M332" s="27">
        <f t="shared" si="315"/>
        <v>21919.9</v>
      </c>
      <c r="N332" s="27">
        <f t="shared" si="315"/>
        <v>18409.3</v>
      </c>
      <c r="O332" s="27">
        <f t="shared" ref="O332:O395" si="317">N332/M332*100</f>
        <v>83.984415987299201</v>
      </c>
    </row>
    <row r="333" spans="1:17" ht="15.75" x14ac:dyDescent="0.25">
      <c r="A333" s="26" t="s">
        <v>325</v>
      </c>
      <c r="B333" s="220">
        <v>903</v>
      </c>
      <c r="C333" s="218" t="s">
        <v>350</v>
      </c>
      <c r="D333" s="218" t="s">
        <v>169</v>
      </c>
      <c r="E333" s="218" t="s">
        <v>355</v>
      </c>
      <c r="F333" s="218" t="s">
        <v>326</v>
      </c>
      <c r="G333" s="28">
        <f>25081.9+2671.4-3136.8-961.7</f>
        <v>23654.800000000003</v>
      </c>
      <c r="H333" s="28">
        <v>22500</v>
      </c>
      <c r="I333" s="28">
        <f t="shared" ref="I333" si="318">25081.9+2671.4-3136.8-961.7</f>
        <v>23654.800000000003</v>
      </c>
      <c r="J333" s="28">
        <v>26579.5</v>
      </c>
      <c r="K333" s="28">
        <v>27182.799999999999</v>
      </c>
      <c r="L333" s="28">
        <v>27608.1</v>
      </c>
      <c r="M333" s="28">
        <f>23616.9-340-5.8-310-100-941.2</f>
        <v>21919.9</v>
      </c>
      <c r="N333" s="28">
        <v>18409.3</v>
      </c>
      <c r="O333" s="27">
        <f t="shared" si="317"/>
        <v>83.984415987299201</v>
      </c>
      <c r="P333" s="294"/>
      <c r="Q333" s="295"/>
    </row>
    <row r="334" spans="1:17" ht="47.25" x14ac:dyDescent="0.25">
      <c r="A334" s="26" t="s">
        <v>794</v>
      </c>
      <c r="B334" s="220">
        <v>903</v>
      </c>
      <c r="C334" s="218" t="s">
        <v>350</v>
      </c>
      <c r="D334" s="218" t="s">
        <v>169</v>
      </c>
      <c r="E334" s="218" t="s">
        <v>356</v>
      </c>
      <c r="F334" s="218"/>
      <c r="G334" s="27">
        <f t="shared" ref="G334:L335" si="319">G335</f>
        <v>96.1</v>
      </c>
      <c r="H334" s="27">
        <f t="shared" si="319"/>
        <v>96.1</v>
      </c>
      <c r="I334" s="27">
        <f t="shared" si="319"/>
        <v>96.1</v>
      </c>
      <c r="J334" s="27">
        <f t="shared" si="319"/>
        <v>650</v>
      </c>
      <c r="K334" s="27">
        <f t="shared" si="319"/>
        <v>800</v>
      </c>
      <c r="L334" s="27">
        <f t="shared" si="319"/>
        <v>900</v>
      </c>
      <c r="M334" s="27">
        <f t="shared" ref="M334:N335" si="320">M335</f>
        <v>1086.3</v>
      </c>
      <c r="N334" s="27">
        <f t="shared" si="320"/>
        <v>145.1</v>
      </c>
      <c r="O334" s="27">
        <f t="shared" si="317"/>
        <v>13.357267789745006</v>
      </c>
    </row>
    <row r="335" spans="1:17" ht="47.25" x14ac:dyDescent="0.25">
      <c r="A335" s="26" t="s">
        <v>323</v>
      </c>
      <c r="B335" s="220">
        <v>903</v>
      </c>
      <c r="C335" s="218" t="s">
        <v>350</v>
      </c>
      <c r="D335" s="218" t="s">
        <v>169</v>
      </c>
      <c r="E335" s="218" t="s">
        <v>356</v>
      </c>
      <c r="F335" s="218" t="s">
        <v>324</v>
      </c>
      <c r="G335" s="27">
        <f t="shared" si="319"/>
        <v>96.1</v>
      </c>
      <c r="H335" s="27">
        <f t="shared" si="319"/>
        <v>96.1</v>
      </c>
      <c r="I335" s="27">
        <f t="shared" si="319"/>
        <v>96.1</v>
      </c>
      <c r="J335" s="27">
        <f t="shared" si="319"/>
        <v>650</v>
      </c>
      <c r="K335" s="27">
        <f t="shared" si="319"/>
        <v>800</v>
      </c>
      <c r="L335" s="27">
        <f t="shared" si="319"/>
        <v>900</v>
      </c>
      <c r="M335" s="27">
        <f t="shared" si="320"/>
        <v>1086.3</v>
      </c>
      <c r="N335" s="27">
        <f t="shared" si="320"/>
        <v>145.1</v>
      </c>
      <c r="O335" s="27">
        <f t="shared" si="317"/>
        <v>13.357267789745006</v>
      </c>
    </row>
    <row r="336" spans="1:17" ht="15.75" x14ac:dyDescent="0.25">
      <c r="A336" s="26" t="s">
        <v>325</v>
      </c>
      <c r="B336" s="220">
        <v>903</v>
      </c>
      <c r="C336" s="218" t="s">
        <v>350</v>
      </c>
      <c r="D336" s="218" t="s">
        <v>169</v>
      </c>
      <c r="E336" s="218" t="s">
        <v>356</v>
      </c>
      <c r="F336" s="218" t="s">
        <v>326</v>
      </c>
      <c r="G336" s="27">
        <v>96.1</v>
      </c>
      <c r="H336" s="27">
        <v>96.1</v>
      </c>
      <c r="I336" s="27">
        <v>96.1</v>
      </c>
      <c r="J336" s="27">
        <v>650</v>
      </c>
      <c r="K336" s="27">
        <v>800</v>
      </c>
      <c r="L336" s="27">
        <v>900</v>
      </c>
      <c r="M336" s="27">
        <f>145.1+941.2</f>
        <v>1086.3</v>
      </c>
      <c r="N336" s="27">
        <v>145.1</v>
      </c>
      <c r="O336" s="27">
        <f t="shared" si="317"/>
        <v>13.357267789745006</v>
      </c>
    </row>
    <row r="337" spans="1:15" ht="47.25" hidden="1" x14ac:dyDescent="0.25">
      <c r="A337" s="26" t="s">
        <v>329</v>
      </c>
      <c r="B337" s="220">
        <v>903</v>
      </c>
      <c r="C337" s="218" t="s">
        <v>350</v>
      </c>
      <c r="D337" s="218" t="s">
        <v>169</v>
      </c>
      <c r="E337" s="218" t="s">
        <v>357</v>
      </c>
      <c r="F337" s="218"/>
      <c r="G337" s="27">
        <f t="shared" ref="G337:L338" si="321">G338</f>
        <v>142.1</v>
      </c>
      <c r="H337" s="27">
        <f t="shared" si="321"/>
        <v>142.1</v>
      </c>
      <c r="I337" s="27">
        <f t="shared" si="321"/>
        <v>142.1</v>
      </c>
      <c r="J337" s="27">
        <f t="shared" si="321"/>
        <v>2000</v>
      </c>
      <c r="K337" s="27">
        <f t="shared" si="321"/>
        <v>1500</v>
      </c>
      <c r="L337" s="27">
        <f t="shared" si="321"/>
        <v>2000</v>
      </c>
      <c r="M337" s="27">
        <f t="shared" ref="M337:N338" si="322">M338</f>
        <v>0</v>
      </c>
      <c r="N337" s="27">
        <f t="shared" si="322"/>
        <v>0</v>
      </c>
      <c r="O337" s="27" t="e">
        <f t="shared" si="317"/>
        <v>#DIV/0!</v>
      </c>
    </row>
    <row r="338" spans="1:15" ht="47.25" hidden="1" x14ac:dyDescent="0.25">
      <c r="A338" s="26" t="s">
        <v>323</v>
      </c>
      <c r="B338" s="220">
        <v>903</v>
      </c>
      <c r="C338" s="218" t="s">
        <v>350</v>
      </c>
      <c r="D338" s="218" t="s">
        <v>169</v>
      </c>
      <c r="E338" s="218" t="s">
        <v>357</v>
      </c>
      <c r="F338" s="218" t="s">
        <v>324</v>
      </c>
      <c r="G338" s="27">
        <f>G339</f>
        <v>142.1</v>
      </c>
      <c r="H338" s="27">
        <f>H339</f>
        <v>142.1</v>
      </c>
      <c r="I338" s="27">
        <f t="shared" si="321"/>
        <v>142.1</v>
      </c>
      <c r="J338" s="27">
        <f t="shared" si="321"/>
        <v>2000</v>
      </c>
      <c r="K338" s="27">
        <f t="shared" si="321"/>
        <v>1500</v>
      </c>
      <c r="L338" s="27">
        <f t="shared" si="321"/>
        <v>2000</v>
      </c>
      <c r="M338" s="27">
        <f t="shared" si="322"/>
        <v>0</v>
      </c>
      <c r="N338" s="27">
        <f t="shared" si="322"/>
        <v>0</v>
      </c>
      <c r="O338" s="27" t="e">
        <f t="shared" si="317"/>
        <v>#DIV/0!</v>
      </c>
    </row>
    <row r="339" spans="1:15" ht="15.75" hidden="1" x14ac:dyDescent="0.25">
      <c r="A339" s="26" t="s">
        <v>325</v>
      </c>
      <c r="B339" s="220">
        <v>903</v>
      </c>
      <c r="C339" s="218" t="s">
        <v>350</v>
      </c>
      <c r="D339" s="218" t="s">
        <v>169</v>
      </c>
      <c r="E339" s="218" t="s">
        <v>357</v>
      </c>
      <c r="F339" s="218" t="s">
        <v>326</v>
      </c>
      <c r="G339" s="27">
        <v>142.1</v>
      </c>
      <c r="H339" s="27">
        <v>142.1</v>
      </c>
      <c r="I339" s="27">
        <v>142.1</v>
      </c>
      <c r="J339" s="27">
        <v>2000</v>
      </c>
      <c r="K339" s="27">
        <v>1500</v>
      </c>
      <c r="L339" s="27">
        <v>2000</v>
      </c>
      <c r="M339" s="27">
        <v>0</v>
      </c>
      <c r="N339" s="27">
        <v>0</v>
      </c>
      <c r="O339" s="27" t="e">
        <f t="shared" si="317"/>
        <v>#DIV/0!</v>
      </c>
    </row>
    <row r="340" spans="1:15" ht="15.75" x14ac:dyDescent="0.25">
      <c r="A340" s="26" t="s">
        <v>358</v>
      </c>
      <c r="B340" s="220">
        <v>903</v>
      </c>
      <c r="C340" s="218" t="s">
        <v>350</v>
      </c>
      <c r="D340" s="218" t="s">
        <v>169</v>
      </c>
      <c r="E340" s="218" t="s">
        <v>359</v>
      </c>
      <c r="F340" s="218"/>
      <c r="G340" s="27">
        <f>G341</f>
        <v>1529.5</v>
      </c>
      <c r="H340" s="27">
        <f>H341</f>
        <v>1529.5</v>
      </c>
      <c r="I340" s="27">
        <f t="shared" ref="I340:L340" si="323">I341</f>
        <v>1529.5</v>
      </c>
      <c r="J340" s="27">
        <f t="shared" si="323"/>
        <v>0</v>
      </c>
      <c r="K340" s="27">
        <f t="shared" si="323"/>
        <v>0</v>
      </c>
      <c r="L340" s="27">
        <f t="shared" si="323"/>
        <v>0</v>
      </c>
      <c r="M340" s="27">
        <f t="shared" ref="M340:N341" si="324">M341</f>
        <v>100</v>
      </c>
      <c r="N340" s="27">
        <f t="shared" si="324"/>
        <v>0</v>
      </c>
      <c r="O340" s="27">
        <f t="shared" si="317"/>
        <v>0</v>
      </c>
    </row>
    <row r="341" spans="1:15" ht="47.25" x14ac:dyDescent="0.25">
      <c r="A341" s="26" t="s">
        <v>323</v>
      </c>
      <c r="B341" s="220">
        <v>903</v>
      </c>
      <c r="C341" s="218" t="s">
        <v>350</v>
      </c>
      <c r="D341" s="218" t="s">
        <v>169</v>
      </c>
      <c r="E341" s="218" t="s">
        <v>359</v>
      </c>
      <c r="F341" s="218" t="s">
        <v>324</v>
      </c>
      <c r="G341" s="27">
        <f t="shared" ref="G341:L341" si="325">G342</f>
        <v>1529.5</v>
      </c>
      <c r="H341" s="27">
        <f t="shared" si="325"/>
        <v>1529.5</v>
      </c>
      <c r="I341" s="27">
        <f t="shared" si="325"/>
        <v>1529.5</v>
      </c>
      <c r="J341" s="27">
        <f t="shared" si="325"/>
        <v>0</v>
      </c>
      <c r="K341" s="27">
        <f t="shared" si="325"/>
        <v>0</v>
      </c>
      <c r="L341" s="27">
        <f t="shared" si="325"/>
        <v>0</v>
      </c>
      <c r="M341" s="27">
        <f t="shared" si="324"/>
        <v>100</v>
      </c>
      <c r="N341" s="27">
        <f t="shared" si="324"/>
        <v>0</v>
      </c>
      <c r="O341" s="27">
        <f t="shared" si="317"/>
        <v>0</v>
      </c>
    </row>
    <row r="342" spans="1:15" ht="15.75" x14ac:dyDescent="0.25">
      <c r="A342" s="26" t="s">
        <v>325</v>
      </c>
      <c r="B342" s="220">
        <v>903</v>
      </c>
      <c r="C342" s="218" t="s">
        <v>350</v>
      </c>
      <c r="D342" s="218" t="s">
        <v>169</v>
      </c>
      <c r="E342" s="218" t="s">
        <v>359</v>
      </c>
      <c r="F342" s="218" t="s">
        <v>326</v>
      </c>
      <c r="G342" s="27">
        <f>411.9+1117.6</f>
        <v>1529.5</v>
      </c>
      <c r="H342" s="27">
        <f>411.9+1117.6</f>
        <v>1529.5</v>
      </c>
      <c r="I342" s="27">
        <f t="shared" ref="I342" si="326">411.9+1117.6</f>
        <v>1529.5</v>
      </c>
      <c r="J342" s="27">
        <v>0</v>
      </c>
      <c r="K342" s="27">
        <v>0</v>
      </c>
      <c r="L342" s="27">
        <v>0</v>
      </c>
      <c r="M342" s="27">
        <f>100</f>
        <v>100</v>
      </c>
      <c r="N342" s="27">
        <v>0</v>
      </c>
      <c r="O342" s="27">
        <f t="shared" si="317"/>
        <v>0</v>
      </c>
    </row>
    <row r="343" spans="1:15" ht="31.5" hidden="1" customHeight="1" x14ac:dyDescent="0.25">
      <c r="A343" s="26" t="s">
        <v>335</v>
      </c>
      <c r="B343" s="220">
        <v>903</v>
      </c>
      <c r="C343" s="218" t="s">
        <v>350</v>
      </c>
      <c r="D343" s="218" t="s">
        <v>169</v>
      </c>
      <c r="E343" s="218" t="s">
        <v>336</v>
      </c>
      <c r="F343" s="218"/>
      <c r="G343" s="27">
        <f t="shared" ref="G343:L344" si="327">G344</f>
        <v>0</v>
      </c>
      <c r="H343" s="27">
        <v>0</v>
      </c>
      <c r="I343" s="27">
        <f t="shared" si="327"/>
        <v>0</v>
      </c>
      <c r="J343" s="27">
        <f t="shared" si="327"/>
        <v>275</v>
      </c>
      <c r="K343" s="27">
        <f t="shared" si="327"/>
        <v>275</v>
      </c>
      <c r="L343" s="27">
        <f t="shared" si="327"/>
        <v>275</v>
      </c>
      <c r="M343" s="27">
        <f t="shared" ref="M343:N344" si="328">M344</f>
        <v>0</v>
      </c>
      <c r="N343" s="27">
        <f t="shared" si="328"/>
        <v>0</v>
      </c>
      <c r="O343" s="27" t="e">
        <f t="shared" si="317"/>
        <v>#DIV/0!</v>
      </c>
    </row>
    <row r="344" spans="1:15" ht="47.25" hidden="1" customHeight="1" x14ac:dyDescent="0.25">
      <c r="A344" s="26" t="s">
        <v>323</v>
      </c>
      <c r="B344" s="220">
        <v>903</v>
      </c>
      <c r="C344" s="218" t="s">
        <v>350</v>
      </c>
      <c r="D344" s="218" t="s">
        <v>169</v>
      </c>
      <c r="E344" s="218" t="s">
        <v>336</v>
      </c>
      <c r="F344" s="218" t="s">
        <v>324</v>
      </c>
      <c r="G344" s="27">
        <f t="shared" si="327"/>
        <v>0</v>
      </c>
      <c r="H344" s="27">
        <v>0</v>
      </c>
      <c r="I344" s="27">
        <f t="shared" si="327"/>
        <v>0</v>
      </c>
      <c r="J344" s="27">
        <f t="shared" si="327"/>
        <v>275</v>
      </c>
      <c r="K344" s="27">
        <f t="shared" si="327"/>
        <v>275</v>
      </c>
      <c r="L344" s="27">
        <f t="shared" si="327"/>
        <v>275</v>
      </c>
      <c r="M344" s="27">
        <f t="shared" si="328"/>
        <v>0</v>
      </c>
      <c r="N344" s="27">
        <f t="shared" si="328"/>
        <v>0</v>
      </c>
      <c r="O344" s="27" t="e">
        <f t="shared" si="317"/>
        <v>#DIV/0!</v>
      </c>
    </row>
    <row r="345" spans="1:15" ht="15.75" hidden="1" customHeight="1" x14ac:dyDescent="0.25">
      <c r="A345" s="26" t="s">
        <v>325</v>
      </c>
      <c r="B345" s="220">
        <v>903</v>
      </c>
      <c r="C345" s="218" t="s">
        <v>350</v>
      </c>
      <c r="D345" s="218" t="s">
        <v>169</v>
      </c>
      <c r="E345" s="218" t="s">
        <v>336</v>
      </c>
      <c r="F345" s="218" t="s">
        <v>326</v>
      </c>
      <c r="G345" s="27">
        <v>0</v>
      </c>
      <c r="H345" s="27">
        <v>0</v>
      </c>
      <c r="I345" s="27">
        <v>0</v>
      </c>
      <c r="J345" s="27">
        <v>275</v>
      </c>
      <c r="K345" s="27">
        <v>275</v>
      </c>
      <c r="L345" s="27">
        <v>275</v>
      </c>
      <c r="M345" s="27">
        <v>0</v>
      </c>
      <c r="N345" s="27">
        <v>0</v>
      </c>
      <c r="O345" s="27" t="e">
        <f t="shared" si="317"/>
        <v>#DIV/0!</v>
      </c>
    </row>
    <row r="346" spans="1:15" ht="47.25" hidden="1" customHeight="1" x14ac:dyDescent="0.25">
      <c r="A346" s="37" t="s">
        <v>338</v>
      </c>
      <c r="B346" s="220">
        <v>903</v>
      </c>
      <c r="C346" s="218" t="s">
        <v>350</v>
      </c>
      <c r="D346" s="218" t="s">
        <v>169</v>
      </c>
      <c r="E346" s="218" t="s">
        <v>360</v>
      </c>
      <c r="F346" s="218"/>
      <c r="G346" s="27">
        <f t="shared" ref="G346:L347" si="329">G347</f>
        <v>0</v>
      </c>
      <c r="H346" s="27">
        <v>0</v>
      </c>
      <c r="I346" s="27">
        <f t="shared" si="329"/>
        <v>0</v>
      </c>
      <c r="J346" s="27">
        <f t="shared" si="329"/>
        <v>0</v>
      </c>
      <c r="K346" s="27">
        <f t="shared" si="329"/>
        <v>600</v>
      </c>
      <c r="L346" s="27">
        <f t="shared" si="329"/>
        <v>0</v>
      </c>
      <c r="M346" s="27">
        <f t="shared" ref="M346:N347" si="330">M347</f>
        <v>0</v>
      </c>
      <c r="N346" s="27">
        <f t="shared" si="330"/>
        <v>0</v>
      </c>
      <c r="O346" s="27" t="e">
        <f t="shared" si="317"/>
        <v>#DIV/0!</v>
      </c>
    </row>
    <row r="347" spans="1:15" ht="47.25" hidden="1" customHeight="1" x14ac:dyDescent="0.25">
      <c r="A347" s="26" t="s">
        <v>323</v>
      </c>
      <c r="B347" s="220">
        <v>903</v>
      </c>
      <c r="C347" s="218" t="s">
        <v>350</v>
      </c>
      <c r="D347" s="218" t="s">
        <v>169</v>
      </c>
      <c r="E347" s="218" t="s">
        <v>360</v>
      </c>
      <c r="F347" s="218" t="s">
        <v>324</v>
      </c>
      <c r="G347" s="27">
        <f t="shared" si="329"/>
        <v>0</v>
      </c>
      <c r="H347" s="27">
        <v>0</v>
      </c>
      <c r="I347" s="27">
        <f t="shared" si="329"/>
        <v>0</v>
      </c>
      <c r="J347" s="27">
        <f t="shared" si="329"/>
        <v>0</v>
      </c>
      <c r="K347" s="27">
        <f t="shared" si="329"/>
        <v>600</v>
      </c>
      <c r="L347" s="27">
        <f t="shared" si="329"/>
        <v>0</v>
      </c>
      <c r="M347" s="27">
        <f t="shared" si="330"/>
        <v>0</v>
      </c>
      <c r="N347" s="27">
        <f t="shared" si="330"/>
        <v>0</v>
      </c>
      <c r="O347" s="27" t="e">
        <f t="shared" si="317"/>
        <v>#DIV/0!</v>
      </c>
    </row>
    <row r="348" spans="1:15" ht="15.75" hidden="1" customHeight="1" x14ac:dyDescent="0.25">
      <c r="A348" s="26" t="s">
        <v>325</v>
      </c>
      <c r="B348" s="220">
        <v>903</v>
      </c>
      <c r="C348" s="218" t="s">
        <v>350</v>
      </c>
      <c r="D348" s="218" t="s">
        <v>169</v>
      </c>
      <c r="E348" s="218" t="s">
        <v>360</v>
      </c>
      <c r="F348" s="218" t="s">
        <v>326</v>
      </c>
      <c r="G348" s="27">
        <v>0</v>
      </c>
      <c r="H348" s="27">
        <v>0</v>
      </c>
      <c r="I348" s="27">
        <v>0</v>
      </c>
      <c r="J348" s="27">
        <v>0</v>
      </c>
      <c r="K348" s="27">
        <v>600</v>
      </c>
      <c r="L348" s="27">
        <v>0</v>
      </c>
      <c r="M348" s="27">
        <v>0</v>
      </c>
      <c r="N348" s="27">
        <v>0</v>
      </c>
      <c r="O348" s="27" t="e">
        <f t="shared" si="317"/>
        <v>#DIV/0!</v>
      </c>
    </row>
    <row r="349" spans="1:15" ht="44.25" customHeight="1" x14ac:dyDescent="0.25">
      <c r="A349" s="70" t="s">
        <v>861</v>
      </c>
      <c r="B349" s="220">
        <v>903</v>
      </c>
      <c r="C349" s="218" t="s">
        <v>350</v>
      </c>
      <c r="D349" s="218" t="s">
        <v>169</v>
      </c>
      <c r="E349" s="218" t="s">
        <v>866</v>
      </c>
      <c r="F349" s="218"/>
      <c r="G349" s="27">
        <f t="shared" ref="G349:G350" si="331">G350</f>
        <v>0</v>
      </c>
      <c r="H349" s="27">
        <v>0</v>
      </c>
      <c r="I349" s="27">
        <f>I350</f>
        <v>0</v>
      </c>
      <c r="J349" s="27">
        <f t="shared" ref="J349:L350" si="332">J350</f>
        <v>753.1</v>
      </c>
      <c r="K349" s="27">
        <f t="shared" si="332"/>
        <v>753.1</v>
      </c>
      <c r="L349" s="27">
        <f t="shared" si="332"/>
        <v>753.1</v>
      </c>
      <c r="M349" s="27">
        <f>M350</f>
        <v>753.1</v>
      </c>
      <c r="N349" s="27">
        <f>N350</f>
        <v>753.1</v>
      </c>
      <c r="O349" s="27">
        <f t="shared" si="317"/>
        <v>100</v>
      </c>
    </row>
    <row r="350" spans="1:15" ht="54.75" customHeight="1" x14ac:dyDescent="0.25">
      <c r="A350" s="31" t="s">
        <v>323</v>
      </c>
      <c r="B350" s="220">
        <v>903</v>
      </c>
      <c r="C350" s="218" t="s">
        <v>350</v>
      </c>
      <c r="D350" s="218" t="s">
        <v>169</v>
      </c>
      <c r="E350" s="218" t="s">
        <v>866</v>
      </c>
      <c r="F350" s="218" t="s">
        <v>324</v>
      </c>
      <c r="G350" s="27">
        <f t="shared" si="331"/>
        <v>0</v>
      </c>
      <c r="H350" s="27">
        <v>0</v>
      </c>
      <c r="I350" s="27">
        <f>I351</f>
        <v>0</v>
      </c>
      <c r="J350" s="27">
        <f t="shared" si="332"/>
        <v>753.1</v>
      </c>
      <c r="K350" s="27">
        <f t="shared" si="332"/>
        <v>753.1</v>
      </c>
      <c r="L350" s="27">
        <f t="shared" si="332"/>
        <v>753.1</v>
      </c>
      <c r="M350" s="27">
        <f>M351</f>
        <v>753.1</v>
      </c>
      <c r="N350" s="27">
        <f>N351</f>
        <v>753.1</v>
      </c>
      <c r="O350" s="27">
        <f t="shared" si="317"/>
        <v>100</v>
      </c>
    </row>
    <row r="351" spans="1:15" ht="15.75" customHeight="1" x14ac:dyDescent="0.25">
      <c r="A351" s="262" t="s">
        <v>325</v>
      </c>
      <c r="B351" s="220">
        <v>903</v>
      </c>
      <c r="C351" s="218" t="s">
        <v>350</v>
      </c>
      <c r="D351" s="218" t="s">
        <v>169</v>
      </c>
      <c r="E351" s="218" t="s">
        <v>866</v>
      </c>
      <c r="F351" s="218" t="s">
        <v>326</v>
      </c>
      <c r="G351" s="27">
        <v>0</v>
      </c>
      <c r="H351" s="27">
        <v>0</v>
      </c>
      <c r="I351" s="27">
        <v>0</v>
      </c>
      <c r="J351" s="27">
        <v>753.1</v>
      </c>
      <c r="K351" s="27">
        <v>753.1</v>
      </c>
      <c r="L351" s="27">
        <v>753.1</v>
      </c>
      <c r="M351" s="27">
        <v>753.1</v>
      </c>
      <c r="N351" s="27">
        <v>753.1</v>
      </c>
      <c r="O351" s="27">
        <f t="shared" si="317"/>
        <v>100</v>
      </c>
    </row>
    <row r="352" spans="1:15" ht="47.25" hidden="1" customHeight="1" x14ac:dyDescent="0.25">
      <c r="A352" s="26" t="s">
        <v>361</v>
      </c>
      <c r="B352" s="220">
        <v>903</v>
      </c>
      <c r="C352" s="218" t="s">
        <v>350</v>
      </c>
      <c r="D352" s="218" t="s">
        <v>169</v>
      </c>
      <c r="E352" s="218" t="s">
        <v>362</v>
      </c>
      <c r="F352" s="218"/>
      <c r="G352" s="27">
        <f t="shared" ref="G352:L352" si="333">G353+G355+G357</f>
        <v>0</v>
      </c>
      <c r="H352" s="27"/>
      <c r="I352" s="27">
        <f t="shared" si="333"/>
        <v>0</v>
      </c>
      <c r="J352" s="27">
        <f t="shared" si="333"/>
        <v>0</v>
      </c>
      <c r="K352" s="27">
        <f t="shared" si="333"/>
        <v>0</v>
      </c>
      <c r="L352" s="27">
        <f t="shared" si="333"/>
        <v>0</v>
      </c>
      <c r="M352" s="27">
        <f t="shared" ref="M352:N352" si="334">M353+M355+M357</f>
        <v>0</v>
      </c>
      <c r="N352" s="27">
        <f t="shared" si="334"/>
        <v>0</v>
      </c>
      <c r="O352" s="27" t="e">
        <f t="shared" si="317"/>
        <v>#DIV/0!</v>
      </c>
    </row>
    <row r="353" spans="1:15" ht="94.5" hidden="1" customHeight="1" x14ac:dyDescent="0.25">
      <c r="A353" s="26" t="s">
        <v>178</v>
      </c>
      <c r="B353" s="220">
        <v>903</v>
      </c>
      <c r="C353" s="218" t="s">
        <v>350</v>
      </c>
      <c r="D353" s="218" t="s">
        <v>169</v>
      </c>
      <c r="E353" s="218" t="s">
        <v>362</v>
      </c>
      <c r="F353" s="218" t="s">
        <v>179</v>
      </c>
      <c r="G353" s="27">
        <f t="shared" ref="G353:L353" si="335">G354</f>
        <v>0</v>
      </c>
      <c r="H353" s="27"/>
      <c r="I353" s="27">
        <f t="shared" si="335"/>
        <v>0</v>
      </c>
      <c r="J353" s="27">
        <f t="shared" si="335"/>
        <v>0</v>
      </c>
      <c r="K353" s="27">
        <f t="shared" si="335"/>
        <v>0</v>
      </c>
      <c r="L353" s="27">
        <f t="shared" si="335"/>
        <v>0</v>
      </c>
      <c r="M353" s="27">
        <f t="shared" ref="M353:N353" si="336">M354</f>
        <v>0</v>
      </c>
      <c r="N353" s="27">
        <f t="shared" si="336"/>
        <v>0</v>
      </c>
      <c r="O353" s="27" t="e">
        <f t="shared" si="317"/>
        <v>#DIV/0!</v>
      </c>
    </row>
    <row r="354" spans="1:15" ht="31.5" hidden="1" customHeight="1" x14ac:dyDescent="0.25">
      <c r="A354" s="26" t="s">
        <v>259</v>
      </c>
      <c r="B354" s="220">
        <v>903</v>
      </c>
      <c r="C354" s="218" t="s">
        <v>350</v>
      </c>
      <c r="D354" s="218" t="s">
        <v>169</v>
      </c>
      <c r="E354" s="218" t="s">
        <v>362</v>
      </c>
      <c r="F354" s="218" t="s">
        <v>260</v>
      </c>
      <c r="G354" s="28">
        <v>0</v>
      </c>
      <c r="H354" s="28"/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7" t="e">
        <f t="shared" si="317"/>
        <v>#DIV/0!</v>
      </c>
    </row>
    <row r="355" spans="1:15" ht="31.5" hidden="1" customHeight="1" x14ac:dyDescent="0.25">
      <c r="A355" s="26" t="s">
        <v>182</v>
      </c>
      <c r="B355" s="220">
        <v>903</v>
      </c>
      <c r="C355" s="218" t="s">
        <v>350</v>
      </c>
      <c r="D355" s="218" t="s">
        <v>169</v>
      </c>
      <c r="E355" s="218" t="s">
        <v>362</v>
      </c>
      <c r="F355" s="218" t="s">
        <v>183</v>
      </c>
      <c r="G355" s="27">
        <f t="shared" ref="G355:L355" si="337">G356</f>
        <v>0</v>
      </c>
      <c r="H355" s="27"/>
      <c r="I355" s="27">
        <f t="shared" si="337"/>
        <v>0</v>
      </c>
      <c r="J355" s="27">
        <f t="shared" si="337"/>
        <v>0</v>
      </c>
      <c r="K355" s="27">
        <f t="shared" si="337"/>
        <v>0</v>
      </c>
      <c r="L355" s="27">
        <f t="shared" si="337"/>
        <v>0</v>
      </c>
      <c r="M355" s="27">
        <f t="shared" ref="M355:N355" si="338">M356</f>
        <v>0</v>
      </c>
      <c r="N355" s="27">
        <f t="shared" si="338"/>
        <v>0</v>
      </c>
      <c r="O355" s="27" t="e">
        <f t="shared" si="317"/>
        <v>#DIV/0!</v>
      </c>
    </row>
    <row r="356" spans="1:15" ht="47.25" hidden="1" customHeight="1" x14ac:dyDescent="0.25">
      <c r="A356" s="26" t="s">
        <v>184</v>
      </c>
      <c r="B356" s="220">
        <v>903</v>
      </c>
      <c r="C356" s="218" t="s">
        <v>350</v>
      </c>
      <c r="D356" s="218" t="s">
        <v>169</v>
      </c>
      <c r="E356" s="218" t="s">
        <v>362</v>
      </c>
      <c r="F356" s="218" t="s">
        <v>185</v>
      </c>
      <c r="G356" s="28">
        <v>0</v>
      </c>
      <c r="H356" s="28"/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7" t="e">
        <f t="shared" si="317"/>
        <v>#DIV/0!</v>
      </c>
    </row>
    <row r="357" spans="1:15" ht="15.75" hidden="1" customHeight="1" x14ac:dyDescent="0.25">
      <c r="A357" s="26" t="s">
        <v>186</v>
      </c>
      <c r="B357" s="220">
        <v>903</v>
      </c>
      <c r="C357" s="218" t="s">
        <v>350</v>
      </c>
      <c r="D357" s="218" t="s">
        <v>169</v>
      </c>
      <c r="E357" s="218" t="s">
        <v>362</v>
      </c>
      <c r="F357" s="218" t="s">
        <v>196</v>
      </c>
      <c r="G357" s="27">
        <f t="shared" ref="G357:L357" si="339">G358</f>
        <v>0</v>
      </c>
      <c r="H357" s="27"/>
      <c r="I357" s="27">
        <f t="shared" si="339"/>
        <v>0</v>
      </c>
      <c r="J357" s="27">
        <f t="shared" si="339"/>
        <v>0</v>
      </c>
      <c r="K357" s="27">
        <f t="shared" si="339"/>
        <v>0</v>
      </c>
      <c r="L357" s="27">
        <f t="shared" si="339"/>
        <v>0</v>
      </c>
      <c r="M357" s="27">
        <f t="shared" ref="M357:N357" si="340">M358</f>
        <v>0</v>
      </c>
      <c r="N357" s="27">
        <f t="shared" si="340"/>
        <v>0</v>
      </c>
      <c r="O357" s="27" t="e">
        <f t="shared" si="317"/>
        <v>#DIV/0!</v>
      </c>
    </row>
    <row r="358" spans="1:15" ht="15.75" hidden="1" customHeight="1" x14ac:dyDescent="0.25">
      <c r="A358" s="26" t="s">
        <v>188</v>
      </c>
      <c r="B358" s="220">
        <v>903</v>
      </c>
      <c r="C358" s="218" t="s">
        <v>350</v>
      </c>
      <c r="D358" s="218" t="s">
        <v>169</v>
      </c>
      <c r="E358" s="218" t="s">
        <v>362</v>
      </c>
      <c r="F358" s="218" t="s">
        <v>189</v>
      </c>
      <c r="G358" s="27">
        <v>0</v>
      </c>
      <c r="H358" s="27"/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 t="e">
        <f t="shared" si="317"/>
        <v>#DIV/0!</v>
      </c>
    </row>
    <row r="359" spans="1:15" ht="47.25" x14ac:dyDescent="0.25">
      <c r="A359" s="26" t="s">
        <v>363</v>
      </c>
      <c r="B359" s="220">
        <v>903</v>
      </c>
      <c r="C359" s="218" t="s">
        <v>350</v>
      </c>
      <c r="D359" s="218" t="s">
        <v>169</v>
      </c>
      <c r="E359" s="218" t="s">
        <v>364</v>
      </c>
      <c r="F359" s="218"/>
      <c r="G359" s="27">
        <f>G360+G383+G371+G374+G377+G380+G363+G368+G386</f>
        <v>16660.600000000002</v>
      </c>
      <c r="H359" s="27">
        <f>H360+H383+H371+H374+H377+H380+H363+H368</f>
        <v>16655.600000000002</v>
      </c>
      <c r="I359" s="27">
        <f t="shared" ref="I359:L359" si="341">I360+I383+I371+I374+I377+I380+I363+I368+I386</f>
        <v>16660.600000000002</v>
      </c>
      <c r="J359" s="27">
        <f t="shared" si="341"/>
        <v>20069.2</v>
      </c>
      <c r="K359" s="27">
        <f t="shared" si="341"/>
        <v>20340.2</v>
      </c>
      <c r="L359" s="27">
        <f t="shared" si="341"/>
        <v>20562.600000000002</v>
      </c>
      <c r="M359" s="27">
        <f>M360+M383+M371+M374+M377+M380+M363+M368+M386</f>
        <v>17194.2</v>
      </c>
      <c r="N359" s="27">
        <f>N360+N383+N371+N374+N377+N380+N363+N368+N386</f>
        <v>14031.7</v>
      </c>
      <c r="O359" s="27">
        <f t="shared" si="317"/>
        <v>81.607169859603829</v>
      </c>
    </row>
    <row r="360" spans="1:15" ht="51" customHeight="1" x14ac:dyDescent="0.25">
      <c r="A360" s="26" t="s">
        <v>354</v>
      </c>
      <c r="B360" s="220">
        <v>903</v>
      </c>
      <c r="C360" s="218" t="s">
        <v>350</v>
      </c>
      <c r="D360" s="218" t="s">
        <v>169</v>
      </c>
      <c r="E360" s="218" t="s">
        <v>365</v>
      </c>
      <c r="F360" s="218"/>
      <c r="G360" s="27">
        <f>G361</f>
        <v>16655.2</v>
      </c>
      <c r="H360" s="27">
        <f>H361</f>
        <v>16655.2</v>
      </c>
      <c r="I360" s="27">
        <f t="shared" ref="I360:L360" si="342">I361</f>
        <v>16655.2</v>
      </c>
      <c r="J360" s="27">
        <f t="shared" si="342"/>
        <v>19144</v>
      </c>
      <c r="K360" s="27">
        <f t="shared" si="342"/>
        <v>19415</v>
      </c>
      <c r="L360" s="27">
        <f t="shared" si="342"/>
        <v>19637.400000000001</v>
      </c>
      <c r="M360" s="27">
        <f t="shared" ref="M360:N361" si="343">M361</f>
        <v>16358.499999999998</v>
      </c>
      <c r="N360" s="27">
        <f t="shared" si="343"/>
        <v>13381.5</v>
      </c>
      <c r="O360" s="27">
        <f t="shared" si="317"/>
        <v>81.801509918391062</v>
      </c>
    </row>
    <row r="361" spans="1:15" ht="47.25" x14ac:dyDescent="0.25">
      <c r="A361" s="26" t="s">
        <v>323</v>
      </c>
      <c r="B361" s="220">
        <v>903</v>
      </c>
      <c r="C361" s="218" t="s">
        <v>350</v>
      </c>
      <c r="D361" s="218" t="s">
        <v>169</v>
      </c>
      <c r="E361" s="218" t="s">
        <v>365</v>
      </c>
      <c r="F361" s="218" t="s">
        <v>324</v>
      </c>
      <c r="G361" s="27">
        <f t="shared" ref="G361:L361" si="344">G362</f>
        <v>16655.2</v>
      </c>
      <c r="H361" s="27">
        <f t="shared" si="344"/>
        <v>16655.2</v>
      </c>
      <c r="I361" s="27">
        <f t="shared" si="344"/>
        <v>16655.2</v>
      </c>
      <c r="J361" s="27">
        <f t="shared" si="344"/>
        <v>19144</v>
      </c>
      <c r="K361" s="27">
        <f t="shared" si="344"/>
        <v>19415</v>
      </c>
      <c r="L361" s="27">
        <f t="shared" si="344"/>
        <v>19637.400000000001</v>
      </c>
      <c r="M361" s="27">
        <f t="shared" si="343"/>
        <v>16358.499999999998</v>
      </c>
      <c r="N361" s="27">
        <f t="shared" si="343"/>
        <v>13381.5</v>
      </c>
      <c r="O361" s="27">
        <f t="shared" si="317"/>
        <v>81.801509918391062</v>
      </c>
    </row>
    <row r="362" spans="1:15" ht="15.75" x14ac:dyDescent="0.25">
      <c r="A362" s="26" t="s">
        <v>325</v>
      </c>
      <c r="B362" s="220">
        <v>903</v>
      </c>
      <c r="C362" s="218" t="s">
        <v>350</v>
      </c>
      <c r="D362" s="218" t="s">
        <v>169</v>
      </c>
      <c r="E362" s="218" t="s">
        <v>365</v>
      </c>
      <c r="F362" s="218" t="s">
        <v>326</v>
      </c>
      <c r="G362" s="28">
        <f>18073+419.6-1705.8+78.4-210</f>
        <v>16655.2</v>
      </c>
      <c r="H362" s="28">
        <f>18073+419.6-1705.8+78.4-210</f>
        <v>16655.2</v>
      </c>
      <c r="I362" s="28">
        <f t="shared" ref="I362" si="345">18073+419.6-1705.8+78.4-210</f>
        <v>16655.2</v>
      </c>
      <c r="J362" s="28">
        <v>19144</v>
      </c>
      <c r="K362" s="28">
        <v>19415</v>
      </c>
      <c r="L362" s="28">
        <v>19637.400000000001</v>
      </c>
      <c r="M362" s="28">
        <f>16823.8-453.2-12.1</f>
        <v>16358.499999999998</v>
      </c>
      <c r="N362" s="28">
        <v>13381.5</v>
      </c>
      <c r="O362" s="27">
        <f t="shared" si="317"/>
        <v>81.801509918391062</v>
      </c>
    </row>
    <row r="363" spans="1:15" ht="38.25" customHeight="1" x14ac:dyDescent="0.25">
      <c r="A363" s="26" t="s">
        <v>366</v>
      </c>
      <c r="B363" s="220">
        <v>903</v>
      </c>
      <c r="C363" s="218" t="s">
        <v>350</v>
      </c>
      <c r="D363" s="218" t="s">
        <v>169</v>
      </c>
      <c r="E363" s="218" t="s">
        <v>367</v>
      </c>
      <c r="F363" s="218"/>
      <c r="G363" s="28">
        <f t="shared" ref="G363:L363" si="346">G364+G366</f>
        <v>5</v>
      </c>
      <c r="H363" s="28">
        <f t="shared" si="346"/>
        <v>0</v>
      </c>
      <c r="I363" s="28">
        <f t="shared" si="346"/>
        <v>5</v>
      </c>
      <c r="J363" s="28">
        <f t="shared" si="346"/>
        <v>0</v>
      </c>
      <c r="K363" s="28">
        <f t="shared" si="346"/>
        <v>0</v>
      </c>
      <c r="L363" s="28">
        <f t="shared" si="346"/>
        <v>0</v>
      </c>
      <c r="M363" s="28">
        <f t="shared" ref="M363:N363" si="347">M364+M366</f>
        <v>5</v>
      </c>
      <c r="N363" s="28">
        <f t="shared" si="347"/>
        <v>0</v>
      </c>
      <c r="O363" s="27">
        <f t="shared" si="317"/>
        <v>0</v>
      </c>
    </row>
    <row r="364" spans="1:15" ht="31.5" hidden="1" customHeight="1" x14ac:dyDescent="0.25">
      <c r="A364" s="26" t="s">
        <v>182</v>
      </c>
      <c r="B364" s="220">
        <v>903</v>
      </c>
      <c r="C364" s="218" t="s">
        <v>350</v>
      </c>
      <c r="D364" s="218" t="s">
        <v>169</v>
      </c>
      <c r="E364" s="218" t="s">
        <v>367</v>
      </c>
      <c r="F364" s="218" t="s">
        <v>183</v>
      </c>
      <c r="G364" s="28">
        <f t="shared" ref="G364:L364" si="348">G365</f>
        <v>0</v>
      </c>
      <c r="H364" s="28">
        <f t="shared" si="348"/>
        <v>0</v>
      </c>
      <c r="I364" s="28">
        <f t="shared" si="348"/>
        <v>0</v>
      </c>
      <c r="J364" s="28">
        <f t="shared" si="348"/>
        <v>0</v>
      </c>
      <c r="K364" s="28">
        <f t="shared" si="348"/>
        <v>0</v>
      </c>
      <c r="L364" s="28">
        <f t="shared" si="348"/>
        <v>0</v>
      </c>
      <c r="M364" s="28">
        <f t="shared" ref="M364:N364" si="349">M365</f>
        <v>0</v>
      </c>
      <c r="N364" s="28">
        <f t="shared" si="349"/>
        <v>0</v>
      </c>
      <c r="O364" s="27" t="e">
        <f t="shared" si="317"/>
        <v>#DIV/0!</v>
      </c>
    </row>
    <row r="365" spans="1:15" ht="47.25" hidden="1" customHeight="1" x14ac:dyDescent="0.25">
      <c r="A365" s="26" t="s">
        <v>184</v>
      </c>
      <c r="B365" s="220">
        <v>903</v>
      </c>
      <c r="C365" s="218" t="s">
        <v>350</v>
      </c>
      <c r="D365" s="218" t="s">
        <v>169</v>
      </c>
      <c r="E365" s="218" t="s">
        <v>367</v>
      </c>
      <c r="F365" s="218" t="s">
        <v>185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7" t="e">
        <f t="shared" si="317"/>
        <v>#DIV/0!</v>
      </c>
    </row>
    <row r="366" spans="1:15" ht="47.25" x14ac:dyDescent="0.25">
      <c r="A366" s="26" t="s">
        <v>323</v>
      </c>
      <c r="B366" s="220">
        <v>903</v>
      </c>
      <c r="C366" s="218" t="s">
        <v>350</v>
      </c>
      <c r="D366" s="218" t="s">
        <v>169</v>
      </c>
      <c r="E366" s="218" t="s">
        <v>367</v>
      </c>
      <c r="F366" s="218" t="s">
        <v>324</v>
      </c>
      <c r="G366" s="28">
        <f>G367</f>
        <v>5</v>
      </c>
      <c r="H366" s="28">
        <f>H367</f>
        <v>0</v>
      </c>
      <c r="I366" s="28">
        <f t="shared" ref="I366:L366" si="350">I367</f>
        <v>5</v>
      </c>
      <c r="J366" s="28">
        <f t="shared" si="350"/>
        <v>0</v>
      </c>
      <c r="K366" s="28">
        <f t="shared" si="350"/>
        <v>0</v>
      </c>
      <c r="L366" s="28">
        <f t="shared" si="350"/>
        <v>0</v>
      </c>
      <c r="M366" s="28">
        <f t="shared" ref="M366:N366" si="351">M367</f>
        <v>5</v>
      </c>
      <c r="N366" s="28">
        <f t="shared" si="351"/>
        <v>0</v>
      </c>
      <c r="O366" s="27">
        <f t="shared" si="317"/>
        <v>0</v>
      </c>
    </row>
    <row r="367" spans="1:15" ht="15.75" x14ac:dyDescent="0.25">
      <c r="A367" s="26" t="s">
        <v>325</v>
      </c>
      <c r="B367" s="220">
        <v>903</v>
      </c>
      <c r="C367" s="218" t="s">
        <v>350</v>
      </c>
      <c r="D367" s="218" t="s">
        <v>169</v>
      </c>
      <c r="E367" s="218" t="s">
        <v>367</v>
      </c>
      <c r="F367" s="218" t="s">
        <v>326</v>
      </c>
      <c r="G367" s="28">
        <v>5</v>
      </c>
      <c r="H367" s="28">
        <v>0</v>
      </c>
      <c r="I367" s="28">
        <v>5</v>
      </c>
      <c r="J367" s="28"/>
      <c r="K367" s="28"/>
      <c r="L367" s="28"/>
      <c r="M367" s="28">
        <v>5</v>
      </c>
      <c r="N367" s="28">
        <v>0</v>
      </c>
      <c r="O367" s="27">
        <f t="shared" si="317"/>
        <v>0</v>
      </c>
    </row>
    <row r="368" spans="1:15" ht="15.75" x14ac:dyDescent="0.25">
      <c r="A368" s="26" t="s">
        <v>764</v>
      </c>
      <c r="B368" s="220">
        <v>903</v>
      </c>
      <c r="C368" s="218" t="s">
        <v>350</v>
      </c>
      <c r="D368" s="218" t="s">
        <v>169</v>
      </c>
      <c r="E368" s="218" t="s">
        <v>765</v>
      </c>
      <c r="F368" s="218"/>
      <c r="G368" s="28">
        <f>G369</f>
        <v>0.4</v>
      </c>
      <c r="H368" s="28">
        <f>H369</f>
        <v>0.4</v>
      </c>
      <c r="I368" s="28">
        <f t="shared" ref="I368:L369" si="352">I369</f>
        <v>0.4</v>
      </c>
      <c r="J368" s="28">
        <f t="shared" si="352"/>
        <v>0</v>
      </c>
      <c r="K368" s="28">
        <f t="shared" si="352"/>
        <v>0</v>
      </c>
      <c r="L368" s="28">
        <f t="shared" si="352"/>
        <v>0</v>
      </c>
      <c r="M368" s="28">
        <f t="shared" ref="M368:N369" si="353">M369</f>
        <v>0.5</v>
      </c>
      <c r="N368" s="28">
        <f t="shared" si="353"/>
        <v>0</v>
      </c>
      <c r="O368" s="27">
        <f t="shared" si="317"/>
        <v>0</v>
      </c>
    </row>
    <row r="369" spans="1:15" ht="47.25" x14ac:dyDescent="0.25">
      <c r="A369" s="26" t="s">
        <v>323</v>
      </c>
      <c r="B369" s="220">
        <v>903</v>
      </c>
      <c r="C369" s="218" t="s">
        <v>350</v>
      </c>
      <c r="D369" s="218" t="s">
        <v>169</v>
      </c>
      <c r="E369" s="218" t="s">
        <v>765</v>
      </c>
      <c r="F369" s="218" t="s">
        <v>324</v>
      </c>
      <c r="G369" s="28">
        <f>G370</f>
        <v>0.4</v>
      </c>
      <c r="H369" s="28">
        <f>H370</f>
        <v>0.4</v>
      </c>
      <c r="I369" s="28">
        <f t="shared" si="352"/>
        <v>0.4</v>
      </c>
      <c r="J369" s="28">
        <f t="shared" si="352"/>
        <v>0</v>
      </c>
      <c r="K369" s="28">
        <f t="shared" si="352"/>
        <v>0</v>
      </c>
      <c r="L369" s="28">
        <f t="shared" si="352"/>
        <v>0</v>
      </c>
      <c r="M369" s="28">
        <f t="shared" si="353"/>
        <v>0.5</v>
      </c>
      <c r="N369" s="28">
        <f t="shared" si="353"/>
        <v>0</v>
      </c>
      <c r="O369" s="27">
        <f t="shared" si="317"/>
        <v>0</v>
      </c>
    </row>
    <row r="370" spans="1:15" ht="15.75" x14ac:dyDescent="0.25">
      <c r="A370" s="26" t="s">
        <v>325</v>
      </c>
      <c r="B370" s="220">
        <v>903</v>
      </c>
      <c r="C370" s="218" t="s">
        <v>350</v>
      </c>
      <c r="D370" s="218" t="s">
        <v>169</v>
      </c>
      <c r="E370" s="218" t="s">
        <v>765</v>
      </c>
      <c r="F370" s="218" t="s">
        <v>326</v>
      </c>
      <c r="G370" s="28">
        <v>0.4</v>
      </c>
      <c r="H370" s="28">
        <v>0.4</v>
      </c>
      <c r="I370" s="28">
        <v>0.4</v>
      </c>
      <c r="J370" s="28"/>
      <c r="K370" s="28"/>
      <c r="L370" s="28"/>
      <c r="M370" s="28">
        <v>0.5</v>
      </c>
      <c r="N370" s="28">
        <v>0</v>
      </c>
      <c r="O370" s="27">
        <f t="shared" si="317"/>
        <v>0</v>
      </c>
    </row>
    <row r="371" spans="1:15" ht="47.25" hidden="1" customHeight="1" x14ac:dyDescent="0.25">
      <c r="A371" s="26" t="s">
        <v>327</v>
      </c>
      <c r="B371" s="220">
        <v>903</v>
      </c>
      <c r="C371" s="218" t="s">
        <v>350</v>
      </c>
      <c r="D371" s="218" t="s">
        <v>169</v>
      </c>
      <c r="E371" s="218" t="s">
        <v>368</v>
      </c>
      <c r="F371" s="218"/>
      <c r="G371" s="27">
        <f t="shared" ref="G371:L372" si="354">G372</f>
        <v>0</v>
      </c>
      <c r="H371" s="27">
        <v>0</v>
      </c>
      <c r="I371" s="27">
        <f t="shared" si="354"/>
        <v>0</v>
      </c>
      <c r="J371" s="27">
        <f t="shared" si="354"/>
        <v>0</v>
      </c>
      <c r="K371" s="27">
        <f t="shared" si="354"/>
        <v>0</v>
      </c>
      <c r="L371" s="27">
        <f t="shared" si="354"/>
        <v>0</v>
      </c>
      <c r="M371" s="27">
        <f t="shared" ref="M371:N372" si="355">M372</f>
        <v>0</v>
      </c>
      <c r="N371" s="27">
        <f t="shared" si="355"/>
        <v>0</v>
      </c>
      <c r="O371" s="27" t="e">
        <f t="shared" si="317"/>
        <v>#DIV/0!</v>
      </c>
    </row>
    <row r="372" spans="1:15" ht="47.25" hidden="1" customHeight="1" x14ac:dyDescent="0.25">
      <c r="A372" s="26" t="s">
        <v>323</v>
      </c>
      <c r="B372" s="220">
        <v>903</v>
      </c>
      <c r="C372" s="218" t="s">
        <v>350</v>
      </c>
      <c r="D372" s="218" t="s">
        <v>169</v>
      </c>
      <c r="E372" s="218" t="s">
        <v>368</v>
      </c>
      <c r="F372" s="218" t="s">
        <v>324</v>
      </c>
      <c r="G372" s="27">
        <f t="shared" si="354"/>
        <v>0</v>
      </c>
      <c r="H372" s="27">
        <v>0</v>
      </c>
      <c r="I372" s="27">
        <f t="shared" si="354"/>
        <v>0</v>
      </c>
      <c r="J372" s="27">
        <f t="shared" si="354"/>
        <v>0</v>
      </c>
      <c r="K372" s="27">
        <f t="shared" si="354"/>
        <v>0</v>
      </c>
      <c r="L372" s="27">
        <f t="shared" si="354"/>
        <v>0</v>
      </c>
      <c r="M372" s="27">
        <f t="shared" si="355"/>
        <v>0</v>
      </c>
      <c r="N372" s="27">
        <f t="shared" si="355"/>
        <v>0</v>
      </c>
      <c r="O372" s="27" t="e">
        <f t="shared" si="317"/>
        <v>#DIV/0!</v>
      </c>
    </row>
    <row r="373" spans="1:15" ht="15.75" hidden="1" customHeight="1" x14ac:dyDescent="0.25">
      <c r="A373" s="26" t="s">
        <v>325</v>
      </c>
      <c r="B373" s="220">
        <v>903</v>
      </c>
      <c r="C373" s="218" t="s">
        <v>350</v>
      </c>
      <c r="D373" s="218" t="s">
        <v>169</v>
      </c>
      <c r="E373" s="218" t="s">
        <v>368</v>
      </c>
      <c r="F373" s="218" t="s">
        <v>326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 t="e">
        <f t="shared" si="317"/>
        <v>#DIV/0!</v>
      </c>
    </row>
    <row r="374" spans="1:15" ht="47.25" hidden="1" customHeight="1" x14ac:dyDescent="0.25">
      <c r="A374" s="26" t="s">
        <v>329</v>
      </c>
      <c r="B374" s="220">
        <v>903</v>
      </c>
      <c r="C374" s="218" t="s">
        <v>350</v>
      </c>
      <c r="D374" s="218" t="s">
        <v>169</v>
      </c>
      <c r="E374" s="218" t="s">
        <v>369</v>
      </c>
      <c r="F374" s="218"/>
      <c r="G374" s="27">
        <f t="shared" ref="G374:L375" si="356">G375</f>
        <v>0</v>
      </c>
      <c r="H374" s="27">
        <v>0</v>
      </c>
      <c r="I374" s="27">
        <f t="shared" si="356"/>
        <v>0</v>
      </c>
      <c r="J374" s="27">
        <f t="shared" si="356"/>
        <v>0</v>
      </c>
      <c r="K374" s="27">
        <f t="shared" si="356"/>
        <v>0</v>
      </c>
      <c r="L374" s="27">
        <f t="shared" si="356"/>
        <v>0</v>
      </c>
      <c r="M374" s="27">
        <f t="shared" ref="M374:N375" si="357">M375</f>
        <v>0</v>
      </c>
      <c r="N374" s="27">
        <f t="shared" si="357"/>
        <v>0</v>
      </c>
      <c r="O374" s="27" t="e">
        <f t="shared" si="317"/>
        <v>#DIV/0!</v>
      </c>
    </row>
    <row r="375" spans="1:15" ht="47.25" hidden="1" customHeight="1" x14ac:dyDescent="0.25">
      <c r="A375" s="26" t="s">
        <v>323</v>
      </c>
      <c r="B375" s="220">
        <v>903</v>
      </c>
      <c r="C375" s="218" t="s">
        <v>350</v>
      </c>
      <c r="D375" s="218" t="s">
        <v>169</v>
      </c>
      <c r="E375" s="218" t="s">
        <v>369</v>
      </c>
      <c r="F375" s="218" t="s">
        <v>324</v>
      </c>
      <c r="G375" s="27">
        <f t="shared" si="356"/>
        <v>0</v>
      </c>
      <c r="H375" s="27">
        <v>0</v>
      </c>
      <c r="I375" s="27">
        <f t="shared" si="356"/>
        <v>0</v>
      </c>
      <c r="J375" s="27">
        <f t="shared" si="356"/>
        <v>0</v>
      </c>
      <c r="K375" s="27">
        <f t="shared" si="356"/>
        <v>0</v>
      </c>
      <c r="L375" s="27">
        <f t="shared" si="356"/>
        <v>0</v>
      </c>
      <c r="M375" s="27">
        <f t="shared" si="357"/>
        <v>0</v>
      </c>
      <c r="N375" s="27">
        <f t="shared" si="357"/>
        <v>0</v>
      </c>
      <c r="O375" s="27" t="e">
        <f t="shared" si="317"/>
        <v>#DIV/0!</v>
      </c>
    </row>
    <row r="376" spans="1:15" ht="15.75" hidden="1" customHeight="1" x14ac:dyDescent="0.25">
      <c r="A376" s="26" t="s">
        <v>325</v>
      </c>
      <c r="B376" s="220">
        <v>903</v>
      </c>
      <c r="C376" s="218" t="s">
        <v>350</v>
      </c>
      <c r="D376" s="218" t="s">
        <v>169</v>
      </c>
      <c r="E376" s="218" t="s">
        <v>369</v>
      </c>
      <c r="F376" s="218" t="s">
        <v>326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 t="e">
        <f t="shared" si="317"/>
        <v>#DIV/0!</v>
      </c>
    </row>
    <row r="377" spans="1:15" ht="31.5" hidden="1" customHeight="1" x14ac:dyDescent="0.25">
      <c r="A377" s="26" t="s">
        <v>331</v>
      </c>
      <c r="B377" s="220">
        <v>903</v>
      </c>
      <c r="C377" s="218" t="s">
        <v>350</v>
      </c>
      <c r="D377" s="218" t="s">
        <v>169</v>
      </c>
      <c r="E377" s="218" t="s">
        <v>370</v>
      </c>
      <c r="F377" s="218"/>
      <c r="G377" s="27">
        <f t="shared" ref="G377:L378" si="358">G378</f>
        <v>0</v>
      </c>
      <c r="H377" s="27">
        <v>0</v>
      </c>
      <c r="I377" s="27">
        <f t="shared" si="358"/>
        <v>0</v>
      </c>
      <c r="J377" s="27">
        <f t="shared" si="358"/>
        <v>0</v>
      </c>
      <c r="K377" s="27">
        <f t="shared" si="358"/>
        <v>0</v>
      </c>
      <c r="L377" s="27">
        <f t="shared" si="358"/>
        <v>0</v>
      </c>
      <c r="M377" s="27">
        <f t="shared" ref="M377:N378" si="359">M378</f>
        <v>0</v>
      </c>
      <c r="N377" s="27">
        <f t="shared" si="359"/>
        <v>0</v>
      </c>
      <c r="O377" s="27" t="e">
        <f t="shared" si="317"/>
        <v>#DIV/0!</v>
      </c>
    </row>
    <row r="378" spans="1:15" ht="47.25" hidden="1" customHeight="1" x14ac:dyDescent="0.25">
      <c r="A378" s="26" t="s">
        <v>323</v>
      </c>
      <c r="B378" s="220">
        <v>903</v>
      </c>
      <c r="C378" s="218" t="s">
        <v>350</v>
      </c>
      <c r="D378" s="218" t="s">
        <v>169</v>
      </c>
      <c r="E378" s="218" t="s">
        <v>370</v>
      </c>
      <c r="F378" s="218" t="s">
        <v>324</v>
      </c>
      <c r="G378" s="27">
        <f t="shared" si="358"/>
        <v>0</v>
      </c>
      <c r="H378" s="27">
        <v>0</v>
      </c>
      <c r="I378" s="27">
        <f t="shared" si="358"/>
        <v>0</v>
      </c>
      <c r="J378" s="27">
        <f t="shared" si="358"/>
        <v>0</v>
      </c>
      <c r="K378" s="27">
        <f t="shared" si="358"/>
        <v>0</v>
      </c>
      <c r="L378" s="27">
        <f t="shared" si="358"/>
        <v>0</v>
      </c>
      <c r="M378" s="27">
        <f t="shared" si="359"/>
        <v>0</v>
      </c>
      <c r="N378" s="27">
        <f t="shared" si="359"/>
        <v>0</v>
      </c>
      <c r="O378" s="27" t="e">
        <f t="shared" si="317"/>
        <v>#DIV/0!</v>
      </c>
    </row>
    <row r="379" spans="1:15" ht="15.75" hidden="1" customHeight="1" x14ac:dyDescent="0.25">
      <c r="A379" s="26" t="s">
        <v>325</v>
      </c>
      <c r="B379" s="220">
        <v>903</v>
      </c>
      <c r="C379" s="218" t="s">
        <v>350</v>
      </c>
      <c r="D379" s="218" t="s">
        <v>169</v>
      </c>
      <c r="E379" s="218" t="s">
        <v>370</v>
      </c>
      <c r="F379" s="218" t="s">
        <v>326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 t="e">
        <f t="shared" si="317"/>
        <v>#DIV/0!</v>
      </c>
    </row>
    <row r="380" spans="1:15" ht="31.5" hidden="1" customHeight="1" x14ac:dyDescent="0.25">
      <c r="A380" s="26" t="s">
        <v>335</v>
      </c>
      <c r="B380" s="220">
        <v>903</v>
      </c>
      <c r="C380" s="218" t="s">
        <v>350</v>
      </c>
      <c r="D380" s="218" t="s">
        <v>169</v>
      </c>
      <c r="E380" s="218" t="s">
        <v>371</v>
      </c>
      <c r="F380" s="218"/>
      <c r="G380" s="27">
        <f t="shared" ref="G380:L381" si="360">G381</f>
        <v>0</v>
      </c>
      <c r="H380" s="27">
        <v>0</v>
      </c>
      <c r="I380" s="27">
        <f t="shared" si="360"/>
        <v>0</v>
      </c>
      <c r="J380" s="27">
        <f t="shared" si="360"/>
        <v>275</v>
      </c>
      <c r="K380" s="27">
        <f t="shared" si="360"/>
        <v>275</v>
      </c>
      <c r="L380" s="27">
        <f t="shared" si="360"/>
        <v>275</v>
      </c>
      <c r="M380" s="27">
        <f t="shared" ref="M380:N381" si="361">M381</f>
        <v>0</v>
      </c>
      <c r="N380" s="27">
        <f t="shared" si="361"/>
        <v>0</v>
      </c>
      <c r="O380" s="27" t="e">
        <f t="shared" si="317"/>
        <v>#DIV/0!</v>
      </c>
    </row>
    <row r="381" spans="1:15" ht="47.25" hidden="1" customHeight="1" x14ac:dyDescent="0.25">
      <c r="A381" s="26" t="s">
        <v>323</v>
      </c>
      <c r="B381" s="220">
        <v>903</v>
      </c>
      <c r="C381" s="218" t="s">
        <v>350</v>
      </c>
      <c r="D381" s="218" t="s">
        <v>169</v>
      </c>
      <c r="E381" s="218" t="s">
        <v>371</v>
      </c>
      <c r="F381" s="218" t="s">
        <v>324</v>
      </c>
      <c r="G381" s="27">
        <f t="shared" si="360"/>
        <v>0</v>
      </c>
      <c r="H381" s="27">
        <v>0</v>
      </c>
      <c r="I381" s="27">
        <f t="shared" si="360"/>
        <v>0</v>
      </c>
      <c r="J381" s="27">
        <f t="shared" si="360"/>
        <v>275</v>
      </c>
      <c r="K381" s="27">
        <f t="shared" si="360"/>
        <v>275</v>
      </c>
      <c r="L381" s="27">
        <f t="shared" si="360"/>
        <v>275</v>
      </c>
      <c r="M381" s="27">
        <f t="shared" si="361"/>
        <v>0</v>
      </c>
      <c r="N381" s="27">
        <f t="shared" si="361"/>
        <v>0</v>
      </c>
      <c r="O381" s="27" t="e">
        <f t="shared" si="317"/>
        <v>#DIV/0!</v>
      </c>
    </row>
    <row r="382" spans="1:15" ht="15.75" hidden="1" customHeight="1" x14ac:dyDescent="0.25">
      <c r="A382" s="26" t="s">
        <v>325</v>
      </c>
      <c r="B382" s="220">
        <v>903</v>
      </c>
      <c r="C382" s="218" t="s">
        <v>350</v>
      </c>
      <c r="D382" s="218" t="s">
        <v>169</v>
      </c>
      <c r="E382" s="218" t="s">
        <v>371</v>
      </c>
      <c r="F382" s="218" t="s">
        <v>326</v>
      </c>
      <c r="G382" s="27">
        <v>0</v>
      </c>
      <c r="H382" s="27">
        <v>0</v>
      </c>
      <c r="I382" s="27">
        <v>0</v>
      </c>
      <c r="J382" s="27">
        <v>275</v>
      </c>
      <c r="K382" s="27">
        <v>275</v>
      </c>
      <c r="L382" s="27">
        <v>275</v>
      </c>
      <c r="M382" s="27">
        <v>0</v>
      </c>
      <c r="N382" s="27">
        <v>0</v>
      </c>
      <c r="O382" s="27" t="e">
        <f t="shared" si="317"/>
        <v>#DIV/0!</v>
      </c>
    </row>
    <row r="383" spans="1:15" ht="47.25" customHeight="1" x14ac:dyDescent="0.25">
      <c r="A383" s="37" t="s">
        <v>372</v>
      </c>
      <c r="B383" s="220">
        <v>903</v>
      </c>
      <c r="C383" s="218" t="s">
        <v>350</v>
      </c>
      <c r="D383" s="218" t="s">
        <v>169</v>
      </c>
      <c r="E383" s="218" t="s">
        <v>373</v>
      </c>
      <c r="F383" s="218"/>
      <c r="G383" s="27">
        <f t="shared" ref="G383:L384" si="362">G384</f>
        <v>0</v>
      </c>
      <c r="H383" s="27"/>
      <c r="I383" s="27">
        <f t="shared" si="362"/>
        <v>0</v>
      </c>
      <c r="J383" s="27">
        <f t="shared" si="362"/>
        <v>0</v>
      </c>
      <c r="K383" s="27">
        <f t="shared" si="362"/>
        <v>0</v>
      </c>
      <c r="L383" s="27">
        <f t="shared" si="362"/>
        <v>0</v>
      </c>
      <c r="M383" s="27">
        <f t="shared" ref="M383:N384" si="363">M384</f>
        <v>180</v>
      </c>
      <c r="N383" s="27">
        <f t="shared" si="363"/>
        <v>0</v>
      </c>
      <c r="O383" s="27">
        <f t="shared" si="317"/>
        <v>0</v>
      </c>
    </row>
    <row r="384" spans="1:15" ht="47.25" customHeight="1" x14ac:dyDescent="0.25">
      <c r="A384" s="26" t="s">
        <v>323</v>
      </c>
      <c r="B384" s="220">
        <v>903</v>
      </c>
      <c r="C384" s="218" t="s">
        <v>350</v>
      </c>
      <c r="D384" s="218" t="s">
        <v>169</v>
      </c>
      <c r="E384" s="218" t="s">
        <v>373</v>
      </c>
      <c r="F384" s="218" t="s">
        <v>324</v>
      </c>
      <c r="G384" s="27">
        <f t="shared" si="362"/>
        <v>0</v>
      </c>
      <c r="H384" s="27"/>
      <c r="I384" s="27">
        <f t="shared" si="362"/>
        <v>0</v>
      </c>
      <c r="J384" s="27">
        <f t="shared" si="362"/>
        <v>0</v>
      </c>
      <c r="K384" s="27">
        <f t="shared" si="362"/>
        <v>0</v>
      </c>
      <c r="L384" s="27">
        <f t="shared" si="362"/>
        <v>0</v>
      </c>
      <c r="M384" s="27">
        <f t="shared" si="363"/>
        <v>180</v>
      </c>
      <c r="N384" s="27">
        <f t="shared" si="363"/>
        <v>0</v>
      </c>
      <c r="O384" s="27">
        <f t="shared" si="317"/>
        <v>0</v>
      </c>
    </row>
    <row r="385" spans="1:15" ht="15.75" customHeight="1" x14ac:dyDescent="0.25">
      <c r="A385" s="26" t="s">
        <v>325</v>
      </c>
      <c r="B385" s="220">
        <v>903</v>
      </c>
      <c r="C385" s="218" t="s">
        <v>350</v>
      </c>
      <c r="D385" s="218" t="s">
        <v>169</v>
      </c>
      <c r="E385" s="218" t="s">
        <v>373</v>
      </c>
      <c r="F385" s="218" t="s">
        <v>326</v>
      </c>
      <c r="G385" s="27">
        <v>0</v>
      </c>
      <c r="H385" s="27"/>
      <c r="I385" s="27">
        <v>0</v>
      </c>
      <c r="J385" s="27">
        <v>0</v>
      </c>
      <c r="K385" s="27">
        <v>0</v>
      </c>
      <c r="L385" s="27">
        <v>0</v>
      </c>
      <c r="M385" s="27">
        <v>180</v>
      </c>
      <c r="N385" s="27">
        <v>0</v>
      </c>
      <c r="O385" s="27">
        <f t="shared" si="317"/>
        <v>0</v>
      </c>
    </row>
    <row r="386" spans="1:15" ht="47.25" customHeight="1" x14ac:dyDescent="0.25">
      <c r="A386" s="70" t="s">
        <v>861</v>
      </c>
      <c r="B386" s="220">
        <v>903</v>
      </c>
      <c r="C386" s="218" t="s">
        <v>350</v>
      </c>
      <c r="D386" s="218" t="s">
        <v>169</v>
      </c>
      <c r="E386" s="218" t="s">
        <v>874</v>
      </c>
      <c r="F386" s="218"/>
      <c r="G386" s="27">
        <f>G387</f>
        <v>0</v>
      </c>
      <c r="H386" s="27">
        <v>0</v>
      </c>
      <c r="I386" s="27">
        <f t="shared" ref="I386:L387" si="364">I387</f>
        <v>0</v>
      </c>
      <c r="J386" s="27">
        <f t="shared" si="364"/>
        <v>650.20000000000005</v>
      </c>
      <c r="K386" s="27">
        <f t="shared" si="364"/>
        <v>650.20000000000005</v>
      </c>
      <c r="L386" s="27">
        <f t="shared" si="364"/>
        <v>650.20000000000005</v>
      </c>
      <c r="M386" s="27">
        <f t="shared" ref="M386:N387" si="365">M387</f>
        <v>650.20000000000005</v>
      </c>
      <c r="N386" s="27">
        <f t="shared" si="365"/>
        <v>650.20000000000005</v>
      </c>
      <c r="O386" s="27">
        <f t="shared" si="317"/>
        <v>100</v>
      </c>
    </row>
    <row r="387" spans="1:15" ht="54" customHeight="1" x14ac:dyDescent="0.25">
      <c r="A387" s="31" t="s">
        <v>323</v>
      </c>
      <c r="B387" s="220">
        <v>903</v>
      </c>
      <c r="C387" s="218" t="s">
        <v>350</v>
      </c>
      <c r="D387" s="218" t="s">
        <v>169</v>
      </c>
      <c r="E387" s="218" t="s">
        <v>874</v>
      </c>
      <c r="F387" s="218" t="s">
        <v>324</v>
      </c>
      <c r="G387" s="27">
        <f>G388</f>
        <v>0</v>
      </c>
      <c r="H387" s="27">
        <v>0</v>
      </c>
      <c r="I387" s="27">
        <f t="shared" si="364"/>
        <v>0</v>
      </c>
      <c r="J387" s="27">
        <f t="shared" si="364"/>
        <v>650.20000000000005</v>
      </c>
      <c r="K387" s="27">
        <f t="shared" si="364"/>
        <v>650.20000000000005</v>
      </c>
      <c r="L387" s="27">
        <f t="shared" si="364"/>
        <v>650.20000000000005</v>
      </c>
      <c r="M387" s="27">
        <f t="shared" si="365"/>
        <v>650.20000000000005</v>
      </c>
      <c r="N387" s="27">
        <f t="shared" si="365"/>
        <v>650.20000000000005</v>
      </c>
      <c r="O387" s="27">
        <f t="shared" si="317"/>
        <v>100</v>
      </c>
    </row>
    <row r="388" spans="1:15" ht="15.75" customHeight="1" x14ac:dyDescent="0.25">
      <c r="A388" s="262" t="s">
        <v>325</v>
      </c>
      <c r="B388" s="220">
        <v>903</v>
      </c>
      <c r="C388" s="218" t="s">
        <v>350</v>
      </c>
      <c r="D388" s="218" t="s">
        <v>169</v>
      </c>
      <c r="E388" s="218" t="s">
        <v>874</v>
      </c>
      <c r="F388" s="218" t="s">
        <v>326</v>
      </c>
      <c r="G388" s="27">
        <v>0</v>
      </c>
      <c r="H388" s="27">
        <v>0</v>
      </c>
      <c r="I388" s="27">
        <v>0</v>
      </c>
      <c r="J388" s="27">
        <v>650.20000000000005</v>
      </c>
      <c r="K388" s="27">
        <v>650.20000000000005</v>
      </c>
      <c r="L388" s="27">
        <v>650.20000000000005</v>
      </c>
      <c r="M388" s="27">
        <v>650.20000000000005</v>
      </c>
      <c r="N388" s="27">
        <v>650.20000000000005</v>
      </c>
      <c r="O388" s="27">
        <f t="shared" si="317"/>
        <v>100</v>
      </c>
    </row>
    <row r="389" spans="1:15" ht="60" hidden="1" customHeight="1" x14ac:dyDescent="0.25">
      <c r="A389" s="31" t="s">
        <v>374</v>
      </c>
      <c r="B389" s="220">
        <v>903</v>
      </c>
      <c r="C389" s="218" t="s">
        <v>350</v>
      </c>
      <c r="D389" s="218" t="s">
        <v>169</v>
      </c>
      <c r="E389" s="221" t="s">
        <v>375</v>
      </c>
      <c r="F389" s="218"/>
      <c r="G389" s="27">
        <f>G390</f>
        <v>200</v>
      </c>
      <c r="H389" s="27">
        <f>H390</f>
        <v>0</v>
      </c>
      <c r="I389" s="27">
        <f t="shared" ref="I389:L389" si="366">I390</f>
        <v>200</v>
      </c>
      <c r="J389" s="27">
        <f t="shared" si="366"/>
        <v>0</v>
      </c>
      <c r="K389" s="27">
        <f t="shared" si="366"/>
        <v>0</v>
      </c>
      <c r="L389" s="27">
        <f t="shared" si="366"/>
        <v>0</v>
      </c>
      <c r="M389" s="27">
        <f t="shared" ref="M389:N391" si="367">M390</f>
        <v>0</v>
      </c>
      <c r="N389" s="27">
        <f t="shared" si="367"/>
        <v>0</v>
      </c>
      <c r="O389" s="27" t="e">
        <f t="shared" si="317"/>
        <v>#DIV/0!</v>
      </c>
    </row>
    <row r="390" spans="1:15" ht="47.25" hidden="1" x14ac:dyDescent="0.25">
      <c r="A390" s="26" t="s">
        <v>376</v>
      </c>
      <c r="B390" s="220">
        <v>903</v>
      </c>
      <c r="C390" s="218" t="s">
        <v>350</v>
      </c>
      <c r="D390" s="218" t="s">
        <v>169</v>
      </c>
      <c r="E390" s="221" t="s">
        <v>377</v>
      </c>
      <c r="F390" s="218"/>
      <c r="G390" s="27">
        <f t="shared" ref="G390:L391" si="368">G391</f>
        <v>200</v>
      </c>
      <c r="H390" s="27">
        <f t="shared" si="368"/>
        <v>0</v>
      </c>
      <c r="I390" s="27">
        <f t="shared" si="368"/>
        <v>200</v>
      </c>
      <c r="J390" s="27">
        <f t="shared" si="368"/>
        <v>0</v>
      </c>
      <c r="K390" s="27">
        <f t="shared" si="368"/>
        <v>0</v>
      </c>
      <c r="L390" s="27">
        <f t="shared" si="368"/>
        <v>0</v>
      </c>
      <c r="M390" s="27">
        <f t="shared" si="367"/>
        <v>0</v>
      </c>
      <c r="N390" s="27">
        <f t="shared" si="367"/>
        <v>0</v>
      </c>
      <c r="O390" s="27" t="e">
        <f t="shared" si="317"/>
        <v>#DIV/0!</v>
      </c>
    </row>
    <row r="391" spans="1:15" ht="47.25" hidden="1" x14ac:dyDescent="0.25">
      <c r="A391" s="26" t="s">
        <v>323</v>
      </c>
      <c r="B391" s="220">
        <v>903</v>
      </c>
      <c r="C391" s="218" t="s">
        <v>350</v>
      </c>
      <c r="D391" s="218" t="s">
        <v>169</v>
      </c>
      <c r="E391" s="221" t="s">
        <v>377</v>
      </c>
      <c r="F391" s="218" t="s">
        <v>324</v>
      </c>
      <c r="G391" s="27">
        <f>G392</f>
        <v>200</v>
      </c>
      <c r="H391" s="27">
        <f>H392</f>
        <v>0</v>
      </c>
      <c r="I391" s="27">
        <f t="shared" si="368"/>
        <v>200</v>
      </c>
      <c r="J391" s="27">
        <f t="shared" si="368"/>
        <v>0</v>
      </c>
      <c r="K391" s="27">
        <f t="shared" si="368"/>
        <v>0</v>
      </c>
      <c r="L391" s="27">
        <f t="shared" si="368"/>
        <v>0</v>
      </c>
      <c r="M391" s="27">
        <f t="shared" si="367"/>
        <v>0</v>
      </c>
      <c r="N391" s="27">
        <f t="shared" si="367"/>
        <v>0</v>
      </c>
      <c r="O391" s="27" t="e">
        <f t="shared" si="317"/>
        <v>#DIV/0!</v>
      </c>
    </row>
    <row r="392" spans="1:15" ht="15.75" hidden="1" x14ac:dyDescent="0.25">
      <c r="A392" s="26" t="s">
        <v>325</v>
      </c>
      <c r="B392" s="220">
        <v>903</v>
      </c>
      <c r="C392" s="218" t="s">
        <v>350</v>
      </c>
      <c r="D392" s="218" t="s">
        <v>169</v>
      </c>
      <c r="E392" s="221" t="s">
        <v>377</v>
      </c>
      <c r="F392" s="218" t="s">
        <v>326</v>
      </c>
      <c r="G392" s="27">
        <v>200</v>
      </c>
      <c r="H392" s="27">
        <v>0</v>
      </c>
      <c r="I392" s="27">
        <v>200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 t="e">
        <f t="shared" si="317"/>
        <v>#DIV/0!</v>
      </c>
    </row>
    <row r="393" spans="1:15" ht="15.75" x14ac:dyDescent="0.25">
      <c r="A393" s="26" t="s">
        <v>172</v>
      </c>
      <c r="B393" s="220">
        <v>903</v>
      </c>
      <c r="C393" s="218" t="s">
        <v>350</v>
      </c>
      <c r="D393" s="218" t="s">
        <v>169</v>
      </c>
      <c r="E393" s="218" t="s">
        <v>173</v>
      </c>
      <c r="F393" s="218"/>
      <c r="G393" s="27">
        <f>G394</f>
        <v>2137.9</v>
      </c>
      <c r="H393" s="27">
        <f>H394</f>
        <v>1044.5999999999999</v>
      </c>
      <c r="I393" s="27">
        <f t="shared" ref="I393:L393" si="369">I394</f>
        <v>2137.9</v>
      </c>
      <c r="J393" s="27">
        <f t="shared" si="369"/>
        <v>2133.9</v>
      </c>
      <c r="K393" s="27">
        <f t="shared" si="369"/>
        <v>2133.9</v>
      </c>
      <c r="L393" s="27">
        <f t="shared" si="369"/>
        <v>2133.9</v>
      </c>
      <c r="M393" s="27">
        <f t="shared" ref="M393:N393" si="370">M394</f>
        <v>2103.1000000000004</v>
      </c>
      <c r="N393" s="27">
        <f t="shared" si="370"/>
        <v>1572.1999999999998</v>
      </c>
      <c r="O393" s="27">
        <f t="shared" si="317"/>
        <v>74.756312110693713</v>
      </c>
    </row>
    <row r="394" spans="1:15" ht="31.5" x14ac:dyDescent="0.25">
      <c r="A394" s="26" t="s">
        <v>236</v>
      </c>
      <c r="B394" s="220">
        <v>903</v>
      </c>
      <c r="C394" s="218" t="s">
        <v>350</v>
      </c>
      <c r="D394" s="218" t="s">
        <v>169</v>
      </c>
      <c r="E394" s="218" t="s">
        <v>237</v>
      </c>
      <c r="F394" s="218"/>
      <c r="G394" s="27">
        <f>G395+G400+G405+G408+G411</f>
        <v>2137.9</v>
      </c>
      <c r="H394" s="27">
        <f>H395+H400+H405+H408+H411</f>
        <v>1044.5999999999999</v>
      </c>
      <c r="I394" s="27">
        <f t="shared" ref="I394:L394" si="371">I395+I400+I405+I408+I411</f>
        <v>2137.9</v>
      </c>
      <c r="J394" s="27">
        <f t="shared" si="371"/>
        <v>2133.9</v>
      </c>
      <c r="K394" s="27">
        <f t="shared" si="371"/>
        <v>2133.9</v>
      </c>
      <c r="L394" s="27">
        <f t="shared" si="371"/>
        <v>2133.9</v>
      </c>
      <c r="M394" s="27">
        <f t="shared" ref="M394:N394" si="372">M395+M400+M405+M408+M411</f>
        <v>2103.1000000000004</v>
      </c>
      <c r="N394" s="27">
        <f t="shared" si="372"/>
        <v>1572.1999999999998</v>
      </c>
      <c r="O394" s="27">
        <f t="shared" si="317"/>
        <v>74.756312110693713</v>
      </c>
    </row>
    <row r="395" spans="1:15" ht="31.5" hidden="1" customHeight="1" x14ac:dyDescent="0.25">
      <c r="A395" s="38" t="s">
        <v>378</v>
      </c>
      <c r="B395" s="226">
        <v>903</v>
      </c>
      <c r="C395" s="218" t="s">
        <v>350</v>
      </c>
      <c r="D395" s="218" t="s">
        <v>169</v>
      </c>
      <c r="E395" s="218" t="s">
        <v>379</v>
      </c>
      <c r="F395" s="218"/>
      <c r="G395" s="27">
        <f t="shared" ref="G395:L395" si="373">G396+G398</f>
        <v>0</v>
      </c>
      <c r="H395" s="27">
        <f t="shared" si="373"/>
        <v>0</v>
      </c>
      <c r="I395" s="27">
        <f t="shared" si="373"/>
        <v>0</v>
      </c>
      <c r="J395" s="27">
        <f t="shared" si="373"/>
        <v>0</v>
      </c>
      <c r="K395" s="27">
        <f t="shared" si="373"/>
        <v>0</v>
      </c>
      <c r="L395" s="27">
        <f t="shared" si="373"/>
        <v>0</v>
      </c>
      <c r="M395" s="27">
        <f t="shared" ref="M395:N395" si="374">M396+M398</f>
        <v>0</v>
      </c>
      <c r="N395" s="27">
        <f t="shared" si="374"/>
        <v>0</v>
      </c>
      <c r="O395" s="27" t="e">
        <f t="shared" si="317"/>
        <v>#DIV/0!</v>
      </c>
    </row>
    <row r="396" spans="1:15" ht="31.5" hidden="1" customHeight="1" x14ac:dyDescent="0.25">
      <c r="A396" s="26" t="s">
        <v>182</v>
      </c>
      <c r="B396" s="226">
        <v>903</v>
      </c>
      <c r="C396" s="218" t="s">
        <v>350</v>
      </c>
      <c r="D396" s="218" t="s">
        <v>169</v>
      </c>
      <c r="E396" s="218" t="s">
        <v>379</v>
      </c>
      <c r="F396" s="218" t="s">
        <v>183</v>
      </c>
      <c r="G396" s="27">
        <f t="shared" ref="G396:L396" si="375">G397</f>
        <v>0</v>
      </c>
      <c r="H396" s="27">
        <f t="shared" si="375"/>
        <v>0</v>
      </c>
      <c r="I396" s="27">
        <f t="shared" si="375"/>
        <v>0</v>
      </c>
      <c r="J396" s="27">
        <f t="shared" si="375"/>
        <v>0</v>
      </c>
      <c r="K396" s="27">
        <f t="shared" si="375"/>
        <v>0</v>
      </c>
      <c r="L396" s="27">
        <f t="shared" si="375"/>
        <v>0</v>
      </c>
      <c r="M396" s="27">
        <f t="shared" ref="M396:N396" si="376">M397</f>
        <v>0</v>
      </c>
      <c r="N396" s="27">
        <f t="shared" si="376"/>
        <v>0</v>
      </c>
      <c r="O396" s="27" t="e">
        <f t="shared" ref="O396:O459" si="377">N396/M396*100</f>
        <v>#DIV/0!</v>
      </c>
    </row>
    <row r="397" spans="1:15" ht="47.25" hidden="1" customHeight="1" x14ac:dyDescent="0.25">
      <c r="A397" s="26" t="s">
        <v>184</v>
      </c>
      <c r="B397" s="220">
        <v>903</v>
      </c>
      <c r="C397" s="218" t="s">
        <v>350</v>
      </c>
      <c r="D397" s="218" t="s">
        <v>169</v>
      </c>
      <c r="E397" s="218" t="s">
        <v>379</v>
      </c>
      <c r="F397" s="218" t="s">
        <v>185</v>
      </c>
      <c r="G397" s="27">
        <f>1.4-1.4</f>
        <v>0</v>
      </c>
      <c r="H397" s="27">
        <f>1.4-1.4</f>
        <v>0</v>
      </c>
      <c r="I397" s="27">
        <f t="shared" ref="I397:L397" si="378">1.4-1.4</f>
        <v>0</v>
      </c>
      <c r="J397" s="27">
        <f t="shared" si="378"/>
        <v>0</v>
      </c>
      <c r="K397" s="27">
        <f t="shared" si="378"/>
        <v>0</v>
      </c>
      <c r="L397" s="27">
        <f t="shared" si="378"/>
        <v>0</v>
      </c>
      <c r="M397" s="27">
        <f t="shared" ref="M397:N397" si="379">1.4-1.4</f>
        <v>0</v>
      </c>
      <c r="N397" s="27">
        <f t="shared" si="379"/>
        <v>0</v>
      </c>
      <c r="O397" s="27" t="e">
        <f t="shared" si="377"/>
        <v>#DIV/0!</v>
      </c>
    </row>
    <row r="398" spans="1:15" ht="47.25" hidden="1" customHeight="1" x14ac:dyDescent="0.25">
      <c r="A398" s="26" t="s">
        <v>323</v>
      </c>
      <c r="B398" s="220">
        <v>903</v>
      </c>
      <c r="C398" s="218" t="s">
        <v>350</v>
      </c>
      <c r="D398" s="218" t="s">
        <v>169</v>
      </c>
      <c r="E398" s="218" t="s">
        <v>379</v>
      </c>
      <c r="F398" s="218" t="s">
        <v>324</v>
      </c>
      <c r="G398" s="27">
        <f t="shared" ref="G398:L398" si="380">G399</f>
        <v>0</v>
      </c>
      <c r="H398" s="27">
        <f t="shared" si="380"/>
        <v>0</v>
      </c>
      <c r="I398" s="27">
        <f t="shared" si="380"/>
        <v>0</v>
      </c>
      <c r="J398" s="27">
        <f t="shared" si="380"/>
        <v>0</v>
      </c>
      <c r="K398" s="27">
        <f t="shared" si="380"/>
        <v>0</v>
      </c>
      <c r="L398" s="27">
        <f t="shared" si="380"/>
        <v>0</v>
      </c>
      <c r="M398" s="27">
        <f t="shared" ref="M398:N398" si="381">M399</f>
        <v>0</v>
      </c>
      <c r="N398" s="27">
        <f t="shared" si="381"/>
        <v>0</v>
      </c>
      <c r="O398" s="27" t="e">
        <f t="shared" si="377"/>
        <v>#DIV/0!</v>
      </c>
    </row>
    <row r="399" spans="1:15" ht="15.75" hidden="1" customHeight="1" x14ac:dyDescent="0.25">
      <c r="A399" s="26" t="s">
        <v>325</v>
      </c>
      <c r="B399" s="220">
        <v>903</v>
      </c>
      <c r="C399" s="218" t="s">
        <v>350</v>
      </c>
      <c r="D399" s="218" t="s">
        <v>169</v>
      </c>
      <c r="E399" s="218" t="s">
        <v>379</v>
      </c>
      <c r="F399" s="218" t="s">
        <v>326</v>
      </c>
      <c r="G399" s="27">
        <f>2.9-2.9</f>
        <v>0</v>
      </c>
      <c r="H399" s="27">
        <f>2.9-2.9</f>
        <v>0</v>
      </c>
      <c r="I399" s="27">
        <f t="shared" ref="I399:L399" si="382">2.9-2.9</f>
        <v>0</v>
      </c>
      <c r="J399" s="27">
        <f t="shared" si="382"/>
        <v>0</v>
      </c>
      <c r="K399" s="27">
        <f t="shared" si="382"/>
        <v>0</v>
      </c>
      <c r="L399" s="27">
        <f t="shared" si="382"/>
        <v>0</v>
      </c>
      <c r="M399" s="27">
        <f t="shared" ref="M399:N399" si="383">2.9-2.9</f>
        <v>0</v>
      </c>
      <c r="N399" s="27">
        <f t="shared" si="383"/>
        <v>0</v>
      </c>
      <c r="O399" s="27" t="e">
        <f t="shared" si="377"/>
        <v>#DIV/0!</v>
      </c>
    </row>
    <row r="400" spans="1:15" ht="31.5" x14ac:dyDescent="0.25">
      <c r="A400" s="26" t="s">
        <v>380</v>
      </c>
      <c r="B400" s="220">
        <v>903</v>
      </c>
      <c r="C400" s="218" t="s">
        <v>350</v>
      </c>
      <c r="D400" s="218" t="s">
        <v>169</v>
      </c>
      <c r="E400" s="218" t="s">
        <v>381</v>
      </c>
      <c r="F400" s="218"/>
      <c r="G400" s="27">
        <f>G401+G403</f>
        <v>177.3</v>
      </c>
      <c r="H400" s="27">
        <f>H401+H403</f>
        <v>0</v>
      </c>
      <c r="I400" s="27">
        <f t="shared" ref="I400:L400" si="384">I401+I403</f>
        <v>177.3</v>
      </c>
      <c r="J400" s="27">
        <f t="shared" si="384"/>
        <v>177.3</v>
      </c>
      <c r="K400" s="27">
        <f t="shared" si="384"/>
        <v>177.3</v>
      </c>
      <c r="L400" s="27">
        <f t="shared" si="384"/>
        <v>177.3</v>
      </c>
      <c r="M400" s="27">
        <f t="shared" ref="M400:N400" si="385">M401+M403</f>
        <v>177.3</v>
      </c>
      <c r="N400" s="27">
        <f t="shared" si="385"/>
        <v>177.3</v>
      </c>
      <c r="O400" s="27">
        <f t="shared" si="377"/>
        <v>100</v>
      </c>
    </row>
    <row r="401" spans="1:15" ht="31.5" hidden="1" customHeight="1" x14ac:dyDescent="0.25">
      <c r="A401" s="26" t="s">
        <v>182</v>
      </c>
      <c r="B401" s="220">
        <v>903</v>
      </c>
      <c r="C401" s="218" t="s">
        <v>350</v>
      </c>
      <c r="D401" s="218" t="s">
        <v>169</v>
      </c>
      <c r="E401" s="218" t="s">
        <v>381</v>
      </c>
      <c r="F401" s="218" t="s">
        <v>183</v>
      </c>
      <c r="G401" s="27">
        <f t="shared" ref="G401:L401" si="386">G402</f>
        <v>0</v>
      </c>
      <c r="H401" s="27">
        <f t="shared" si="386"/>
        <v>0</v>
      </c>
      <c r="I401" s="27">
        <f t="shared" si="386"/>
        <v>0</v>
      </c>
      <c r="J401" s="27">
        <f t="shared" si="386"/>
        <v>0</v>
      </c>
      <c r="K401" s="27">
        <f t="shared" si="386"/>
        <v>0</v>
      </c>
      <c r="L401" s="27">
        <f t="shared" si="386"/>
        <v>0</v>
      </c>
      <c r="M401" s="27">
        <f t="shared" ref="M401:N401" si="387">M402</f>
        <v>0</v>
      </c>
      <c r="N401" s="27">
        <f t="shared" si="387"/>
        <v>0</v>
      </c>
      <c r="O401" s="27" t="e">
        <f t="shared" si="377"/>
        <v>#DIV/0!</v>
      </c>
    </row>
    <row r="402" spans="1:15" ht="47.25" hidden="1" customHeight="1" x14ac:dyDescent="0.25">
      <c r="A402" s="26" t="s">
        <v>184</v>
      </c>
      <c r="B402" s="220">
        <v>903</v>
      </c>
      <c r="C402" s="218" t="s">
        <v>350</v>
      </c>
      <c r="D402" s="218" t="s">
        <v>169</v>
      </c>
      <c r="E402" s="218" t="s">
        <v>381</v>
      </c>
      <c r="F402" s="227">
        <v>240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 t="e">
        <f t="shared" si="377"/>
        <v>#DIV/0!</v>
      </c>
    </row>
    <row r="403" spans="1:15" ht="47.25" x14ac:dyDescent="0.25">
      <c r="A403" s="26" t="s">
        <v>323</v>
      </c>
      <c r="B403" s="220">
        <v>903</v>
      </c>
      <c r="C403" s="218" t="s">
        <v>350</v>
      </c>
      <c r="D403" s="218" t="s">
        <v>169</v>
      </c>
      <c r="E403" s="218" t="s">
        <v>381</v>
      </c>
      <c r="F403" s="218" t="s">
        <v>324</v>
      </c>
      <c r="G403" s="27">
        <f t="shared" ref="G403:L403" si="388">G404</f>
        <v>177.3</v>
      </c>
      <c r="H403" s="27">
        <f t="shared" si="388"/>
        <v>0</v>
      </c>
      <c r="I403" s="27">
        <f t="shared" si="388"/>
        <v>177.3</v>
      </c>
      <c r="J403" s="27">
        <f t="shared" si="388"/>
        <v>177.3</v>
      </c>
      <c r="K403" s="27">
        <f t="shared" si="388"/>
        <v>177.3</v>
      </c>
      <c r="L403" s="27">
        <f t="shared" si="388"/>
        <v>177.3</v>
      </c>
      <c r="M403" s="27">
        <f t="shared" ref="M403:N403" si="389">M404</f>
        <v>177.3</v>
      </c>
      <c r="N403" s="27">
        <f t="shared" si="389"/>
        <v>177.3</v>
      </c>
      <c r="O403" s="27">
        <f t="shared" si="377"/>
        <v>100</v>
      </c>
    </row>
    <row r="404" spans="1:15" ht="15.75" x14ac:dyDescent="0.25">
      <c r="A404" s="26" t="s">
        <v>325</v>
      </c>
      <c r="B404" s="220">
        <v>903</v>
      </c>
      <c r="C404" s="218" t="s">
        <v>350</v>
      </c>
      <c r="D404" s="218" t="s">
        <v>169</v>
      </c>
      <c r="E404" s="218" t="s">
        <v>381</v>
      </c>
      <c r="F404" s="218" t="s">
        <v>326</v>
      </c>
      <c r="G404" s="27">
        <f>274.5-97.2</f>
        <v>177.3</v>
      </c>
      <c r="H404" s="27">
        <v>0</v>
      </c>
      <c r="I404" s="27">
        <f t="shared" ref="I404:L404" si="390">274.5-97.2</f>
        <v>177.3</v>
      </c>
      <c r="J404" s="27">
        <f t="shared" si="390"/>
        <v>177.3</v>
      </c>
      <c r="K404" s="27">
        <f t="shared" si="390"/>
        <v>177.3</v>
      </c>
      <c r="L404" s="27">
        <f t="shared" si="390"/>
        <v>177.3</v>
      </c>
      <c r="M404" s="27">
        <v>177.3</v>
      </c>
      <c r="N404" s="27">
        <v>177.3</v>
      </c>
      <c r="O404" s="27">
        <f t="shared" si="377"/>
        <v>100</v>
      </c>
    </row>
    <row r="405" spans="1:15" ht="78.75" x14ac:dyDescent="0.25">
      <c r="A405" s="26" t="s">
        <v>382</v>
      </c>
      <c r="B405" s="220">
        <v>903</v>
      </c>
      <c r="C405" s="218" t="s">
        <v>350</v>
      </c>
      <c r="D405" s="218" t="s">
        <v>169</v>
      </c>
      <c r="E405" s="218" t="s">
        <v>383</v>
      </c>
      <c r="F405" s="218"/>
      <c r="G405" s="27">
        <f t="shared" ref="G405:L406" si="391">G406</f>
        <v>263.3</v>
      </c>
      <c r="H405" s="27">
        <f t="shared" si="391"/>
        <v>123.8</v>
      </c>
      <c r="I405" s="27">
        <f t="shared" si="391"/>
        <v>263.3</v>
      </c>
      <c r="J405" s="27">
        <f t="shared" si="391"/>
        <v>263.3</v>
      </c>
      <c r="K405" s="27">
        <f t="shared" si="391"/>
        <v>263.3</v>
      </c>
      <c r="L405" s="27">
        <f t="shared" si="391"/>
        <v>263.3</v>
      </c>
      <c r="M405" s="27">
        <f t="shared" ref="M405:N406" si="392">M406</f>
        <v>273.7</v>
      </c>
      <c r="N405" s="27">
        <f t="shared" si="392"/>
        <v>204.1</v>
      </c>
      <c r="O405" s="27">
        <f t="shared" si="377"/>
        <v>74.570697844355138</v>
      </c>
    </row>
    <row r="406" spans="1:15" ht="47.25" x14ac:dyDescent="0.25">
      <c r="A406" s="26" t="s">
        <v>323</v>
      </c>
      <c r="B406" s="220">
        <v>903</v>
      </c>
      <c r="C406" s="218" t="s">
        <v>350</v>
      </c>
      <c r="D406" s="218" t="s">
        <v>169</v>
      </c>
      <c r="E406" s="218" t="s">
        <v>383</v>
      </c>
      <c r="F406" s="218" t="s">
        <v>324</v>
      </c>
      <c r="G406" s="27">
        <f>G407</f>
        <v>263.3</v>
      </c>
      <c r="H406" s="27">
        <f>H407</f>
        <v>123.8</v>
      </c>
      <c r="I406" s="27">
        <f t="shared" si="391"/>
        <v>263.3</v>
      </c>
      <c r="J406" s="27">
        <f t="shared" si="391"/>
        <v>263.3</v>
      </c>
      <c r="K406" s="27">
        <f t="shared" si="391"/>
        <v>263.3</v>
      </c>
      <c r="L406" s="27">
        <f t="shared" si="391"/>
        <v>263.3</v>
      </c>
      <c r="M406" s="27">
        <f t="shared" si="392"/>
        <v>273.7</v>
      </c>
      <c r="N406" s="27">
        <f t="shared" si="392"/>
        <v>204.1</v>
      </c>
      <c r="O406" s="27">
        <f t="shared" si="377"/>
        <v>74.570697844355138</v>
      </c>
    </row>
    <row r="407" spans="1:15" ht="15.75" x14ac:dyDescent="0.25">
      <c r="A407" s="26" t="s">
        <v>325</v>
      </c>
      <c r="B407" s="220">
        <v>903</v>
      </c>
      <c r="C407" s="218" t="s">
        <v>350</v>
      </c>
      <c r="D407" s="218" t="s">
        <v>169</v>
      </c>
      <c r="E407" s="218" t="s">
        <v>383</v>
      </c>
      <c r="F407" s="218" t="s">
        <v>326</v>
      </c>
      <c r="G407" s="27">
        <f>247.6+15.7</f>
        <v>263.3</v>
      </c>
      <c r="H407" s="27">
        <v>123.8</v>
      </c>
      <c r="I407" s="27">
        <f t="shared" ref="I407:L407" si="393">247.6+15.7</f>
        <v>263.3</v>
      </c>
      <c r="J407" s="27">
        <f t="shared" si="393"/>
        <v>263.3</v>
      </c>
      <c r="K407" s="27">
        <f t="shared" si="393"/>
        <v>263.3</v>
      </c>
      <c r="L407" s="27">
        <f t="shared" si="393"/>
        <v>263.3</v>
      </c>
      <c r="M407" s="27">
        <v>273.7</v>
      </c>
      <c r="N407" s="27">
        <v>204.1</v>
      </c>
      <c r="O407" s="27">
        <f t="shared" si="377"/>
        <v>74.570697844355138</v>
      </c>
    </row>
    <row r="408" spans="1:15" ht="110.25" x14ac:dyDescent="0.25">
      <c r="A408" s="33" t="s">
        <v>344</v>
      </c>
      <c r="B408" s="220">
        <v>903</v>
      </c>
      <c r="C408" s="218" t="s">
        <v>350</v>
      </c>
      <c r="D408" s="218" t="s">
        <v>169</v>
      </c>
      <c r="E408" s="218" t="s">
        <v>345</v>
      </c>
      <c r="F408" s="218"/>
      <c r="G408" s="27">
        <f t="shared" ref="G408:L409" si="394">G409</f>
        <v>1693.3000000000002</v>
      </c>
      <c r="H408" s="27">
        <f t="shared" si="394"/>
        <v>916.8</v>
      </c>
      <c r="I408" s="27">
        <f t="shared" si="394"/>
        <v>1693.3000000000002</v>
      </c>
      <c r="J408" s="27">
        <f t="shared" si="394"/>
        <v>1693.3000000000002</v>
      </c>
      <c r="K408" s="27">
        <f t="shared" si="394"/>
        <v>1693.3000000000002</v>
      </c>
      <c r="L408" s="27">
        <f t="shared" si="394"/>
        <v>1693.3000000000002</v>
      </c>
      <c r="M408" s="27">
        <f t="shared" ref="M408:N409" si="395">M409</f>
        <v>1648.8000000000002</v>
      </c>
      <c r="N408" s="27">
        <f t="shared" si="395"/>
        <v>1190.8</v>
      </c>
      <c r="O408" s="27">
        <f t="shared" si="377"/>
        <v>72.222222222222214</v>
      </c>
    </row>
    <row r="409" spans="1:15" ht="47.25" x14ac:dyDescent="0.25">
      <c r="A409" s="26" t="s">
        <v>323</v>
      </c>
      <c r="B409" s="220">
        <v>903</v>
      </c>
      <c r="C409" s="218" t="s">
        <v>350</v>
      </c>
      <c r="D409" s="218" t="s">
        <v>169</v>
      </c>
      <c r="E409" s="218" t="s">
        <v>345</v>
      </c>
      <c r="F409" s="218" t="s">
        <v>324</v>
      </c>
      <c r="G409" s="27">
        <f>G410</f>
        <v>1693.3000000000002</v>
      </c>
      <c r="H409" s="27">
        <f>H410</f>
        <v>916.8</v>
      </c>
      <c r="I409" s="27">
        <f t="shared" si="394"/>
        <v>1693.3000000000002</v>
      </c>
      <c r="J409" s="27">
        <f t="shared" si="394"/>
        <v>1693.3000000000002</v>
      </c>
      <c r="K409" s="27">
        <f t="shared" si="394"/>
        <v>1693.3000000000002</v>
      </c>
      <c r="L409" s="27">
        <f t="shared" si="394"/>
        <v>1693.3000000000002</v>
      </c>
      <c r="M409" s="27">
        <f t="shared" si="395"/>
        <v>1648.8000000000002</v>
      </c>
      <c r="N409" s="27">
        <f t="shared" si="395"/>
        <v>1190.8</v>
      </c>
      <c r="O409" s="27">
        <f t="shared" si="377"/>
        <v>72.222222222222214</v>
      </c>
    </row>
    <row r="410" spans="1:15" ht="15.75" x14ac:dyDescent="0.25">
      <c r="A410" s="26" t="s">
        <v>325</v>
      </c>
      <c r="B410" s="220">
        <v>903</v>
      </c>
      <c r="C410" s="218" t="s">
        <v>350</v>
      </c>
      <c r="D410" s="218" t="s">
        <v>169</v>
      </c>
      <c r="E410" s="218" t="s">
        <v>345</v>
      </c>
      <c r="F410" s="218" t="s">
        <v>326</v>
      </c>
      <c r="G410" s="27">
        <f>1929.4-236.1</f>
        <v>1693.3000000000002</v>
      </c>
      <c r="H410" s="27">
        <v>916.8</v>
      </c>
      <c r="I410" s="27">
        <f t="shared" ref="I410:L410" si="396">1929.4-236.1</f>
        <v>1693.3000000000002</v>
      </c>
      <c r="J410" s="27">
        <f t="shared" si="396"/>
        <v>1693.3000000000002</v>
      </c>
      <c r="K410" s="27">
        <f t="shared" si="396"/>
        <v>1693.3000000000002</v>
      </c>
      <c r="L410" s="27">
        <f t="shared" si="396"/>
        <v>1693.3000000000002</v>
      </c>
      <c r="M410" s="27">
        <f>1929.4-236.1-44.5</f>
        <v>1648.8000000000002</v>
      </c>
      <c r="N410" s="27">
        <v>1190.8</v>
      </c>
      <c r="O410" s="27">
        <f t="shared" si="377"/>
        <v>72.222222222222214</v>
      </c>
    </row>
    <row r="411" spans="1:15" ht="15.75" x14ac:dyDescent="0.25">
      <c r="A411" s="33" t="s">
        <v>766</v>
      </c>
      <c r="B411" s="220">
        <v>903</v>
      </c>
      <c r="C411" s="218" t="s">
        <v>350</v>
      </c>
      <c r="D411" s="218" t="s">
        <v>169</v>
      </c>
      <c r="E411" s="218" t="s">
        <v>767</v>
      </c>
      <c r="F411" s="218"/>
      <c r="G411" s="27">
        <f>G412</f>
        <v>4</v>
      </c>
      <c r="H411" s="27">
        <f>H412</f>
        <v>4</v>
      </c>
      <c r="I411" s="27">
        <f t="shared" ref="I411:L412" si="397">I412</f>
        <v>4</v>
      </c>
      <c r="J411" s="27">
        <f t="shared" si="397"/>
        <v>0</v>
      </c>
      <c r="K411" s="27">
        <f t="shared" si="397"/>
        <v>0</v>
      </c>
      <c r="L411" s="27">
        <f t="shared" si="397"/>
        <v>0</v>
      </c>
      <c r="M411" s="27">
        <f t="shared" ref="M411:N412" si="398">M412</f>
        <v>3.3</v>
      </c>
      <c r="N411" s="27">
        <f t="shared" si="398"/>
        <v>0</v>
      </c>
      <c r="O411" s="27">
        <f t="shared" si="377"/>
        <v>0</v>
      </c>
    </row>
    <row r="412" spans="1:15" ht="47.25" x14ac:dyDescent="0.25">
      <c r="A412" s="26" t="s">
        <v>323</v>
      </c>
      <c r="B412" s="220">
        <v>903</v>
      </c>
      <c r="C412" s="218" t="s">
        <v>350</v>
      </c>
      <c r="D412" s="218" t="s">
        <v>169</v>
      </c>
      <c r="E412" s="218" t="s">
        <v>767</v>
      </c>
      <c r="F412" s="218" t="s">
        <v>324</v>
      </c>
      <c r="G412" s="27">
        <f>G413</f>
        <v>4</v>
      </c>
      <c r="H412" s="27">
        <f>H413</f>
        <v>4</v>
      </c>
      <c r="I412" s="27">
        <f t="shared" si="397"/>
        <v>4</v>
      </c>
      <c r="J412" s="27">
        <f t="shared" si="397"/>
        <v>0</v>
      </c>
      <c r="K412" s="27">
        <f t="shared" si="397"/>
        <v>0</v>
      </c>
      <c r="L412" s="27">
        <f t="shared" si="397"/>
        <v>0</v>
      </c>
      <c r="M412" s="27">
        <f t="shared" si="398"/>
        <v>3.3</v>
      </c>
      <c r="N412" s="27">
        <f t="shared" si="398"/>
        <v>0</v>
      </c>
      <c r="O412" s="27">
        <f t="shared" si="377"/>
        <v>0</v>
      </c>
    </row>
    <row r="413" spans="1:15" ht="15.75" x14ac:dyDescent="0.25">
      <c r="A413" s="26" t="s">
        <v>325</v>
      </c>
      <c r="B413" s="220">
        <v>903</v>
      </c>
      <c r="C413" s="218" t="s">
        <v>350</v>
      </c>
      <c r="D413" s="218" t="s">
        <v>169</v>
      </c>
      <c r="E413" s="218" t="s">
        <v>767</v>
      </c>
      <c r="F413" s="218" t="s">
        <v>326</v>
      </c>
      <c r="G413" s="27">
        <v>4</v>
      </c>
      <c r="H413" s="27">
        <v>4</v>
      </c>
      <c r="I413" s="27">
        <v>4</v>
      </c>
      <c r="J413" s="27">
        <v>0</v>
      </c>
      <c r="K413" s="27">
        <v>0</v>
      </c>
      <c r="L413" s="27">
        <v>0</v>
      </c>
      <c r="M413" s="27">
        <v>3.3</v>
      </c>
      <c r="N413" s="27">
        <v>0</v>
      </c>
      <c r="O413" s="27">
        <f t="shared" si="377"/>
        <v>0</v>
      </c>
    </row>
    <row r="414" spans="1:15" ht="31.5" x14ac:dyDescent="0.25">
      <c r="A414" s="24" t="s">
        <v>384</v>
      </c>
      <c r="B414" s="217">
        <v>903</v>
      </c>
      <c r="C414" s="219" t="s">
        <v>350</v>
      </c>
      <c r="D414" s="219" t="s">
        <v>201</v>
      </c>
      <c r="E414" s="219"/>
      <c r="F414" s="219"/>
      <c r="G414" s="22">
        <f t="shared" ref="G414:M414" si="399">G415+G438+G434</f>
        <v>17278.8</v>
      </c>
      <c r="H414" s="22">
        <f t="shared" si="399"/>
        <v>12491.900000000001</v>
      </c>
      <c r="I414" s="22">
        <f t="shared" si="399"/>
        <v>17713.184313725491</v>
      </c>
      <c r="J414" s="22">
        <f t="shared" si="399"/>
        <v>19592.400000000001</v>
      </c>
      <c r="K414" s="22">
        <f t="shared" si="399"/>
        <v>19708.099999999999</v>
      </c>
      <c r="L414" s="22">
        <f t="shared" si="399"/>
        <v>19816.199999999997</v>
      </c>
      <c r="M414" s="22">
        <f t="shared" si="399"/>
        <v>16632.400000000001</v>
      </c>
      <c r="N414" s="22">
        <f t="shared" ref="N414" si="400">N415+N438+N434</f>
        <v>13503.5</v>
      </c>
      <c r="O414" s="22">
        <f t="shared" si="377"/>
        <v>81.187922368389394</v>
      </c>
    </row>
    <row r="415" spans="1:15" ht="47.25" hidden="1" x14ac:dyDescent="0.25">
      <c r="A415" s="26" t="s">
        <v>385</v>
      </c>
      <c r="B415" s="220">
        <v>903</v>
      </c>
      <c r="C415" s="218" t="s">
        <v>350</v>
      </c>
      <c r="D415" s="218" t="s">
        <v>201</v>
      </c>
      <c r="E415" s="218" t="s">
        <v>386</v>
      </c>
      <c r="F415" s="218"/>
      <c r="G415" s="27">
        <f t="shared" ref="G415:M415" si="401">G416+G422+G428+G419+G425+G431</f>
        <v>125</v>
      </c>
      <c r="H415" s="27">
        <f t="shared" si="401"/>
        <v>0</v>
      </c>
      <c r="I415" s="27">
        <f t="shared" si="401"/>
        <v>125</v>
      </c>
      <c r="J415" s="27">
        <f t="shared" si="401"/>
        <v>0</v>
      </c>
      <c r="K415" s="27">
        <f t="shared" si="401"/>
        <v>0</v>
      </c>
      <c r="L415" s="27">
        <f t="shared" si="401"/>
        <v>0</v>
      </c>
      <c r="M415" s="27">
        <f t="shared" si="401"/>
        <v>0</v>
      </c>
      <c r="N415" s="27">
        <f t="shared" ref="N415" si="402">N416+N422+N428+N419+N425+N431</f>
        <v>0</v>
      </c>
      <c r="O415" s="27" t="e">
        <f t="shared" si="377"/>
        <v>#DIV/0!</v>
      </c>
    </row>
    <row r="416" spans="1:15" ht="31.5" hidden="1" customHeight="1" x14ac:dyDescent="0.25">
      <c r="A416" s="26" t="s">
        <v>387</v>
      </c>
      <c r="B416" s="220">
        <v>903</v>
      </c>
      <c r="C416" s="218" t="s">
        <v>350</v>
      </c>
      <c r="D416" s="218" t="s">
        <v>201</v>
      </c>
      <c r="E416" s="218" t="s">
        <v>388</v>
      </c>
      <c r="F416" s="218"/>
      <c r="G416" s="27">
        <f>G417</f>
        <v>0</v>
      </c>
      <c r="H416" s="27">
        <f>H417</f>
        <v>0</v>
      </c>
      <c r="I416" s="27">
        <f t="shared" ref="I416:L417" si="403">I417</f>
        <v>0</v>
      </c>
      <c r="J416" s="27">
        <f t="shared" si="403"/>
        <v>0</v>
      </c>
      <c r="K416" s="27">
        <f t="shared" si="403"/>
        <v>0</v>
      </c>
      <c r="L416" s="27">
        <f t="shared" si="403"/>
        <v>0</v>
      </c>
      <c r="M416" s="27">
        <f t="shared" ref="M416:N417" si="404">M417</f>
        <v>0</v>
      </c>
      <c r="N416" s="27">
        <f t="shared" si="404"/>
        <v>0</v>
      </c>
      <c r="O416" s="27" t="e">
        <f t="shared" si="377"/>
        <v>#DIV/0!</v>
      </c>
    </row>
    <row r="417" spans="1:15" ht="31.5" hidden="1" customHeight="1" x14ac:dyDescent="0.25">
      <c r="A417" s="26" t="s">
        <v>182</v>
      </c>
      <c r="B417" s="220">
        <v>903</v>
      </c>
      <c r="C417" s="218" t="s">
        <v>350</v>
      </c>
      <c r="D417" s="218" t="s">
        <v>201</v>
      </c>
      <c r="E417" s="218" t="s">
        <v>388</v>
      </c>
      <c r="F417" s="218" t="s">
        <v>183</v>
      </c>
      <c r="G417" s="27">
        <f>G418</f>
        <v>0</v>
      </c>
      <c r="H417" s="27">
        <f>H418</f>
        <v>0</v>
      </c>
      <c r="I417" s="27">
        <f t="shared" si="403"/>
        <v>0</v>
      </c>
      <c r="J417" s="27">
        <f t="shared" si="403"/>
        <v>0</v>
      </c>
      <c r="K417" s="27">
        <f t="shared" si="403"/>
        <v>0</v>
      </c>
      <c r="L417" s="27">
        <f t="shared" si="403"/>
        <v>0</v>
      </c>
      <c r="M417" s="27">
        <f t="shared" si="404"/>
        <v>0</v>
      </c>
      <c r="N417" s="27">
        <f t="shared" si="404"/>
        <v>0</v>
      </c>
      <c r="O417" s="27" t="e">
        <f t="shared" si="377"/>
        <v>#DIV/0!</v>
      </c>
    </row>
    <row r="418" spans="1:15" ht="47.25" hidden="1" customHeight="1" x14ac:dyDescent="0.25">
      <c r="A418" s="26" t="s">
        <v>184</v>
      </c>
      <c r="B418" s="220">
        <v>903</v>
      </c>
      <c r="C418" s="218" t="s">
        <v>350</v>
      </c>
      <c r="D418" s="218" t="s">
        <v>201</v>
      </c>
      <c r="E418" s="218" t="s">
        <v>388</v>
      </c>
      <c r="F418" s="218" t="s">
        <v>185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 t="e">
        <f t="shared" si="377"/>
        <v>#DIV/0!</v>
      </c>
    </row>
    <row r="419" spans="1:15" ht="47.25" hidden="1" customHeight="1" x14ac:dyDescent="0.25">
      <c r="A419" s="123" t="s">
        <v>919</v>
      </c>
      <c r="B419" s="220">
        <v>903</v>
      </c>
      <c r="C419" s="218" t="s">
        <v>350</v>
      </c>
      <c r="D419" s="218" t="s">
        <v>201</v>
      </c>
      <c r="E419" s="218" t="s">
        <v>388</v>
      </c>
      <c r="F419" s="218"/>
      <c r="G419" s="27">
        <f>G420</f>
        <v>0</v>
      </c>
      <c r="H419" s="27">
        <f t="shared" ref="H419:N420" si="405">H420</f>
        <v>0</v>
      </c>
      <c r="I419" s="27">
        <f t="shared" si="405"/>
        <v>0</v>
      </c>
      <c r="J419" s="27">
        <f t="shared" si="405"/>
        <v>0</v>
      </c>
      <c r="K419" s="27">
        <f t="shared" si="405"/>
        <v>0</v>
      </c>
      <c r="L419" s="27">
        <f t="shared" si="405"/>
        <v>0</v>
      </c>
      <c r="M419" s="27">
        <f t="shared" si="405"/>
        <v>0</v>
      </c>
      <c r="N419" s="27">
        <f t="shared" si="405"/>
        <v>0</v>
      </c>
      <c r="O419" s="27" t="e">
        <f t="shared" si="377"/>
        <v>#DIV/0!</v>
      </c>
    </row>
    <row r="420" spans="1:15" ht="47.25" hidden="1" customHeight="1" x14ac:dyDescent="0.25">
      <c r="A420" s="26" t="s">
        <v>182</v>
      </c>
      <c r="B420" s="220">
        <v>903</v>
      </c>
      <c r="C420" s="218" t="s">
        <v>350</v>
      </c>
      <c r="D420" s="218" t="s">
        <v>201</v>
      </c>
      <c r="E420" s="218" t="s">
        <v>388</v>
      </c>
      <c r="F420" s="218" t="s">
        <v>183</v>
      </c>
      <c r="G420" s="27">
        <f>G421</f>
        <v>0</v>
      </c>
      <c r="H420" s="27">
        <f t="shared" si="405"/>
        <v>0</v>
      </c>
      <c r="I420" s="27">
        <f t="shared" si="405"/>
        <v>0</v>
      </c>
      <c r="J420" s="27">
        <f t="shared" si="405"/>
        <v>0</v>
      </c>
      <c r="K420" s="27">
        <f t="shared" si="405"/>
        <v>0</v>
      </c>
      <c r="L420" s="27">
        <f t="shared" si="405"/>
        <v>0</v>
      </c>
      <c r="M420" s="27">
        <f t="shared" si="405"/>
        <v>0</v>
      </c>
      <c r="N420" s="27">
        <f t="shared" si="405"/>
        <v>0</v>
      </c>
      <c r="O420" s="27" t="e">
        <f t="shared" si="377"/>
        <v>#DIV/0!</v>
      </c>
    </row>
    <row r="421" spans="1:15" ht="47.25" hidden="1" customHeight="1" x14ac:dyDescent="0.25">
      <c r="A421" s="26" t="s">
        <v>184</v>
      </c>
      <c r="B421" s="220">
        <v>903</v>
      </c>
      <c r="C421" s="218" t="s">
        <v>350</v>
      </c>
      <c r="D421" s="218" t="s">
        <v>201</v>
      </c>
      <c r="E421" s="218" t="s">
        <v>388</v>
      </c>
      <c r="F421" s="218" t="s">
        <v>185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 t="e">
        <f t="shared" si="377"/>
        <v>#DIV/0!</v>
      </c>
    </row>
    <row r="422" spans="1:15" ht="31.5" hidden="1" x14ac:dyDescent="0.25">
      <c r="A422" s="26" t="s">
        <v>389</v>
      </c>
      <c r="B422" s="220">
        <v>903</v>
      </c>
      <c r="C422" s="218" t="s">
        <v>350</v>
      </c>
      <c r="D422" s="218" t="s">
        <v>201</v>
      </c>
      <c r="E422" s="218" t="s">
        <v>390</v>
      </c>
      <c r="F422" s="218"/>
      <c r="G422" s="27">
        <f>G423</f>
        <v>20</v>
      </c>
      <c r="H422" s="27">
        <f>H423</f>
        <v>0</v>
      </c>
      <c r="I422" s="27">
        <f t="shared" ref="I422:L423" si="406">I423</f>
        <v>20</v>
      </c>
      <c r="J422" s="27">
        <f t="shared" si="406"/>
        <v>0</v>
      </c>
      <c r="K422" s="27">
        <f t="shared" si="406"/>
        <v>0</v>
      </c>
      <c r="L422" s="27">
        <f t="shared" si="406"/>
        <v>0</v>
      </c>
      <c r="M422" s="27">
        <f t="shared" ref="M422:N423" si="407">M423</f>
        <v>0</v>
      </c>
      <c r="N422" s="27">
        <f t="shared" si="407"/>
        <v>0</v>
      </c>
      <c r="O422" s="27" t="e">
        <f t="shared" si="377"/>
        <v>#DIV/0!</v>
      </c>
    </row>
    <row r="423" spans="1:15" ht="31.5" hidden="1" x14ac:dyDescent="0.25">
      <c r="A423" s="26" t="s">
        <v>182</v>
      </c>
      <c r="B423" s="220">
        <v>903</v>
      </c>
      <c r="C423" s="218" t="s">
        <v>350</v>
      </c>
      <c r="D423" s="218" t="s">
        <v>201</v>
      </c>
      <c r="E423" s="218" t="s">
        <v>390</v>
      </c>
      <c r="F423" s="218" t="s">
        <v>183</v>
      </c>
      <c r="G423" s="27">
        <f>G424</f>
        <v>20</v>
      </c>
      <c r="H423" s="27">
        <f>H424</f>
        <v>0</v>
      </c>
      <c r="I423" s="27">
        <f t="shared" si="406"/>
        <v>20</v>
      </c>
      <c r="J423" s="27">
        <f t="shared" si="406"/>
        <v>0</v>
      </c>
      <c r="K423" s="27">
        <f t="shared" si="406"/>
        <v>0</v>
      </c>
      <c r="L423" s="27">
        <f t="shared" si="406"/>
        <v>0</v>
      </c>
      <c r="M423" s="27">
        <f t="shared" si="407"/>
        <v>0</v>
      </c>
      <c r="N423" s="27">
        <f t="shared" si="407"/>
        <v>0</v>
      </c>
      <c r="O423" s="27" t="e">
        <f t="shared" si="377"/>
        <v>#DIV/0!</v>
      </c>
    </row>
    <row r="424" spans="1:15" ht="47.25" hidden="1" x14ac:dyDescent="0.25">
      <c r="A424" s="26" t="s">
        <v>184</v>
      </c>
      <c r="B424" s="220">
        <v>903</v>
      </c>
      <c r="C424" s="218" t="s">
        <v>350</v>
      </c>
      <c r="D424" s="218" t="s">
        <v>201</v>
      </c>
      <c r="E424" s="218" t="s">
        <v>390</v>
      </c>
      <c r="F424" s="218" t="s">
        <v>185</v>
      </c>
      <c r="G424" s="27">
        <v>20</v>
      </c>
      <c r="H424" s="27">
        <v>0</v>
      </c>
      <c r="I424" s="27">
        <v>20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 t="e">
        <f t="shared" si="377"/>
        <v>#DIV/0!</v>
      </c>
    </row>
    <row r="425" spans="1:15" ht="47.25" hidden="1" x14ac:dyDescent="0.25">
      <c r="A425" s="33" t="s">
        <v>920</v>
      </c>
      <c r="B425" s="220">
        <v>903</v>
      </c>
      <c r="C425" s="218" t="s">
        <v>350</v>
      </c>
      <c r="D425" s="218" t="s">
        <v>201</v>
      </c>
      <c r="E425" s="218" t="s">
        <v>917</v>
      </c>
      <c r="F425" s="218"/>
      <c r="G425" s="27">
        <f>G426</f>
        <v>0</v>
      </c>
      <c r="H425" s="27">
        <f t="shared" ref="H425:N426" si="408">H426</f>
        <v>0</v>
      </c>
      <c r="I425" s="27">
        <f t="shared" si="408"/>
        <v>0</v>
      </c>
      <c r="J425" s="27">
        <f t="shared" si="408"/>
        <v>0</v>
      </c>
      <c r="K425" s="27">
        <f t="shared" si="408"/>
        <v>0</v>
      </c>
      <c r="L425" s="27">
        <f t="shared" si="408"/>
        <v>0</v>
      </c>
      <c r="M425" s="27">
        <f t="shared" si="408"/>
        <v>0</v>
      </c>
      <c r="N425" s="27">
        <f t="shared" si="408"/>
        <v>0</v>
      </c>
      <c r="O425" s="27" t="e">
        <f t="shared" si="377"/>
        <v>#DIV/0!</v>
      </c>
    </row>
    <row r="426" spans="1:15" ht="31.5" hidden="1" x14ac:dyDescent="0.25">
      <c r="A426" s="26" t="s">
        <v>182</v>
      </c>
      <c r="B426" s="220">
        <v>903</v>
      </c>
      <c r="C426" s="218" t="s">
        <v>350</v>
      </c>
      <c r="D426" s="218" t="s">
        <v>201</v>
      </c>
      <c r="E426" s="218" t="s">
        <v>917</v>
      </c>
      <c r="F426" s="218" t="s">
        <v>183</v>
      </c>
      <c r="G426" s="27">
        <f>G427</f>
        <v>0</v>
      </c>
      <c r="H426" s="27">
        <f t="shared" si="408"/>
        <v>0</v>
      </c>
      <c r="I426" s="27">
        <f t="shared" si="408"/>
        <v>0</v>
      </c>
      <c r="J426" s="27">
        <f t="shared" si="408"/>
        <v>0</v>
      </c>
      <c r="K426" s="27">
        <f t="shared" si="408"/>
        <v>0</v>
      </c>
      <c r="L426" s="27">
        <f t="shared" si="408"/>
        <v>0</v>
      </c>
      <c r="M426" s="27">
        <f t="shared" si="408"/>
        <v>0</v>
      </c>
      <c r="N426" s="27">
        <f t="shared" si="408"/>
        <v>0</v>
      </c>
      <c r="O426" s="27" t="e">
        <f t="shared" si="377"/>
        <v>#DIV/0!</v>
      </c>
    </row>
    <row r="427" spans="1:15" ht="47.25" hidden="1" x14ac:dyDescent="0.25">
      <c r="A427" s="26" t="s">
        <v>184</v>
      </c>
      <c r="B427" s="220">
        <v>903</v>
      </c>
      <c r="C427" s="218" t="s">
        <v>350</v>
      </c>
      <c r="D427" s="218" t="s">
        <v>201</v>
      </c>
      <c r="E427" s="218" t="s">
        <v>917</v>
      </c>
      <c r="F427" s="218" t="s">
        <v>185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 t="e">
        <f t="shared" si="377"/>
        <v>#DIV/0!</v>
      </c>
    </row>
    <row r="428" spans="1:15" ht="63" hidden="1" x14ac:dyDescent="0.25">
      <c r="A428" s="26" t="s">
        <v>802</v>
      </c>
      <c r="B428" s="220">
        <v>903</v>
      </c>
      <c r="C428" s="218" t="s">
        <v>350</v>
      </c>
      <c r="D428" s="218" t="s">
        <v>201</v>
      </c>
      <c r="E428" s="218" t="s">
        <v>922</v>
      </c>
      <c r="F428" s="218"/>
      <c r="G428" s="27">
        <f>G429</f>
        <v>105</v>
      </c>
      <c r="H428" s="27">
        <f>H429</f>
        <v>0</v>
      </c>
      <c r="I428" s="27">
        <f t="shared" ref="I428:L429" si="409">I429</f>
        <v>105</v>
      </c>
      <c r="J428" s="27">
        <f t="shared" si="409"/>
        <v>0</v>
      </c>
      <c r="K428" s="27">
        <f t="shared" si="409"/>
        <v>0</v>
      </c>
      <c r="L428" s="27">
        <f t="shared" si="409"/>
        <v>0</v>
      </c>
      <c r="M428" s="27">
        <f t="shared" ref="M428:N429" si="410">M429</f>
        <v>0</v>
      </c>
      <c r="N428" s="27">
        <f t="shared" si="410"/>
        <v>0</v>
      </c>
      <c r="O428" s="27" t="e">
        <f t="shared" si="377"/>
        <v>#DIV/0!</v>
      </c>
    </row>
    <row r="429" spans="1:15" ht="31.5" hidden="1" x14ac:dyDescent="0.25">
      <c r="A429" s="26" t="s">
        <v>182</v>
      </c>
      <c r="B429" s="220">
        <v>903</v>
      </c>
      <c r="C429" s="218" t="s">
        <v>350</v>
      </c>
      <c r="D429" s="218" t="s">
        <v>201</v>
      </c>
      <c r="E429" s="218" t="s">
        <v>922</v>
      </c>
      <c r="F429" s="218" t="s">
        <v>183</v>
      </c>
      <c r="G429" s="27">
        <f>G430</f>
        <v>105</v>
      </c>
      <c r="H429" s="27">
        <f>H430</f>
        <v>0</v>
      </c>
      <c r="I429" s="27">
        <f t="shared" si="409"/>
        <v>105</v>
      </c>
      <c r="J429" s="27">
        <f t="shared" si="409"/>
        <v>0</v>
      </c>
      <c r="K429" s="27">
        <f t="shared" si="409"/>
        <v>0</v>
      </c>
      <c r="L429" s="27">
        <f t="shared" si="409"/>
        <v>0</v>
      </c>
      <c r="M429" s="27">
        <f t="shared" si="410"/>
        <v>0</v>
      </c>
      <c r="N429" s="27">
        <f t="shared" si="410"/>
        <v>0</v>
      </c>
      <c r="O429" s="27" t="e">
        <f t="shared" si="377"/>
        <v>#DIV/0!</v>
      </c>
    </row>
    <row r="430" spans="1:15" ht="47.25" hidden="1" x14ac:dyDescent="0.25">
      <c r="A430" s="26" t="s">
        <v>184</v>
      </c>
      <c r="B430" s="220">
        <v>903</v>
      </c>
      <c r="C430" s="218" t="s">
        <v>350</v>
      </c>
      <c r="D430" s="218" t="s">
        <v>201</v>
      </c>
      <c r="E430" s="218" t="s">
        <v>922</v>
      </c>
      <c r="F430" s="218" t="s">
        <v>185</v>
      </c>
      <c r="G430" s="27">
        <f>55+50</f>
        <v>105</v>
      </c>
      <c r="H430" s="27">
        <v>0</v>
      </c>
      <c r="I430" s="27">
        <f t="shared" ref="I430" si="411">55+50</f>
        <v>105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 t="e">
        <f t="shared" si="377"/>
        <v>#DIV/0!</v>
      </c>
    </row>
    <row r="431" spans="1:15" ht="31.5" hidden="1" x14ac:dyDescent="0.25">
      <c r="A431" s="33" t="s">
        <v>921</v>
      </c>
      <c r="B431" s="220">
        <v>903</v>
      </c>
      <c r="C431" s="218" t="s">
        <v>350</v>
      </c>
      <c r="D431" s="218" t="s">
        <v>201</v>
      </c>
      <c r="E431" s="218" t="s">
        <v>918</v>
      </c>
      <c r="F431" s="218"/>
      <c r="G431" s="27">
        <f>G432</f>
        <v>0</v>
      </c>
      <c r="H431" s="27">
        <f t="shared" ref="H431:N432" si="412">H432</f>
        <v>0</v>
      </c>
      <c r="I431" s="27">
        <f t="shared" si="412"/>
        <v>0</v>
      </c>
      <c r="J431" s="27">
        <f t="shared" si="412"/>
        <v>0</v>
      </c>
      <c r="K431" s="27">
        <f t="shared" si="412"/>
        <v>0</v>
      </c>
      <c r="L431" s="27">
        <f t="shared" si="412"/>
        <v>0</v>
      </c>
      <c r="M431" s="27">
        <f t="shared" si="412"/>
        <v>0</v>
      </c>
      <c r="N431" s="27">
        <f t="shared" si="412"/>
        <v>0</v>
      </c>
      <c r="O431" s="27" t="e">
        <f t="shared" si="377"/>
        <v>#DIV/0!</v>
      </c>
    </row>
    <row r="432" spans="1:15" ht="31.5" hidden="1" x14ac:dyDescent="0.25">
      <c r="A432" s="26" t="s">
        <v>182</v>
      </c>
      <c r="B432" s="220">
        <v>903</v>
      </c>
      <c r="C432" s="218" t="s">
        <v>350</v>
      </c>
      <c r="D432" s="218" t="s">
        <v>201</v>
      </c>
      <c r="E432" s="218" t="s">
        <v>918</v>
      </c>
      <c r="F432" s="218" t="s">
        <v>183</v>
      </c>
      <c r="G432" s="27">
        <f>G433</f>
        <v>0</v>
      </c>
      <c r="H432" s="27">
        <f t="shared" si="412"/>
        <v>0</v>
      </c>
      <c r="I432" s="27">
        <f t="shared" si="412"/>
        <v>0</v>
      </c>
      <c r="J432" s="27">
        <f t="shared" si="412"/>
        <v>0</v>
      </c>
      <c r="K432" s="27">
        <f t="shared" si="412"/>
        <v>0</v>
      </c>
      <c r="L432" s="27">
        <f t="shared" si="412"/>
        <v>0</v>
      </c>
      <c r="M432" s="27">
        <f t="shared" si="412"/>
        <v>0</v>
      </c>
      <c r="N432" s="27">
        <f t="shared" si="412"/>
        <v>0</v>
      </c>
      <c r="O432" s="27" t="e">
        <f t="shared" si="377"/>
        <v>#DIV/0!</v>
      </c>
    </row>
    <row r="433" spans="1:15" ht="47.25" hidden="1" x14ac:dyDescent="0.25">
      <c r="A433" s="26" t="s">
        <v>184</v>
      </c>
      <c r="B433" s="220">
        <v>903</v>
      </c>
      <c r="C433" s="218" t="s">
        <v>350</v>
      </c>
      <c r="D433" s="218" t="s">
        <v>201</v>
      </c>
      <c r="E433" s="218" t="s">
        <v>918</v>
      </c>
      <c r="F433" s="218" t="s">
        <v>185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 t="e">
        <f t="shared" si="377"/>
        <v>#DIV/0!</v>
      </c>
    </row>
    <row r="434" spans="1:15" ht="63" hidden="1" x14ac:dyDescent="0.25">
      <c r="A434" s="31" t="s">
        <v>801</v>
      </c>
      <c r="B434" s="220">
        <v>903</v>
      </c>
      <c r="C434" s="218" t="s">
        <v>350</v>
      </c>
      <c r="D434" s="218" t="s">
        <v>201</v>
      </c>
      <c r="E434" s="218" t="s">
        <v>799</v>
      </c>
      <c r="F434" s="218"/>
      <c r="G434" s="27">
        <f>G435</f>
        <v>5</v>
      </c>
      <c r="H434" s="27">
        <f t="shared" ref="H434:H436" si="413">H435</f>
        <v>0</v>
      </c>
      <c r="I434" s="27">
        <f t="shared" ref="I434:L436" si="414">I435</f>
        <v>5</v>
      </c>
      <c r="J434" s="27">
        <f t="shared" si="414"/>
        <v>0</v>
      </c>
      <c r="K434" s="27">
        <f t="shared" si="414"/>
        <v>0</v>
      </c>
      <c r="L434" s="27">
        <f t="shared" si="414"/>
        <v>0</v>
      </c>
      <c r="M434" s="27">
        <f t="shared" ref="M434:N436" si="415">M435</f>
        <v>0</v>
      </c>
      <c r="N434" s="27">
        <f t="shared" si="415"/>
        <v>0</v>
      </c>
      <c r="O434" s="27" t="e">
        <f t="shared" si="377"/>
        <v>#DIV/0!</v>
      </c>
    </row>
    <row r="435" spans="1:15" ht="31.5" hidden="1" x14ac:dyDescent="0.25">
      <c r="A435" s="26" t="s">
        <v>420</v>
      </c>
      <c r="B435" s="220">
        <v>903</v>
      </c>
      <c r="C435" s="218" t="s">
        <v>350</v>
      </c>
      <c r="D435" s="218" t="s">
        <v>201</v>
      </c>
      <c r="E435" s="218" t="s">
        <v>807</v>
      </c>
      <c r="F435" s="218"/>
      <c r="G435" s="27">
        <f>G436</f>
        <v>5</v>
      </c>
      <c r="H435" s="27">
        <f t="shared" si="413"/>
        <v>0</v>
      </c>
      <c r="I435" s="27">
        <f t="shared" si="414"/>
        <v>5</v>
      </c>
      <c r="J435" s="27">
        <f t="shared" si="414"/>
        <v>0</v>
      </c>
      <c r="K435" s="27">
        <f t="shared" si="414"/>
        <v>0</v>
      </c>
      <c r="L435" s="27">
        <f t="shared" si="414"/>
        <v>0</v>
      </c>
      <c r="M435" s="27">
        <f t="shared" si="415"/>
        <v>0</v>
      </c>
      <c r="N435" s="27">
        <f t="shared" si="415"/>
        <v>0</v>
      </c>
      <c r="O435" s="27" t="e">
        <f t="shared" si="377"/>
        <v>#DIV/0!</v>
      </c>
    </row>
    <row r="436" spans="1:15" ht="31.5" hidden="1" x14ac:dyDescent="0.25">
      <c r="A436" s="26" t="s">
        <v>182</v>
      </c>
      <c r="B436" s="220">
        <v>903</v>
      </c>
      <c r="C436" s="218" t="s">
        <v>350</v>
      </c>
      <c r="D436" s="218" t="s">
        <v>201</v>
      </c>
      <c r="E436" s="218" t="s">
        <v>807</v>
      </c>
      <c r="F436" s="218" t="s">
        <v>183</v>
      </c>
      <c r="G436" s="27">
        <f>G437</f>
        <v>5</v>
      </c>
      <c r="H436" s="27">
        <f t="shared" si="413"/>
        <v>0</v>
      </c>
      <c r="I436" s="27">
        <f t="shared" si="414"/>
        <v>5</v>
      </c>
      <c r="J436" s="27">
        <f t="shared" si="414"/>
        <v>0</v>
      </c>
      <c r="K436" s="27">
        <f t="shared" si="414"/>
        <v>0</v>
      </c>
      <c r="L436" s="27">
        <f t="shared" si="414"/>
        <v>0</v>
      </c>
      <c r="M436" s="27">
        <f t="shared" si="415"/>
        <v>0</v>
      </c>
      <c r="N436" s="27">
        <f t="shared" si="415"/>
        <v>0</v>
      </c>
      <c r="O436" s="27" t="e">
        <f t="shared" si="377"/>
        <v>#DIV/0!</v>
      </c>
    </row>
    <row r="437" spans="1:15" ht="47.25" hidden="1" x14ac:dyDescent="0.25">
      <c r="A437" s="26" t="s">
        <v>184</v>
      </c>
      <c r="B437" s="220">
        <v>903</v>
      </c>
      <c r="C437" s="218" t="s">
        <v>350</v>
      </c>
      <c r="D437" s="218" t="s">
        <v>201</v>
      </c>
      <c r="E437" s="218" t="s">
        <v>807</v>
      </c>
      <c r="F437" s="218" t="s">
        <v>185</v>
      </c>
      <c r="G437" s="27">
        <v>5</v>
      </c>
      <c r="H437" s="27">
        <v>0</v>
      </c>
      <c r="I437" s="27">
        <v>5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 t="e">
        <f t="shared" si="377"/>
        <v>#DIV/0!</v>
      </c>
    </row>
    <row r="438" spans="1:15" ht="15.75" x14ac:dyDescent="0.25">
      <c r="A438" s="26" t="s">
        <v>172</v>
      </c>
      <c r="B438" s="220">
        <v>903</v>
      </c>
      <c r="C438" s="218" t="s">
        <v>350</v>
      </c>
      <c r="D438" s="218" t="s">
        <v>201</v>
      </c>
      <c r="E438" s="218" t="s">
        <v>173</v>
      </c>
      <c r="F438" s="218"/>
      <c r="G438" s="27">
        <f t="shared" ref="G438:L438" si="416">G439+G445</f>
        <v>17148.8</v>
      </c>
      <c r="H438" s="27">
        <f t="shared" si="416"/>
        <v>12491.900000000001</v>
      </c>
      <c r="I438" s="27">
        <f t="shared" si="416"/>
        <v>17583.184313725491</v>
      </c>
      <c r="J438" s="27">
        <f t="shared" si="416"/>
        <v>19592.400000000001</v>
      </c>
      <c r="K438" s="27">
        <f t="shared" si="416"/>
        <v>19708.099999999999</v>
      </c>
      <c r="L438" s="27">
        <f t="shared" si="416"/>
        <v>19816.199999999997</v>
      </c>
      <c r="M438" s="27">
        <f t="shared" ref="M438:N438" si="417">M439+M445</f>
        <v>16632.400000000001</v>
      </c>
      <c r="N438" s="27">
        <f t="shared" si="417"/>
        <v>13503.5</v>
      </c>
      <c r="O438" s="27">
        <f t="shared" si="377"/>
        <v>81.187922368389394</v>
      </c>
    </row>
    <row r="439" spans="1:15" ht="31.5" x14ac:dyDescent="0.25">
      <c r="A439" s="26" t="s">
        <v>174</v>
      </c>
      <c r="B439" s="220">
        <v>903</v>
      </c>
      <c r="C439" s="218" t="s">
        <v>350</v>
      </c>
      <c r="D439" s="218" t="s">
        <v>201</v>
      </c>
      <c r="E439" s="218" t="s">
        <v>175</v>
      </c>
      <c r="F439" s="218"/>
      <c r="G439" s="27">
        <f>G440</f>
        <v>6754.9</v>
      </c>
      <c r="H439" s="27">
        <f>H440</f>
        <v>5148.5</v>
      </c>
      <c r="I439" s="27">
        <f t="shared" ref="I439:L439" si="418">I440</f>
        <v>7268.4705882352946</v>
      </c>
      <c r="J439" s="27">
        <f t="shared" si="418"/>
        <v>8328</v>
      </c>
      <c r="K439" s="27">
        <f t="shared" si="418"/>
        <v>8328</v>
      </c>
      <c r="L439" s="27">
        <f t="shared" si="418"/>
        <v>8328</v>
      </c>
      <c r="M439" s="27">
        <f t="shared" ref="M439:N439" si="419">M440</f>
        <v>6278.9</v>
      </c>
      <c r="N439" s="27">
        <f t="shared" si="419"/>
        <v>5894.4</v>
      </c>
      <c r="O439" s="27">
        <f t="shared" si="377"/>
        <v>93.876315915208082</v>
      </c>
    </row>
    <row r="440" spans="1:15" ht="47.25" x14ac:dyDescent="0.25">
      <c r="A440" s="26" t="s">
        <v>176</v>
      </c>
      <c r="B440" s="220">
        <v>903</v>
      </c>
      <c r="C440" s="218" t="s">
        <v>350</v>
      </c>
      <c r="D440" s="218" t="s">
        <v>201</v>
      </c>
      <c r="E440" s="218" t="s">
        <v>177</v>
      </c>
      <c r="F440" s="218"/>
      <c r="G440" s="27">
        <f t="shared" ref="G440:L440" si="420">G441+G443</f>
        <v>6754.9</v>
      </c>
      <c r="H440" s="27">
        <f t="shared" si="420"/>
        <v>5148.5</v>
      </c>
      <c r="I440" s="27">
        <f t="shared" si="420"/>
        <v>7268.4705882352946</v>
      </c>
      <c r="J440" s="27">
        <f t="shared" si="420"/>
        <v>8328</v>
      </c>
      <c r="K440" s="27">
        <f t="shared" si="420"/>
        <v>8328</v>
      </c>
      <c r="L440" s="27">
        <f t="shared" si="420"/>
        <v>8328</v>
      </c>
      <c r="M440" s="27">
        <f t="shared" ref="M440:N440" si="421">M441+M443</f>
        <v>6278.9</v>
      </c>
      <c r="N440" s="27">
        <f t="shared" si="421"/>
        <v>5894.4</v>
      </c>
      <c r="O440" s="27">
        <f t="shared" si="377"/>
        <v>93.876315915208082</v>
      </c>
    </row>
    <row r="441" spans="1:15" ht="94.5" x14ac:dyDescent="0.25">
      <c r="A441" s="26" t="s">
        <v>178</v>
      </c>
      <c r="B441" s="220">
        <v>903</v>
      </c>
      <c r="C441" s="218" t="s">
        <v>350</v>
      </c>
      <c r="D441" s="218" t="s">
        <v>201</v>
      </c>
      <c r="E441" s="218" t="s">
        <v>177</v>
      </c>
      <c r="F441" s="218" t="s">
        <v>179</v>
      </c>
      <c r="G441" s="27">
        <f>G442</f>
        <v>6754.9</v>
      </c>
      <c r="H441" s="27">
        <f>H442</f>
        <v>5148.5</v>
      </c>
      <c r="I441" s="27">
        <f t="shared" ref="I441:L441" si="422">I442</f>
        <v>7268.4705882352946</v>
      </c>
      <c r="J441" s="27">
        <f t="shared" si="422"/>
        <v>8114</v>
      </c>
      <c r="K441" s="27">
        <f t="shared" si="422"/>
        <v>8114</v>
      </c>
      <c r="L441" s="27">
        <f t="shared" si="422"/>
        <v>8114</v>
      </c>
      <c r="M441" s="27">
        <f t="shared" ref="M441:N441" si="423">M442</f>
        <v>6278.9</v>
      </c>
      <c r="N441" s="27">
        <f t="shared" si="423"/>
        <v>5894.4</v>
      </c>
      <c r="O441" s="27">
        <f t="shared" si="377"/>
        <v>93.876315915208082</v>
      </c>
    </row>
    <row r="442" spans="1:15" ht="31.5" x14ac:dyDescent="0.25">
      <c r="A442" s="26" t="s">
        <v>180</v>
      </c>
      <c r="B442" s="220">
        <v>903</v>
      </c>
      <c r="C442" s="218" t="s">
        <v>350</v>
      </c>
      <c r="D442" s="218" t="s">
        <v>201</v>
      </c>
      <c r="E442" s="218" t="s">
        <v>177</v>
      </c>
      <c r="F442" s="218" t="s">
        <v>181</v>
      </c>
      <c r="G442" s="28">
        <v>6754.9</v>
      </c>
      <c r="H442" s="28">
        <v>5148.5</v>
      </c>
      <c r="I442" s="28">
        <f>H442/8.5*12</f>
        <v>7268.4705882352946</v>
      </c>
      <c r="J442" s="28">
        <v>8114</v>
      </c>
      <c r="K442" s="28">
        <f>J442</f>
        <v>8114</v>
      </c>
      <c r="L442" s="28">
        <f>K442</f>
        <v>8114</v>
      </c>
      <c r="M442" s="28">
        <f>6254.9+24</f>
        <v>6278.9</v>
      </c>
      <c r="N442" s="28">
        <v>5894.4</v>
      </c>
      <c r="O442" s="27">
        <f t="shared" si="377"/>
        <v>93.876315915208082</v>
      </c>
    </row>
    <row r="443" spans="1:15" ht="31.5" hidden="1" customHeight="1" x14ac:dyDescent="0.25">
      <c r="A443" s="26" t="s">
        <v>182</v>
      </c>
      <c r="B443" s="220">
        <v>903</v>
      </c>
      <c r="C443" s="218" t="s">
        <v>350</v>
      </c>
      <c r="D443" s="218" t="s">
        <v>201</v>
      </c>
      <c r="E443" s="218" t="s">
        <v>177</v>
      </c>
      <c r="F443" s="218" t="s">
        <v>183</v>
      </c>
      <c r="G443" s="27">
        <f t="shared" ref="G443:L443" si="424">G444</f>
        <v>0</v>
      </c>
      <c r="H443" s="27">
        <f t="shared" si="424"/>
        <v>0</v>
      </c>
      <c r="I443" s="27">
        <f t="shared" si="424"/>
        <v>0</v>
      </c>
      <c r="J443" s="27">
        <f t="shared" si="424"/>
        <v>214</v>
      </c>
      <c r="K443" s="27">
        <f t="shared" si="424"/>
        <v>214</v>
      </c>
      <c r="L443" s="27">
        <f t="shared" si="424"/>
        <v>214</v>
      </c>
      <c r="M443" s="27">
        <f t="shared" ref="M443:N443" si="425">M444</f>
        <v>0</v>
      </c>
      <c r="N443" s="27">
        <f t="shared" si="425"/>
        <v>0</v>
      </c>
      <c r="O443" s="27" t="e">
        <f t="shared" si="377"/>
        <v>#DIV/0!</v>
      </c>
    </row>
    <row r="444" spans="1:15" ht="47.25" hidden="1" customHeight="1" x14ac:dyDescent="0.25">
      <c r="A444" s="26" t="s">
        <v>184</v>
      </c>
      <c r="B444" s="220">
        <v>903</v>
      </c>
      <c r="C444" s="218" t="s">
        <v>350</v>
      </c>
      <c r="D444" s="218" t="s">
        <v>201</v>
      </c>
      <c r="E444" s="218" t="s">
        <v>177</v>
      </c>
      <c r="F444" s="218" t="s">
        <v>185</v>
      </c>
      <c r="G444" s="27">
        <v>0</v>
      </c>
      <c r="H444" s="27">
        <v>0</v>
      </c>
      <c r="I444" s="27">
        <v>0</v>
      </c>
      <c r="J444" s="27">
        <v>214</v>
      </c>
      <c r="K444" s="27">
        <f>J444</f>
        <v>214</v>
      </c>
      <c r="L444" s="27">
        <f>K444</f>
        <v>214</v>
      </c>
      <c r="M444" s="27">
        <v>0</v>
      </c>
      <c r="N444" s="27">
        <v>0</v>
      </c>
      <c r="O444" s="27" t="e">
        <f t="shared" si="377"/>
        <v>#DIV/0!</v>
      </c>
    </row>
    <row r="445" spans="1:15" ht="15.75" x14ac:dyDescent="0.25">
      <c r="A445" s="26" t="s">
        <v>192</v>
      </c>
      <c r="B445" s="220">
        <v>903</v>
      </c>
      <c r="C445" s="218" t="s">
        <v>350</v>
      </c>
      <c r="D445" s="218" t="s">
        <v>201</v>
      </c>
      <c r="E445" s="218" t="s">
        <v>193</v>
      </c>
      <c r="F445" s="218"/>
      <c r="G445" s="27">
        <f>G446</f>
        <v>10393.9</v>
      </c>
      <c r="H445" s="27">
        <f>H446</f>
        <v>7343.4000000000005</v>
      </c>
      <c r="I445" s="27">
        <f t="shared" ref="I445:L445" si="426">I446</f>
        <v>10314.713725490197</v>
      </c>
      <c r="J445" s="27">
        <f t="shared" si="426"/>
        <v>11264.400000000001</v>
      </c>
      <c r="K445" s="27">
        <f t="shared" si="426"/>
        <v>11380.099999999999</v>
      </c>
      <c r="L445" s="27">
        <f t="shared" si="426"/>
        <v>11488.199999999999</v>
      </c>
      <c r="M445" s="27">
        <f t="shared" ref="M445:N445" si="427">M446</f>
        <v>10353.5</v>
      </c>
      <c r="N445" s="27">
        <f t="shared" si="427"/>
        <v>7609.1</v>
      </c>
      <c r="O445" s="27">
        <f t="shared" si="377"/>
        <v>73.493021683488678</v>
      </c>
    </row>
    <row r="446" spans="1:15" ht="31.5" x14ac:dyDescent="0.25">
      <c r="A446" s="26" t="s">
        <v>391</v>
      </c>
      <c r="B446" s="220">
        <v>903</v>
      </c>
      <c r="C446" s="218" t="s">
        <v>350</v>
      </c>
      <c r="D446" s="218" t="s">
        <v>201</v>
      </c>
      <c r="E446" s="218" t="s">
        <v>392</v>
      </c>
      <c r="F446" s="218"/>
      <c r="G446" s="27">
        <f t="shared" ref="G446:L446" si="428">G447+G449+G451</f>
        <v>10393.9</v>
      </c>
      <c r="H446" s="27">
        <f t="shared" si="428"/>
        <v>7343.4000000000005</v>
      </c>
      <c r="I446" s="27">
        <f t="shared" si="428"/>
        <v>10314.713725490197</v>
      </c>
      <c r="J446" s="27">
        <f t="shared" si="428"/>
        <v>11264.400000000001</v>
      </c>
      <c r="K446" s="27">
        <f t="shared" si="428"/>
        <v>11380.099999999999</v>
      </c>
      <c r="L446" s="27">
        <f t="shared" si="428"/>
        <v>11488.199999999999</v>
      </c>
      <c r="M446" s="27">
        <f t="shared" ref="M446:N446" si="429">M447+M449+M451</f>
        <v>10353.5</v>
      </c>
      <c r="N446" s="27">
        <f t="shared" si="429"/>
        <v>7609.1</v>
      </c>
      <c r="O446" s="27">
        <f t="shared" si="377"/>
        <v>73.493021683488678</v>
      </c>
    </row>
    <row r="447" spans="1:15" ht="94.5" x14ac:dyDescent="0.25">
      <c r="A447" s="26" t="s">
        <v>178</v>
      </c>
      <c r="B447" s="220">
        <v>903</v>
      </c>
      <c r="C447" s="218" t="s">
        <v>350</v>
      </c>
      <c r="D447" s="218" t="s">
        <v>201</v>
      </c>
      <c r="E447" s="218" t="s">
        <v>392</v>
      </c>
      <c r="F447" s="218" t="s">
        <v>179</v>
      </c>
      <c r="G447" s="27">
        <f>G448</f>
        <v>8721.4</v>
      </c>
      <c r="H447" s="27">
        <f>H448</f>
        <v>6453.8</v>
      </c>
      <c r="I447" s="27">
        <f t="shared" ref="I447:L447" si="430">I448</f>
        <v>9111.2470588235301</v>
      </c>
      <c r="J447" s="27">
        <f t="shared" si="430"/>
        <v>9109.2000000000007</v>
      </c>
      <c r="K447" s="27">
        <f t="shared" si="430"/>
        <v>9200.2999999999993</v>
      </c>
      <c r="L447" s="27">
        <f t="shared" si="430"/>
        <v>9292.2999999999993</v>
      </c>
      <c r="M447" s="27">
        <f t="shared" ref="M447:N447" si="431">M448</f>
        <v>8697.4</v>
      </c>
      <c r="N447" s="27">
        <f t="shared" si="431"/>
        <v>6698.1</v>
      </c>
      <c r="O447" s="27">
        <f t="shared" si="377"/>
        <v>77.012670453238911</v>
      </c>
    </row>
    <row r="448" spans="1:15" ht="31.5" x14ac:dyDescent="0.25">
      <c r="A448" s="26" t="s">
        <v>393</v>
      </c>
      <c r="B448" s="220">
        <v>903</v>
      </c>
      <c r="C448" s="218" t="s">
        <v>350</v>
      </c>
      <c r="D448" s="218" t="s">
        <v>201</v>
      </c>
      <c r="E448" s="218" t="s">
        <v>392</v>
      </c>
      <c r="F448" s="218" t="s">
        <v>260</v>
      </c>
      <c r="G448" s="28">
        <f>8596.3-84.9+210</f>
        <v>8721.4</v>
      </c>
      <c r="H448" s="28">
        <v>6453.8</v>
      </c>
      <c r="I448" s="28">
        <f>H448/8.5*12</f>
        <v>9111.2470588235301</v>
      </c>
      <c r="J448" s="28">
        <v>9109.2000000000007</v>
      </c>
      <c r="K448" s="28">
        <v>9200.2999999999993</v>
      </c>
      <c r="L448" s="28">
        <v>9292.2999999999993</v>
      </c>
      <c r="M448" s="28">
        <f>8596.3-84.9+210-24</f>
        <v>8697.4</v>
      </c>
      <c r="N448" s="28">
        <v>6698.1</v>
      </c>
      <c r="O448" s="27">
        <f t="shared" si="377"/>
        <v>77.012670453238911</v>
      </c>
    </row>
    <row r="449" spans="1:18" ht="31.5" x14ac:dyDescent="0.25">
      <c r="A449" s="26" t="s">
        <v>182</v>
      </c>
      <c r="B449" s="220">
        <v>903</v>
      </c>
      <c r="C449" s="218" t="s">
        <v>350</v>
      </c>
      <c r="D449" s="218" t="s">
        <v>201</v>
      </c>
      <c r="E449" s="218" t="s">
        <v>392</v>
      </c>
      <c r="F449" s="218" t="s">
        <v>183</v>
      </c>
      <c r="G449" s="27">
        <f>G450</f>
        <v>1652.5</v>
      </c>
      <c r="H449" s="27">
        <f>H450</f>
        <v>887.6</v>
      </c>
      <c r="I449" s="27">
        <f t="shared" ref="I449:L449" si="432">I450</f>
        <v>1183.4666666666667</v>
      </c>
      <c r="J449" s="27">
        <f t="shared" si="432"/>
        <v>2135.1999999999998</v>
      </c>
      <c r="K449" s="27">
        <f t="shared" si="432"/>
        <v>2159.8000000000002</v>
      </c>
      <c r="L449" s="27">
        <f t="shared" si="432"/>
        <v>2175.9</v>
      </c>
      <c r="M449" s="27">
        <f t="shared" ref="M449:N449" si="433">M450</f>
        <v>1636.1</v>
      </c>
      <c r="N449" s="27">
        <f t="shared" si="433"/>
        <v>903.2</v>
      </c>
      <c r="O449" s="27">
        <f t="shared" si="377"/>
        <v>55.204449605769824</v>
      </c>
    </row>
    <row r="450" spans="1:18" ht="47.25" x14ac:dyDescent="0.25">
      <c r="A450" s="26" t="s">
        <v>184</v>
      </c>
      <c r="B450" s="220">
        <v>903</v>
      </c>
      <c r="C450" s="218" t="s">
        <v>350</v>
      </c>
      <c r="D450" s="218" t="s">
        <v>201</v>
      </c>
      <c r="E450" s="218" t="s">
        <v>392</v>
      </c>
      <c r="F450" s="218" t="s">
        <v>185</v>
      </c>
      <c r="G450" s="28">
        <f>1663.9+135.6-147</f>
        <v>1652.5</v>
      </c>
      <c r="H450" s="28">
        <v>887.6</v>
      </c>
      <c r="I450" s="28">
        <f>H450/9*12</f>
        <v>1183.4666666666667</v>
      </c>
      <c r="J450" s="28">
        <f>2155.2-J452</f>
        <v>2135.1999999999998</v>
      </c>
      <c r="K450" s="28">
        <f>2179.8-K452</f>
        <v>2159.8000000000002</v>
      </c>
      <c r="L450" s="28">
        <f>2195.9-L452</f>
        <v>2175.9</v>
      </c>
      <c r="M450" s="28">
        <v>1636.1</v>
      </c>
      <c r="N450" s="28">
        <v>903.2</v>
      </c>
      <c r="O450" s="27">
        <f t="shared" si="377"/>
        <v>55.204449605769824</v>
      </c>
    </row>
    <row r="451" spans="1:18" ht="15.75" x14ac:dyDescent="0.25">
      <c r="A451" s="26" t="s">
        <v>186</v>
      </c>
      <c r="B451" s="220">
        <v>903</v>
      </c>
      <c r="C451" s="218" t="s">
        <v>350</v>
      </c>
      <c r="D451" s="218" t="s">
        <v>201</v>
      </c>
      <c r="E451" s="218" t="s">
        <v>392</v>
      </c>
      <c r="F451" s="218" t="s">
        <v>196</v>
      </c>
      <c r="G451" s="27">
        <f>G452</f>
        <v>20</v>
      </c>
      <c r="H451" s="27">
        <f>H452</f>
        <v>2</v>
      </c>
      <c r="I451" s="27">
        <f t="shared" ref="I451:L451" si="434">I452</f>
        <v>20</v>
      </c>
      <c r="J451" s="27">
        <f t="shared" si="434"/>
        <v>20</v>
      </c>
      <c r="K451" s="27">
        <f t="shared" si="434"/>
        <v>20</v>
      </c>
      <c r="L451" s="27">
        <f t="shared" si="434"/>
        <v>20</v>
      </c>
      <c r="M451" s="27">
        <f t="shared" ref="M451:N451" si="435">M452</f>
        <v>20</v>
      </c>
      <c r="N451" s="27">
        <f t="shared" si="435"/>
        <v>7.8</v>
      </c>
      <c r="O451" s="27">
        <f t="shared" si="377"/>
        <v>39</v>
      </c>
    </row>
    <row r="452" spans="1:18" ht="15.75" x14ac:dyDescent="0.25">
      <c r="A452" s="26" t="s">
        <v>620</v>
      </c>
      <c r="B452" s="220">
        <v>903</v>
      </c>
      <c r="C452" s="218" t="s">
        <v>350</v>
      </c>
      <c r="D452" s="218" t="s">
        <v>201</v>
      </c>
      <c r="E452" s="218" t="s">
        <v>392</v>
      </c>
      <c r="F452" s="218" t="s">
        <v>189</v>
      </c>
      <c r="G452" s="27">
        <v>20</v>
      </c>
      <c r="H452" s="27">
        <v>2</v>
      </c>
      <c r="I452" s="27">
        <v>20</v>
      </c>
      <c r="J452" s="27">
        <v>20</v>
      </c>
      <c r="K452" s="27">
        <v>20</v>
      </c>
      <c r="L452" s="27">
        <v>20</v>
      </c>
      <c r="M452" s="27">
        <v>20</v>
      </c>
      <c r="N452" s="27">
        <v>7.8</v>
      </c>
      <c r="O452" s="27">
        <f t="shared" si="377"/>
        <v>39</v>
      </c>
    </row>
    <row r="453" spans="1:18" ht="15.75" x14ac:dyDescent="0.25">
      <c r="A453" s="24" t="s">
        <v>294</v>
      </c>
      <c r="B453" s="217">
        <v>903</v>
      </c>
      <c r="C453" s="219" t="s">
        <v>295</v>
      </c>
      <c r="D453" s="219"/>
      <c r="E453" s="219"/>
      <c r="F453" s="219"/>
      <c r="G453" s="22">
        <f>G454</f>
        <v>4625</v>
      </c>
      <c r="H453" s="22">
        <f t="shared" ref="H453:L453" si="436">H454</f>
        <v>2188</v>
      </c>
      <c r="I453" s="22">
        <f t="shared" si="436"/>
        <v>4625</v>
      </c>
      <c r="J453" s="22">
        <f t="shared" si="436"/>
        <v>5185</v>
      </c>
      <c r="K453" s="22">
        <f t="shared" si="436"/>
        <v>5300</v>
      </c>
      <c r="L453" s="22">
        <f t="shared" si="436"/>
        <v>5345</v>
      </c>
      <c r="M453" s="22">
        <f t="shared" ref="M453:N453" si="437">M454</f>
        <v>4536.1000000000004</v>
      </c>
      <c r="N453" s="22">
        <f t="shared" si="437"/>
        <v>2174.4</v>
      </c>
      <c r="O453" s="22">
        <f t="shared" si="377"/>
        <v>47.935451158484163</v>
      </c>
    </row>
    <row r="454" spans="1:18" ht="15.75" x14ac:dyDescent="0.25">
      <c r="A454" s="24" t="s">
        <v>303</v>
      </c>
      <c r="B454" s="217">
        <v>903</v>
      </c>
      <c r="C454" s="219" t="s">
        <v>295</v>
      </c>
      <c r="D454" s="219" t="s">
        <v>266</v>
      </c>
      <c r="E454" s="219"/>
      <c r="F454" s="219"/>
      <c r="G454" s="22">
        <f t="shared" ref="G454:L454" si="438">G455+G511</f>
        <v>4625</v>
      </c>
      <c r="H454" s="22">
        <f t="shared" ref="H454" si="439">H455+H511</f>
        <v>2188</v>
      </c>
      <c r="I454" s="22">
        <f t="shared" si="438"/>
        <v>4625</v>
      </c>
      <c r="J454" s="22">
        <f t="shared" si="438"/>
        <v>5185</v>
      </c>
      <c r="K454" s="22">
        <f t="shared" si="438"/>
        <v>5300</v>
      </c>
      <c r="L454" s="22">
        <f t="shared" si="438"/>
        <v>5345</v>
      </c>
      <c r="M454" s="22">
        <f t="shared" ref="M454:N454" si="440">M455+M511</f>
        <v>4536.1000000000004</v>
      </c>
      <c r="N454" s="22">
        <f t="shared" si="440"/>
        <v>2174.4</v>
      </c>
      <c r="O454" s="22">
        <f t="shared" si="377"/>
        <v>47.935451158484163</v>
      </c>
      <c r="P454" s="140"/>
    </row>
    <row r="455" spans="1:18" ht="47.25" x14ac:dyDescent="0.25">
      <c r="A455" s="26" t="s">
        <v>394</v>
      </c>
      <c r="B455" s="220">
        <v>903</v>
      </c>
      <c r="C455" s="218" t="s">
        <v>295</v>
      </c>
      <c r="D455" s="218" t="s">
        <v>266</v>
      </c>
      <c r="E455" s="218" t="s">
        <v>395</v>
      </c>
      <c r="F455" s="218"/>
      <c r="G455" s="27">
        <f>G456+G467+G471+G475+G481+G485+G489+G507</f>
        <v>3693</v>
      </c>
      <c r="H455" s="27">
        <f>H456+H467+H471+H475+H481+H485+H489+H507</f>
        <v>2188</v>
      </c>
      <c r="I455" s="27">
        <f t="shared" ref="I455:L455" si="441">I456+I467+I471+I475+I481+I485+I489+I507</f>
        <v>3693</v>
      </c>
      <c r="J455" s="27">
        <f t="shared" si="441"/>
        <v>5185</v>
      </c>
      <c r="K455" s="27">
        <f t="shared" si="441"/>
        <v>5300</v>
      </c>
      <c r="L455" s="27">
        <f t="shared" si="441"/>
        <v>5345</v>
      </c>
      <c r="M455" s="27">
        <f t="shared" ref="M455:N455" si="442">M456+M467+M471+M475+M481+M485+M489+M507</f>
        <v>3753</v>
      </c>
      <c r="N455" s="27">
        <f t="shared" si="442"/>
        <v>2032.3</v>
      </c>
      <c r="O455" s="27">
        <f t="shared" si="377"/>
        <v>54.151345590194509</v>
      </c>
      <c r="P455" s="135"/>
      <c r="Q455" s="142"/>
      <c r="R455" s="142"/>
    </row>
    <row r="456" spans="1:18" ht="31.5" x14ac:dyDescent="0.25">
      <c r="A456" s="26" t="s">
        <v>396</v>
      </c>
      <c r="B456" s="220">
        <v>903</v>
      </c>
      <c r="C456" s="218" t="s">
        <v>295</v>
      </c>
      <c r="D456" s="218" t="s">
        <v>266</v>
      </c>
      <c r="E456" s="218" t="s">
        <v>397</v>
      </c>
      <c r="F456" s="218"/>
      <c r="G456" s="27">
        <f>G460+G464+G463</f>
        <v>935</v>
      </c>
      <c r="H456" s="27">
        <f>H460+H464+H463</f>
        <v>561.29999999999995</v>
      </c>
      <c r="I456" s="27">
        <f t="shared" ref="I456:L456" si="443">I460+I464+I463</f>
        <v>935</v>
      </c>
      <c r="J456" s="27">
        <f t="shared" si="443"/>
        <v>985</v>
      </c>
      <c r="K456" s="27">
        <f t="shared" si="443"/>
        <v>1020</v>
      </c>
      <c r="L456" s="27">
        <f t="shared" si="443"/>
        <v>1035</v>
      </c>
      <c r="M456" s="27">
        <f>M457+M465</f>
        <v>1000</v>
      </c>
      <c r="N456" s="27">
        <f>N457+N465</f>
        <v>597.90000000000009</v>
      </c>
      <c r="O456" s="27">
        <f t="shared" si="377"/>
        <v>59.790000000000006</v>
      </c>
    </row>
    <row r="457" spans="1:18" ht="31.5" x14ac:dyDescent="0.25">
      <c r="A457" s="26" t="s">
        <v>208</v>
      </c>
      <c r="B457" s="220">
        <v>903</v>
      </c>
      <c r="C457" s="218" t="s">
        <v>295</v>
      </c>
      <c r="D457" s="218" t="s">
        <v>266</v>
      </c>
      <c r="E457" s="218" t="s">
        <v>398</v>
      </c>
      <c r="F457" s="218"/>
      <c r="G457" s="27"/>
      <c r="H457" s="27"/>
      <c r="I457" s="27"/>
      <c r="J457" s="27"/>
      <c r="K457" s="27"/>
      <c r="L457" s="27"/>
      <c r="M457" s="27">
        <f>M460+M459+M462</f>
        <v>731.4</v>
      </c>
      <c r="N457" s="27">
        <f>N460+N459+N462</f>
        <v>329.3</v>
      </c>
      <c r="O457" s="27">
        <f t="shared" si="377"/>
        <v>45.023243095433415</v>
      </c>
    </row>
    <row r="458" spans="1:18" ht="94.5" x14ac:dyDescent="0.25">
      <c r="A458" s="26" t="s">
        <v>178</v>
      </c>
      <c r="B458" s="220">
        <v>903</v>
      </c>
      <c r="C458" s="218" t="s">
        <v>295</v>
      </c>
      <c r="D458" s="218" t="s">
        <v>266</v>
      </c>
      <c r="E458" s="218" t="s">
        <v>398</v>
      </c>
      <c r="F458" s="218" t="s">
        <v>179</v>
      </c>
      <c r="G458" s="27"/>
      <c r="H458" s="27"/>
      <c r="I458" s="27"/>
      <c r="J458" s="27"/>
      <c r="K458" s="27"/>
      <c r="L458" s="27"/>
      <c r="M458" s="27">
        <f>M459</f>
        <v>40</v>
      </c>
      <c r="N458" s="27">
        <f>N459</f>
        <v>5</v>
      </c>
      <c r="O458" s="27">
        <f t="shared" si="377"/>
        <v>12.5</v>
      </c>
    </row>
    <row r="459" spans="1:18" ht="31.5" x14ac:dyDescent="0.25">
      <c r="A459" s="26" t="s">
        <v>393</v>
      </c>
      <c r="B459" s="220">
        <v>903</v>
      </c>
      <c r="C459" s="218" t="s">
        <v>295</v>
      </c>
      <c r="D459" s="218" t="s">
        <v>266</v>
      </c>
      <c r="E459" s="218" t="s">
        <v>398</v>
      </c>
      <c r="F459" s="218" t="s">
        <v>260</v>
      </c>
      <c r="G459" s="27"/>
      <c r="H459" s="27"/>
      <c r="I459" s="27"/>
      <c r="J459" s="27"/>
      <c r="K459" s="27"/>
      <c r="L459" s="27"/>
      <c r="M459" s="27">
        <f>40</f>
        <v>40</v>
      </c>
      <c r="N459" s="27">
        <v>5</v>
      </c>
      <c r="O459" s="27">
        <f t="shared" si="377"/>
        <v>12.5</v>
      </c>
    </row>
    <row r="460" spans="1:18" ht="31.5" x14ac:dyDescent="0.25">
      <c r="A460" s="26" t="s">
        <v>182</v>
      </c>
      <c r="B460" s="220">
        <v>903</v>
      </c>
      <c r="C460" s="218" t="s">
        <v>295</v>
      </c>
      <c r="D460" s="218" t="s">
        <v>266</v>
      </c>
      <c r="E460" s="218" t="s">
        <v>398</v>
      </c>
      <c r="F460" s="218" t="s">
        <v>183</v>
      </c>
      <c r="G460" s="27">
        <f>G461</f>
        <v>641.4</v>
      </c>
      <c r="H460" s="27">
        <f>H461</f>
        <v>267.7</v>
      </c>
      <c r="I460" s="27">
        <f t="shared" ref="I460:L460" si="444">I461</f>
        <v>641.4</v>
      </c>
      <c r="J460" s="27">
        <f t="shared" si="444"/>
        <v>641.4</v>
      </c>
      <c r="K460" s="27">
        <f t="shared" si="444"/>
        <v>641.4</v>
      </c>
      <c r="L460" s="27">
        <f t="shared" si="444"/>
        <v>641.4</v>
      </c>
      <c r="M460" s="27">
        <f t="shared" ref="M460:N460" si="445">M461</f>
        <v>666.4</v>
      </c>
      <c r="N460" s="27">
        <f t="shared" si="445"/>
        <v>299.3</v>
      </c>
      <c r="O460" s="27">
        <f t="shared" ref="O460:O523" si="446">N460/M460*100</f>
        <v>44.91296518607443</v>
      </c>
    </row>
    <row r="461" spans="1:18" ht="47.25" x14ac:dyDescent="0.25">
      <c r="A461" s="26" t="s">
        <v>184</v>
      </c>
      <c r="B461" s="220">
        <v>903</v>
      </c>
      <c r="C461" s="218" t="s">
        <v>295</v>
      </c>
      <c r="D461" s="218" t="s">
        <v>266</v>
      </c>
      <c r="E461" s="218" t="s">
        <v>398</v>
      </c>
      <c r="F461" s="218" t="s">
        <v>185</v>
      </c>
      <c r="G461" s="27">
        <f>669.4-3-25</f>
        <v>641.4</v>
      </c>
      <c r="H461" s="27">
        <v>267.7</v>
      </c>
      <c r="I461" s="27">
        <f t="shared" ref="I461:L461" si="447">669.4-3-25</f>
        <v>641.4</v>
      </c>
      <c r="J461" s="27">
        <f t="shared" si="447"/>
        <v>641.4</v>
      </c>
      <c r="K461" s="27">
        <f t="shared" si="447"/>
        <v>641.4</v>
      </c>
      <c r="L461" s="27">
        <f t="shared" si="447"/>
        <v>641.4</v>
      </c>
      <c r="M461" s="27">
        <f>706.4-40</f>
        <v>666.4</v>
      </c>
      <c r="N461" s="27">
        <v>299.3</v>
      </c>
      <c r="O461" s="27">
        <f t="shared" si="446"/>
        <v>44.91296518607443</v>
      </c>
    </row>
    <row r="462" spans="1:18" ht="31.5" x14ac:dyDescent="0.25">
      <c r="A462" s="26" t="s">
        <v>299</v>
      </c>
      <c r="B462" s="220">
        <v>903</v>
      </c>
      <c r="C462" s="218" t="s">
        <v>295</v>
      </c>
      <c r="D462" s="218" t="s">
        <v>266</v>
      </c>
      <c r="E462" s="218" t="s">
        <v>398</v>
      </c>
      <c r="F462" s="218" t="s">
        <v>300</v>
      </c>
      <c r="G462" s="27">
        <f t="shared" ref="G462:L462" si="448">G463</f>
        <v>25</v>
      </c>
      <c r="H462" s="27">
        <f t="shared" si="448"/>
        <v>25</v>
      </c>
      <c r="I462" s="27">
        <f t="shared" si="448"/>
        <v>25</v>
      </c>
      <c r="J462" s="27">
        <f t="shared" si="448"/>
        <v>75</v>
      </c>
      <c r="K462" s="27">
        <f t="shared" si="448"/>
        <v>110</v>
      </c>
      <c r="L462" s="27">
        <f t="shared" si="448"/>
        <v>125</v>
      </c>
      <c r="M462" s="27">
        <f t="shared" ref="M462:N462" si="449">M463</f>
        <v>25</v>
      </c>
      <c r="N462" s="27">
        <f t="shared" si="449"/>
        <v>25</v>
      </c>
      <c r="O462" s="27">
        <f t="shared" si="446"/>
        <v>100</v>
      </c>
    </row>
    <row r="463" spans="1:18" ht="31.5" x14ac:dyDescent="0.25">
      <c r="A463" s="26" t="s">
        <v>399</v>
      </c>
      <c r="B463" s="220">
        <v>903</v>
      </c>
      <c r="C463" s="218" t="s">
        <v>295</v>
      </c>
      <c r="D463" s="218" t="s">
        <v>266</v>
      </c>
      <c r="E463" s="218" t="s">
        <v>398</v>
      </c>
      <c r="F463" s="218" t="s">
        <v>400</v>
      </c>
      <c r="G463" s="27">
        <v>25</v>
      </c>
      <c r="H463" s="27">
        <v>25</v>
      </c>
      <c r="I463" s="27">
        <v>25</v>
      </c>
      <c r="J463" s="27">
        <v>75</v>
      </c>
      <c r="K463" s="27">
        <v>110</v>
      </c>
      <c r="L463" s="27">
        <v>125</v>
      </c>
      <c r="M463" s="27">
        <v>25</v>
      </c>
      <c r="N463" s="27">
        <v>25</v>
      </c>
      <c r="O463" s="27">
        <f t="shared" si="446"/>
        <v>100</v>
      </c>
    </row>
    <row r="464" spans="1:18" ht="31.5" x14ac:dyDescent="0.25">
      <c r="A464" s="26" t="s">
        <v>401</v>
      </c>
      <c r="B464" s="220">
        <v>903</v>
      </c>
      <c r="C464" s="218" t="s">
        <v>295</v>
      </c>
      <c r="D464" s="218" t="s">
        <v>266</v>
      </c>
      <c r="E464" s="218" t="s">
        <v>402</v>
      </c>
      <c r="F464" s="218"/>
      <c r="G464" s="27">
        <f>G465</f>
        <v>268.60000000000002</v>
      </c>
      <c r="H464" s="27">
        <f>H465</f>
        <v>268.60000000000002</v>
      </c>
      <c r="I464" s="27">
        <f t="shared" ref="I464:L465" si="450">I465</f>
        <v>268.60000000000002</v>
      </c>
      <c r="J464" s="27">
        <f t="shared" si="450"/>
        <v>268.60000000000002</v>
      </c>
      <c r="K464" s="27">
        <f t="shared" si="450"/>
        <v>268.60000000000002</v>
      </c>
      <c r="L464" s="27">
        <f t="shared" si="450"/>
        <v>268.60000000000002</v>
      </c>
      <c r="M464" s="27">
        <f t="shared" ref="M464:N465" si="451">M465</f>
        <v>268.60000000000002</v>
      </c>
      <c r="N464" s="27">
        <f t="shared" si="451"/>
        <v>268.60000000000002</v>
      </c>
      <c r="O464" s="27">
        <f t="shared" si="446"/>
        <v>100</v>
      </c>
    </row>
    <row r="465" spans="1:15" ht="47.25" x14ac:dyDescent="0.25">
      <c r="A465" s="26" t="s">
        <v>323</v>
      </c>
      <c r="B465" s="220">
        <v>903</v>
      </c>
      <c r="C465" s="218" t="s">
        <v>295</v>
      </c>
      <c r="D465" s="218" t="s">
        <v>266</v>
      </c>
      <c r="E465" s="218" t="s">
        <v>402</v>
      </c>
      <c r="F465" s="218" t="s">
        <v>324</v>
      </c>
      <c r="G465" s="27">
        <f>G466</f>
        <v>268.60000000000002</v>
      </c>
      <c r="H465" s="27">
        <f>H466</f>
        <v>268.60000000000002</v>
      </c>
      <c r="I465" s="27">
        <f t="shared" si="450"/>
        <v>268.60000000000002</v>
      </c>
      <c r="J465" s="27">
        <f t="shared" si="450"/>
        <v>268.60000000000002</v>
      </c>
      <c r="K465" s="27">
        <f t="shared" si="450"/>
        <v>268.60000000000002</v>
      </c>
      <c r="L465" s="27">
        <f t="shared" si="450"/>
        <v>268.60000000000002</v>
      </c>
      <c r="M465" s="27">
        <f t="shared" si="451"/>
        <v>268.60000000000002</v>
      </c>
      <c r="N465" s="27">
        <f t="shared" si="451"/>
        <v>268.60000000000002</v>
      </c>
      <c r="O465" s="27">
        <f t="shared" si="446"/>
        <v>100</v>
      </c>
    </row>
    <row r="466" spans="1:15" ht="15.75" x14ac:dyDescent="0.25">
      <c r="A466" s="26" t="s">
        <v>325</v>
      </c>
      <c r="B466" s="220">
        <v>903</v>
      </c>
      <c r="C466" s="218" t="s">
        <v>295</v>
      </c>
      <c r="D466" s="218" t="s">
        <v>266</v>
      </c>
      <c r="E466" s="218" t="s">
        <v>402</v>
      </c>
      <c r="F466" s="218" t="s">
        <v>326</v>
      </c>
      <c r="G466" s="27">
        <f>160.5+108.1</f>
        <v>268.60000000000002</v>
      </c>
      <c r="H466" s="27">
        <f>160.5+108.1</f>
        <v>268.60000000000002</v>
      </c>
      <c r="I466" s="27">
        <f t="shared" ref="I466:L466" si="452">160.5+108.1</f>
        <v>268.60000000000002</v>
      </c>
      <c r="J466" s="27">
        <f t="shared" si="452"/>
        <v>268.60000000000002</v>
      </c>
      <c r="K466" s="27">
        <f t="shared" si="452"/>
        <v>268.60000000000002</v>
      </c>
      <c r="L466" s="27">
        <f t="shared" si="452"/>
        <v>268.60000000000002</v>
      </c>
      <c r="M466" s="27">
        <f t="shared" ref="M466" si="453">160.5+108.1</f>
        <v>268.60000000000002</v>
      </c>
      <c r="N466" s="27">
        <v>268.60000000000002</v>
      </c>
      <c r="O466" s="27">
        <f t="shared" si="446"/>
        <v>100</v>
      </c>
    </row>
    <row r="467" spans="1:15" ht="31.5" x14ac:dyDescent="0.25">
      <c r="A467" s="26" t="s">
        <v>403</v>
      </c>
      <c r="B467" s="220">
        <v>903</v>
      </c>
      <c r="C467" s="218" t="s">
        <v>295</v>
      </c>
      <c r="D467" s="218" t="s">
        <v>266</v>
      </c>
      <c r="E467" s="218" t="s">
        <v>404</v>
      </c>
      <c r="F467" s="218"/>
      <c r="G467" s="27">
        <f>G468</f>
        <v>63</v>
      </c>
      <c r="H467" s="27">
        <f t="shared" ref="H467:H469" si="454">H468</f>
        <v>0</v>
      </c>
      <c r="I467" s="27">
        <f t="shared" ref="I467:L469" si="455">I468</f>
        <v>63</v>
      </c>
      <c r="J467" s="27">
        <f t="shared" si="455"/>
        <v>63</v>
      </c>
      <c r="K467" s="27">
        <f t="shared" si="455"/>
        <v>63</v>
      </c>
      <c r="L467" s="27">
        <f t="shared" si="455"/>
        <v>63</v>
      </c>
      <c r="M467" s="27">
        <f t="shared" ref="M467:N469" si="456">M468</f>
        <v>148.4</v>
      </c>
      <c r="N467" s="27">
        <f t="shared" si="456"/>
        <v>26.9</v>
      </c>
      <c r="O467" s="27">
        <f t="shared" si="446"/>
        <v>18.126684636118597</v>
      </c>
    </row>
    <row r="468" spans="1:15" ht="31.5" x14ac:dyDescent="0.25">
      <c r="A468" s="26" t="s">
        <v>208</v>
      </c>
      <c r="B468" s="220">
        <v>903</v>
      </c>
      <c r="C468" s="218" t="s">
        <v>295</v>
      </c>
      <c r="D468" s="218" t="s">
        <v>266</v>
      </c>
      <c r="E468" s="218" t="s">
        <v>405</v>
      </c>
      <c r="F468" s="218"/>
      <c r="G468" s="27">
        <f>G469</f>
        <v>63</v>
      </c>
      <c r="H468" s="27">
        <f t="shared" si="454"/>
        <v>0</v>
      </c>
      <c r="I468" s="27">
        <f t="shared" si="455"/>
        <v>63</v>
      </c>
      <c r="J468" s="27">
        <f t="shared" si="455"/>
        <v>63</v>
      </c>
      <c r="K468" s="27">
        <f t="shared" si="455"/>
        <v>63</v>
      </c>
      <c r="L468" s="27">
        <f t="shared" si="455"/>
        <v>63</v>
      </c>
      <c r="M468" s="27">
        <f t="shared" si="456"/>
        <v>148.4</v>
      </c>
      <c r="N468" s="27">
        <f t="shared" si="456"/>
        <v>26.9</v>
      </c>
      <c r="O468" s="27">
        <f t="shared" si="446"/>
        <v>18.126684636118597</v>
      </c>
    </row>
    <row r="469" spans="1:15" ht="31.5" x14ac:dyDescent="0.25">
      <c r="A469" s="26" t="s">
        <v>299</v>
      </c>
      <c r="B469" s="220">
        <v>903</v>
      </c>
      <c r="C469" s="218" t="s">
        <v>295</v>
      </c>
      <c r="D469" s="218" t="s">
        <v>266</v>
      </c>
      <c r="E469" s="218" t="s">
        <v>405</v>
      </c>
      <c r="F469" s="218" t="s">
        <v>300</v>
      </c>
      <c r="G469" s="27">
        <f>G470</f>
        <v>63</v>
      </c>
      <c r="H469" s="27">
        <f t="shared" si="454"/>
        <v>0</v>
      </c>
      <c r="I469" s="27">
        <f t="shared" si="455"/>
        <v>63</v>
      </c>
      <c r="J469" s="27">
        <f t="shared" si="455"/>
        <v>63</v>
      </c>
      <c r="K469" s="27">
        <f t="shared" si="455"/>
        <v>63</v>
      </c>
      <c r="L469" s="27">
        <f t="shared" si="455"/>
        <v>63</v>
      </c>
      <c r="M469" s="27">
        <f t="shared" si="456"/>
        <v>148.4</v>
      </c>
      <c r="N469" s="27">
        <f t="shared" si="456"/>
        <v>26.9</v>
      </c>
      <c r="O469" s="27">
        <f t="shared" si="446"/>
        <v>18.126684636118597</v>
      </c>
    </row>
    <row r="470" spans="1:15" ht="31.5" x14ac:dyDescent="0.25">
      <c r="A470" s="26" t="s">
        <v>301</v>
      </c>
      <c r="B470" s="220">
        <v>903</v>
      </c>
      <c r="C470" s="218" t="s">
        <v>295</v>
      </c>
      <c r="D470" s="218" t="s">
        <v>266</v>
      </c>
      <c r="E470" s="218" t="s">
        <v>405</v>
      </c>
      <c r="F470" s="218" t="s">
        <v>302</v>
      </c>
      <c r="G470" s="27">
        <f>60+3</f>
        <v>63</v>
      </c>
      <c r="H470" s="27">
        <v>0</v>
      </c>
      <c r="I470" s="27">
        <f t="shared" ref="I470:L470" si="457">60+3</f>
        <v>63</v>
      </c>
      <c r="J470" s="27">
        <f t="shared" si="457"/>
        <v>63</v>
      </c>
      <c r="K470" s="27">
        <f t="shared" si="457"/>
        <v>63</v>
      </c>
      <c r="L470" s="27">
        <f t="shared" si="457"/>
        <v>63</v>
      </c>
      <c r="M470" s="27">
        <v>148.4</v>
      </c>
      <c r="N470" s="27">
        <v>26.9</v>
      </c>
      <c r="O470" s="27">
        <f t="shared" si="446"/>
        <v>18.126684636118597</v>
      </c>
    </row>
    <row r="471" spans="1:15" ht="31.5" x14ac:dyDescent="0.25">
      <c r="A471" s="26" t="s">
        <v>406</v>
      </c>
      <c r="B471" s="220">
        <v>903</v>
      </c>
      <c r="C471" s="220">
        <v>10</v>
      </c>
      <c r="D471" s="218" t="s">
        <v>266</v>
      </c>
      <c r="E471" s="218" t="s">
        <v>407</v>
      </c>
      <c r="F471" s="218"/>
      <c r="G471" s="27">
        <f t="shared" ref="G471:L473" si="458">G472</f>
        <v>420</v>
      </c>
      <c r="H471" s="27">
        <f t="shared" si="458"/>
        <v>300</v>
      </c>
      <c r="I471" s="27">
        <f t="shared" si="458"/>
        <v>420</v>
      </c>
      <c r="J471" s="27">
        <f t="shared" si="458"/>
        <v>420</v>
      </c>
      <c r="K471" s="27">
        <f t="shared" si="458"/>
        <v>420</v>
      </c>
      <c r="L471" s="27">
        <f t="shared" si="458"/>
        <v>420</v>
      </c>
      <c r="M471" s="27">
        <f t="shared" ref="M471:N473" si="459">M472</f>
        <v>420</v>
      </c>
      <c r="N471" s="27">
        <f t="shared" si="459"/>
        <v>260</v>
      </c>
      <c r="O471" s="27">
        <f t="shared" si="446"/>
        <v>61.904761904761905</v>
      </c>
    </row>
    <row r="472" spans="1:15" ht="31.5" x14ac:dyDescent="0.25">
      <c r="A472" s="26" t="s">
        <v>208</v>
      </c>
      <c r="B472" s="220">
        <v>903</v>
      </c>
      <c r="C472" s="218" t="s">
        <v>295</v>
      </c>
      <c r="D472" s="218" t="s">
        <v>266</v>
      </c>
      <c r="E472" s="218" t="s">
        <v>408</v>
      </c>
      <c r="F472" s="218"/>
      <c r="G472" s="27">
        <f>G473</f>
        <v>420</v>
      </c>
      <c r="H472" s="27">
        <f>H473</f>
        <v>300</v>
      </c>
      <c r="I472" s="27">
        <f t="shared" si="458"/>
        <v>420</v>
      </c>
      <c r="J472" s="27">
        <f t="shared" si="458"/>
        <v>420</v>
      </c>
      <c r="K472" s="27">
        <f t="shared" si="458"/>
        <v>420</v>
      </c>
      <c r="L472" s="27">
        <f t="shared" si="458"/>
        <v>420</v>
      </c>
      <c r="M472" s="27">
        <f t="shared" si="459"/>
        <v>420</v>
      </c>
      <c r="N472" s="27">
        <f t="shared" si="459"/>
        <v>260</v>
      </c>
      <c r="O472" s="27">
        <f t="shared" si="446"/>
        <v>61.904761904761905</v>
      </c>
    </row>
    <row r="473" spans="1:15" ht="31.5" x14ac:dyDescent="0.25">
      <c r="A473" s="26" t="s">
        <v>299</v>
      </c>
      <c r="B473" s="220">
        <v>903</v>
      </c>
      <c r="C473" s="218" t="s">
        <v>295</v>
      </c>
      <c r="D473" s="218" t="s">
        <v>266</v>
      </c>
      <c r="E473" s="218" t="s">
        <v>408</v>
      </c>
      <c r="F473" s="218" t="s">
        <v>300</v>
      </c>
      <c r="G473" s="27">
        <f t="shared" si="458"/>
        <v>420</v>
      </c>
      <c r="H473" s="27">
        <f t="shared" si="458"/>
        <v>300</v>
      </c>
      <c r="I473" s="27">
        <f t="shared" si="458"/>
        <v>420</v>
      </c>
      <c r="J473" s="27">
        <f t="shared" si="458"/>
        <v>420</v>
      </c>
      <c r="K473" s="27">
        <f t="shared" si="458"/>
        <v>420</v>
      </c>
      <c r="L473" s="27">
        <f t="shared" si="458"/>
        <v>420</v>
      </c>
      <c r="M473" s="27">
        <f t="shared" si="459"/>
        <v>420</v>
      </c>
      <c r="N473" s="27">
        <f t="shared" si="459"/>
        <v>260</v>
      </c>
      <c r="O473" s="27">
        <f t="shared" si="446"/>
        <v>61.904761904761905</v>
      </c>
    </row>
    <row r="474" spans="1:15" ht="31.5" x14ac:dyDescent="0.25">
      <c r="A474" s="26" t="s">
        <v>399</v>
      </c>
      <c r="B474" s="220">
        <v>903</v>
      </c>
      <c r="C474" s="218" t="s">
        <v>295</v>
      </c>
      <c r="D474" s="218" t="s">
        <v>266</v>
      </c>
      <c r="E474" s="218" t="s">
        <v>408</v>
      </c>
      <c r="F474" s="218" t="s">
        <v>400</v>
      </c>
      <c r="G474" s="27">
        <v>420</v>
      </c>
      <c r="H474" s="27">
        <v>300</v>
      </c>
      <c r="I474" s="27">
        <v>420</v>
      </c>
      <c r="J474" s="27">
        <v>420</v>
      </c>
      <c r="K474" s="27">
        <v>420</v>
      </c>
      <c r="L474" s="27">
        <v>420</v>
      </c>
      <c r="M474" s="27">
        <v>420</v>
      </c>
      <c r="N474" s="27">
        <v>260</v>
      </c>
      <c r="O474" s="27">
        <f t="shared" si="446"/>
        <v>61.904761904761905</v>
      </c>
    </row>
    <row r="475" spans="1:15" ht="15.75" x14ac:dyDescent="0.25">
      <c r="A475" s="26" t="s">
        <v>409</v>
      </c>
      <c r="B475" s="220">
        <v>903</v>
      </c>
      <c r="C475" s="220">
        <v>10</v>
      </c>
      <c r="D475" s="218" t="s">
        <v>266</v>
      </c>
      <c r="E475" s="218" t="s">
        <v>410</v>
      </c>
      <c r="F475" s="218"/>
      <c r="G475" s="27">
        <f>G476</f>
        <v>1595</v>
      </c>
      <c r="H475" s="27">
        <f>H476</f>
        <v>919.3</v>
      </c>
      <c r="I475" s="27">
        <f t="shared" ref="I475:L475" si="460">I476</f>
        <v>1595</v>
      </c>
      <c r="J475" s="27">
        <f t="shared" si="460"/>
        <v>1595</v>
      </c>
      <c r="K475" s="27">
        <f t="shared" si="460"/>
        <v>1595</v>
      </c>
      <c r="L475" s="27">
        <f t="shared" si="460"/>
        <v>1595</v>
      </c>
      <c r="M475" s="27">
        <f t="shared" ref="M475:N475" si="461">M476</f>
        <v>1504.6</v>
      </c>
      <c r="N475" s="27">
        <f t="shared" si="461"/>
        <v>773.3</v>
      </c>
      <c r="O475" s="27">
        <f t="shared" si="446"/>
        <v>51.395719792635916</v>
      </c>
    </row>
    <row r="476" spans="1:15" ht="31.5" x14ac:dyDescent="0.25">
      <c r="A476" s="26" t="s">
        <v>208</v>
      </c>
      <c r="B476" s="220">
        <v>903</v>
      </c>
      <c r="C476" s="218" t="s">
        <v>295</v>
      </c>
      <c r="D476" s="218" t="s">
        <v>266</v>
      </c>
      <c r="E476" s="218" t="s">
        <v>411</v>
      </c>
      <c r="F476" s="218"/>
      <c r="G476" s="27">
        <f>G477+G479</f>
        <v>1595</v>
      </c>
      <c r="H476" s="27">
        <f>H477+H479</f>
        <v>919.3</v>
      </c>
      <c r="I476" s="27">
        <f t="shared" ref="I476:L476" si="462">I477+I479</f>
        <v>1595</v>
      </c>
      <c r="J476" s="27">
        <f t="shared" si="462"/>
        <v>1595</v>
      </c>
      <c r="K476" s="27">
        <f t="shared" si="462"/>
        <v>1595</v>
      </c>
      <c r="L476" s="27">
        <f t="shared" si="462"/>
        <v>1595</v>
      </c>
      <c r="M476" s="27">
        <f t="shared" ref="M476:N476" si="463">M477+M479</f>
        <v>1504.6</v>
      </c>
      <c r="N476" s="27">
        <f t="shared" si="463"/>
        <v>773.3</v>
      </c>
      <c r="O476" s="27">
        <f t="shared" si="446"/>
        <v>51.395719792635916</v>
      </c>
    </row>
    <row r="477" spans="1:15" ht="31.5" x14ac:dyDescent="0.25">
      <c r="A477" s="26" t="s">
        <v>182</v>
      </c>
      <c r="B477" s="220">
        <v>903</v>
      </c>
      <c r="C477" s="218" t="s">
        <v>295</v>
      </c>
      <c r="D477" s="218" t="s">
        <v>266</v>
      </c>
      <c r="E477" s="218" t="s">
        <v>411</v>
      </c>
      <c r="F477" s="218" t="s">
        <v>183</v>
      </c>
      <c r="G477" s="27">
        <f>G478</f>
        <v>547</v>
      </c>
      <c r="H477" s="27">
        <f>H478</f>
        <v>40.299999999999997</v>
      </c>
      <c r="I477" s="27">
        <f t="shared" ref="I477:L477" si="464">I478</f>
        <v>547</v>
      </c>
      <c r="J477" s="27">
        <f t="shared" si="464"/>
        <v>547</v>
      </c>
      <c r="K477" s="27">
        <f t="shared" si="464"/>
        <v>547</v>
      </c>
      <c r="L477" s="27">
        <f t="shared" si="464"/>
        <v>547</v>
      </c>
      <c r="M477" s="27">
        <f t="shared" ref="M477:N477" si="465">M478</f>
        <v>456.6</v>
      </c>
      <c r="N477" s="27">
        <f t="shared" si="465"/>
        <v>9</v>
      </c>
      <c r="O477" s="27">
        <f t="shared" si="446"/>
        <v>1.971090670170828</v>
      </c>
    </row>
    <row r="478" spans="1:15" ht="47.25" x14ac:dyDescent="0.25">
      <c r="A478" s="26" t="s">
        <v>184</v>
      </c>
      <c r="B478" s="220">
        <v>903</v>
      </c>
      <c r="C478" s="218" t="s">
        <v>295</v>
      </c>
      <c r="D478" s="218" t="s">
        <v>266</v>
      </c>
      <c r="E478" s="218" t="s">
        <v>411</v>
      </c>
      <c r="F478" s="218" t="s">
        <v>185</v>
      </c>
      <c r="G478" s="27">
        <f>552-50+45</f>
        <v>547</v>
      </c>
      <c r="H478" s="27">
        <v>40.299999999999997</v>
      </c>
      <c r="I478" s="27">
        <f t="shared" ref="I478:L478" si="466">552-50+45</f>
        <v>547</v>
      </c>
      <c r="J478" s="27">
        <f t="shared" si="466"/>
        <v>547</v>
      </c>
      <c r="K478" s="27">
        <f t="shared" si="466"/>
        <v>547</v>
      </c>
      <c r="L478" s="27">
        <f t="shared" si="466"/>
        <v>547</v>
      </c>
      <c r="M478" s="27">
        <v>456.6</v>
      </c>
      <c r="N478" s="27">
        <v>9</v>
      </c>
      <c r="O478" s="27">
        <f t="shared" si="446"/>
        <v>1.971090670170828</v>
      </c>
    </row>
    <row r="479" spans="1:15" ht="31.5" x14ac:dyDescent="0.25">
      <c r="A479" s="26" t="s">
        <v>299</v>
      </c>
      <c r="B479" s="220">
        <v>903</v>
      </c>
      <c r="C479" s="218" t="s">
        <v>295</v>
      </c>
      <c r="D479" s="218" t="s">
        <v>266</v>
      </c>
      <c r="E479" s="218" t="s">
        <v>411</v>
      </c>
      <c r="F479" s="218" t="s">
        <v>300</v>
      </c>
      <c r="G479" s="27">
        <f>G480</f>
        <v>1048</v>
      </c>
      <c r="H479" s="27">
        <f>H480</f>
        <v>879</v>
      </c>
      <c r="I479" s="27">
        <f t="shared" ref="I479:L479" si="467">I480</f>
        <v>1048</v>
      </c>
      <c r="J479" s="27">
        <f t="shared" si="467"/>
        <v>1048</v>
      </c>
      <c r="K479" s="27">
        <f t="shared" si="467"/>
        <v>1048</v>
      </c>
      <c r="L479" s="27">
        <f t="shared" si="467"/>
        <v>1048</v>
      </c>
      <c r="M479" s="27">
        <f t="shared" ref="M479:N479" si="468">M480</f>
        <v>1048</v>
      </c>
      <c r="N479" s="27">
        <f t="shared" si="468"/>
        <v>764.3</v>
      </c>
      <c r="O479" s="27">
        <f t="shared" si="446"/>
        <v>72.929389312977094</v>
      </c>
    </row>
    <row r="480" spans="1:15" ht="31.5" x14ac:dyDescent="0.25">
      <c r="A480" s="26" t="s">
        <v>399</v>
      </c>
      <c r="B480" s="220">
        <v>903</v>
      </c>
      <c r="C480" s="218" t="s">
        <v>295</v>
      </c>
      <c r="D480" s="218" t="s">
        <v>266</v>
      </c>
      <c r="E480" s="218" t="s">
        <v>411</v>
      </c>
      <c r="F480" s="218" t="s">
        <v>400</v>
      </c>
      <c r="G480" s="27">
        <v>1048</v>
      </c>
      <c r="H480" s="27">
        <v>879</v>
      </c>
      <c r="I480" s="27">
        <v>1048</v>
      </c>
      <c r="J480" s="27">
        <v>1048</v>
      </c>
      <c r="K480" s="27">
        <v>1048</v>
      </c>
      <c r="L480" s="27">
        <v>1048</v>
      </c>
      <c r="M480" s="27">
        <v>1048</v>
      </c>
      <c r="N480" s="27">
        <v>764.3</v>
      </c>
      <c r="O480" s="27">
        <f t="shared" si="446"/>
        <v>72.929389312977094</v>
      </c>
    </row>
    <row r="481" spans="1:15" ht="37.5" customHeight="1" x14ac:dyDescent="0.25">
      <c r="A481" s="26" t="s">
        <v>412</v>
      </c>
      <c r="B481" s="220">
        <v>903</v>
      </c>
      <c r="C481" s="218" t="s">
        <v>295</v>
      </c>
      <c r="D481" s="218" t="s">
        <v>266</v>
      </c>
      <c r="E481" s="218" t="s">
        <v>413</v>
      </c>
      <c r="F481" s="218"/>
      <c r="G481" s="27">
        <f>G482</f>
        <v>335</v>
      </c>
      <c r="H481" s="27">
        <f t="shared" ref="H481:H483" si="469">H482</f>
        <v>200</v>
      </c>
      <c r="I481" s="27">
        <f t="shared" ref="I481:L483" si="470">I482</f>
        <v>335</v>
      </c>
      <c r="J481" s="27">
        <f t="shared" si="470"/>
        <v>1882</v>
      </c>
      <c r="K481" s="27">
        <f t="shared" si="470"/>
        <v>1962</v>
      </c>
      <c r="L481" s="27">
        <f t="shared" si="470"/>
        <v>1992</v>
      </c>
      <c r="M481" s="27">
        <f t="shared" ref="M481:N483" si="471">M482</f>
        <v>250</v>
      </c>
      <c r="N481" s="27">
        <f t="shared" si="471"/>
        <v>199.9</v>
      </c>
      <c r="O481" s="27">
        <f t="shared" si="446"/>
        <v>79.959999999999994</v>
      </c>
    </row>
    <row r="482" spans="1:15" ht="31.5" x14ac:dyDescent="0.25">
      <c r="A482" s="26" t="s">
        <v>208</v>
      </c>
      <c r="B482" s="220">
        <v>903</v>
      </c>
      <c r="C482" s="218" t="s">
        <v>295</v>
      </c>
      <c r="D482" s="218" t="s">
        <v>266</v>
      </c>
      <c r="E482" s="218" t="s">
        <v>414</v>
      </c>
      <c r="F482" s="218"/>
      <c r="G482" s="27">
        <f>G483</f>
        <v>335</v>
      </c>
      <c r="H482" s="27">
        <f t="shared" si="469"/>
        <v>200</v>
      </c>
      <c r="I482" s="27">
        <f t="shared" si="470"/>
        <v>335</v>
      </c>
      <c r="J482" s="27">
        <f t="shared" si="470"/>
        <v>1882</v>
      </c>
      <c r="K482" s="27">
        <f t="shared" si="470"/>
        <v>1962</v>
      </c>
      <c r="L482" s="27">
        <f t="shared" si="470"/>
        <v>1992</v>
      </c>
      <c r="M482" s="27">
        <f t="shared" si="471"/>
        <v>250</v>
      </c>
      <c r="N482" s="27">
        <f t="shared" si="471"/>
        <v>199.9</v>
      </c>
      <c r="O482" s="27">
        <f t="shared" si="446"/>
        <v>79.959999999999994</v>
      </c>
    </row>
    <row r="483" spans="1:15" ht="31.5" x14ac:dyDescent="0.25">
      <c r="A483" s="26" t="s">
        <v>299</v>
      </c>
      <c r="B483" s="220">
        <v>903</v>
      </c>
      <c r="C483" s="218" t="s">
        <v>295</v>
      </c>
      <c r="D483" s="218" t="s">
        <v>266</v>
      </c>
      <c r="E483" s="218" t="s">
        <v>414</v>
      </c>
      <c r="F483" s="218" t="s">
        <v>300</v>
      </c>
      <c r="G483" s="27">
        <f>G484</f>
        <v>335</v>
      </c>
      <c r="H483" s="27">
        <f t="shared" si="469"/>
        <v>200</v>
      </c>
      <c r="I483" s="27">
        <f t="shared" si="470"/>
        <v>335</v>
      </c>
      <c r="J483" s="27">
        <f t="shared" si="470"/>
        <v>1882</v>
      </c>
      <c r="K483" s="27">
        <f t="shared" si="470"/>
        <v>1962</v>
      </c>
      <c r="L483" s="27">
        <f t="shared" si="470"/>
        <v>1992</v>
      </c>
      <c r="M483" s="27">
        <f t="shared" si="471"/>
        <v>250</v>
      </c>
      <c r="N483" s="27">
        <f t="shared" si="471"/>
        <v>199.9</v>
      </c>
      <c r="O483" s="27">
        <f t="shared" si="446"/>
        <v>79.959999999999994</v>
      </c>
    </row>
    <row r="484" spans="1:15" ht="31.5" x14ac:dyDescent="0.25">
      <c r="A484" s="26" t="s">
        <v>399</v>
      </c>
      <c r="B484" s="220">
        <v>903</v>
      </c>
      <c r="C484" s="218" t="s">
        <v>295</v>
      </c>
      <c r="D484" s="218" t="s">
        <v>266</v>
      </c>
      <c r="E484" s="218" t="s">
        <v>414</v>
      </c>
      <c r="F484" s="218" t="s">
        <v>400</v>
      </c>
      <c r="G484" s="27">
        <f>400-65</f>
        <v>335</v>
      </c>
      <c r="H484" s="27">
        <v>200</v>
      </c>
      <c r="I484" s="27">
        <f t="shared" ref="I484" si="472">400-65</f>
        <v>335</v>
      </c>
      <c r="J484" s="27">
        <f>400-65+1442+60+45</f>
        <v>1882</v>
      </c>
      <c r="K484" s="27">
        <f>400-65+1522+60+45</f>
        <v>1962</v>
      </c>
      <c r="L484" s="27">
        <f>400-65+1552+60+45</f>
        <v>1992</v>
      </c>
      <c r="M484" s="27">
        <v>250</v>
      </c>
      <c r="N484" s="27">
        <v>199.9</v>
      </c>
      <c r="O484" s="27">
        <f t="shared" si="446"/>
        <v>79.959999999999994</v>
      </c>
    </row>
    <row r="485" spans="1:15" ht="49.5" customHeight="1" x14ac:dyDescent="0.25">
      <c r="A485" s="26" t="s">
        <v>415</v>
      </c>
      <c r="B485" s="220">
        <v>903</v>
      </c>
      <c r="C485" s="218" t="s">
        <v>295</v>
      </c>
      <c r="D485" s="218" t="s">
        <v>266</v>
      </c>
      <c r="E485" s="218" t="s">
        <v>416</v>
      </c>
      <c r="F485" s="218"/>
      <c r="G485" s="27">
        <f>G486</f>
        <v>210</v>
      </c>
      <c r="H485" s="27">
        <f t="shared" ref="H485:H487" si="473">H486</f>
        <v>112.8</v>
      </c>
      <c r="I485" s="27">
        <f t="shared" ref="I485:L487" si="474">I486</f>
        <v>210</v>
      </c>
      <c r="J485" s="27">
        <f t="shared" si="474"/>
        <v>210</v>
      </c>
      <c r="K485" s="27">
        <f t="shared" si="474"/>
        <v>210</v>
      </c>
      <c r="L485" s="27">
        <f t="shared" si="474"/>
        <v>210</v>
      </c>
      <c r="M485" s="27">
        <f t="shared" ref="M485:N487" si="475">M486</f>
        <v>210</v>
      </c>
      <c r="N485" s="27">
        <f t="shared" si="475"/>
        <v>68</v>
      </c>
      <c r="O485" s="27">
        <f t="shared" si="446"/>
        <v>32.38095238095238</v>
      </c>
    </row>
    <row r="486" spans="1:15" ht="31.5" x14ac:dyDescent="0.25">
      <c r="A486" s="26" t="s">
        <v>208</v>
      </c>
      <c r="B486" s="220">
        <v>903</v>
      </c>
      <c r="C486" s="218" t="s">
        <v>295</v>
      </c>
      <c r="D486" s="218" t="s">
        <v>266</v>
      </c>
      <c r="E486" s="218" t="s">
        <v>417</v>
      </c>
      <c r="F486" s="218"/>
      <c r="G486" s="27">
        <f>G487</f>
        <v>210</v>
      </c>
      <c r="H486" s="27">
        <f t="shared" si="473"/>
        <v>112.8</v>
      </c>
      <c r="I486" s="27">
        <f t="shared" si="474"/>
        <v>210</v>
      </c>
      <c r="J486" s="27">
        <f t="shared" si="474"/>
        <v>210</v>
      </c>
      <c r="K486" s="27">
        <f t="shared" si="474"/>
        <v>210</v>
      </c>
      <c r="L486" s="27">
        <f t="shared" si="474"/>
        <v>210</v>
      </c>
      <c r="M486" s="27">
        <f t="shared" si="475"/>
        <v>210</v>
      </c>
      <c r="N486" s="27">
        <f t="shared" si="475"/>
        <v>68</v>
      </c>
      <c r="O486" s="27">
        <f t="shared" si="446"/>
        <v>32.38095238095238</v>
      </c>
    </row>
    <row r="487" spans="1:15" ht="31.5" x14ac:dyDescent="0.25">
      <c r="A487" s="26" t="s">
        <v>182</v>
      </c>
      <c r="B487" s="220">
        <v>903</v>
      </c>
      <c r="C487" s="218" t="s">
        <v>295</v>
      </c>
      <c r="D487" s="218" t="s">
        <v>266</v>
      </c>
      <c r="E487" s="218" t="s">
        <v>417</v>
      </c>
      <c r="F487" s="218" t="s">
        <v>183</v>
      </c>
      <c r="G487" s="27">
        <f>G488</f>
        <v>210</v>
      </c>
      <c r="H487" s="27">
        <f t="shared" si="473"/>
        <v>112.8</v>
      </c>
      <c r="I487" s="27">
        <f t="shared" si="474"/>
        <v>210</v>
      </c>
      <c r="J487" s="27">
        <f t="shared" si="474"/>
        <v>210</v>
      </c>
      <c r="K487" s="27">
        <f t="shared" si="474"/>
        <v>210</v>
      </c>
      <c r="L487" s="27">
        <f t="shared" si="474"/>
        <v>210</v>
      </c>
      <c r="M487" s="27">
        <f t="shared" si="475"/>
        <v>210</v>
      </c>
      <c r="N487" s="27">
        <f t="shared" si="475"/>
        <v>68</v>
      </c>
      <c r="O487" s="27">
        <f t="shared" si="446"/>
        <v>32.38095238095238</v>
      </c>
    </row>
    <row r="488" spans="1:15" ht="47.25" x14ac:dyDescent="0.25">
      <c r="A488" s="26" t="s">
        <v>184</v>
      </c>
      <c r="B488" s="220">
        <v>903</v>
      </c>
      <c r="C488" s="218" t="s">
        <v>295</v>
      </c>
      <c r="D488" s="218" t="s">
        <v>266</v>
      </c>
      <c r="E488" s="218" t="s">
        <v>417</v>
      </c>
      <c r="F488" s="218" t="s">
        <v>185</v>
      </c>
      <c r="G488" s="27">
        <f>150+60</f>
        <v>210</v>
      </c>
      <c r="H488" s="27">
        <v>112.8</v>
      </c>
      <c r="I488" s="27">
        <f t="shared" ref="I488:L488" si="476">150+60</f>
        <v>210</v>
      </c>
      <c r="J488" s="27">
        <f t="shared" si="476"/>
        <v>210</v>
      </c>
      <c r="K488" s="27">
        <f t="shared" si="476"/>
        <v>210</v>
      </c>
      <c r="L488" s="27">
        <f t="shared" si="476"/>
        <v>210</v>
      </c>
      <c r="M488" s="27">
        <f t="shared" ref="M488" si="477">150+60</f>
        <v>210</v>
      </c>
      <c r="N488" s="27">
        <v>68</v>
      </c>
      <c r="O488" s="27">
        <f t="shared" si="446"/>
        <v>32.38095238095238</v>
      </c>
    </row>
    <row r="489" spans="1:15" ht="63" x14ac:dyDescent="0.25">
      <c r="A489" s="26" t="s">
        <v>418</v>
      </c>
      <c r="B489" s="220">
        <v>903</v>
      </c>
      <c r="C489" s="218" t="s">
        <v>295</v>
      </c>
      <c r="D489" s="218" t="s">
        <v>266</v>
      </c>
      <c r="E489" s="218" t="s">
        <v>419</v>
      </c>
      <c r="F489" s="218"/>
      <c r="G489" s="27">
        <f t="shared" ref="G489:L489" si="478">G490+G502+G496+G499</f>
        <v>30</v>
      </c>
      <c r="H489" s="27">
        <f t="shared" si="478"/>
        <v>0</v>
      </c>
      <c r="I489" s="27">
        <f t="shared" si="478"/>
        <v>30</v>
      </c>
      <c r="J489" s="27">
        <f t="shared" si="478"/>
        <v>30</v>
      </c>
      <c r="K489" s="27">
        <f t="shared" si="478"/>
        <v>30</v>
      </c>
      <c r="L489" s="27">
        <f t="shared" si="478"/>
        <v>30</v>
      </c>
      <c r="M489" s="27">
        <f t="shared" ref="M489:N489" si="479">M490+M502+M496+M499</f>
        <v>20</v>
      </c>
      <c r="N489" s="27">
        <f t="shared" si="479"/>
        <v>0</v>
      </c>
      <c r="O489" s="27">
        <f t="shared" si="446"/>
        <v>0</v>
      </c>
    </row>
    <row r="490" spans="1:15" ht="33.75" customHeight="1" x14ac:dyDescent="0.25">
      <c r="A490" s="26" t="s">
        <v>420</v>
      </c>
      <c r="B490" s="220">
        <v>903</v>
      </c>
      <c r="C490" s="218" t="s">
        <v>295</v>
      </c>
      <c r="D490" s="218" t="s">
        <v>266</v>
      </c>
      <c r="E490" s="218" t="s">
        <v>421</v>
      </c>
      <c r="F490" s="218"/>
      <c r="G490" s="27">
        <f>G491</f>
        <v>20</v>
      </c>
      <c r="H490" s="27">
        <f>H491</f>
        <v>0</v>
      </c>
      <c r="I490" s="27">
        <f t="shared" ref="I490:L490" si="480">I491</f>
        <v>20</v>
      </c>
      <c r="J490" s="27">
        <f t="shared" si="480"/>
        <v>20</v>
      </c>
      <c r="K490" s="27">
        <f t="shared" si="480"/>
        <v>20</v>
      </c>
      <c r="L490" s="27">
        <f t="shared" si="480"/>
        <v>20</v>
      </c>
      <c r="M490" s="27">
        <f t="shared" ref="M490:N491" si="481">M491</f>
        <v>10</v>
      </c>
      <c r="N490" s="27">
        <f t="shared" si="481"/>
        <v>0</v>
      </c>
      <c r="O490" s="27">
        <f t="shared" si="446"/>
        <v>0</v>
      </c>
    </row>
    <row r="491" spans="1:15" ht="47.25" x14ac:dyDescent="0.25">
      <c r="A491" s="26" t="s">
        <v>323</v>
      </c>
      <c r="B491" s="220">
        <v>903</v>
      </c>
      <c r="C491" s="218" t="s">
        <v>295</v>
      </c>
      <c r="D491" s="218" t="s">
        <v>266</v>
      </c>
      <c r="E491" s="218" t="s">
        <v>421</v>
      </c>
      <c r="F491" s="218" t="s">
        <v>324</v>
      </c>
      <c r="G491" s="27">
        <f t="shared" ref="G491:L491" si="482">G492</f>
        <v>20</v>
      </c>
      <c r="H491" s="27">
        <f t="shared" si="482"/>
        <v>0</v>
      </c>
      <c r="I491" s="27">
        <f t="shared" si="482"/>
        <v>20</v>
      </c>
      <c r="J491" s="27">
        <f t="shared" si="482"/>
        <v>20</v>
      </c>
      <c r="K491" s="27">
        <f t="shared" si="482"/>
        <v>20</v>
      </c>
      <c r="L491" s="27">
        <f t="shared" si="482"/>
        <v>20</v>
      </c>
      <c r="M491" s="27">
        <f t="shared" si="481"/>
        <v>10</v>
      </c>
      <c r="N491" s="27">
        <f t="shared" si="481"/>
        <v>0</v>
      </c>
      <c r="O491" s="27">
        <f t="shared" si="446"/>
        <v>0</v>
      </c>
    </row>
    <row r="492" spans="1:15" ht="47.25" customHeight="1" x14ac:dyDescent="0.25">
      <c r="A492" s="41" t="s">
        <v>422</v>
      </c>
      <c r="B492" s="220">
        <v>903</v>
      </c>
      <c r="C492" s="218" t="s">
        <v>295</v>
      </c>
      <c r="D492" s="218" t="s">
        <v>266</v>
      </c>
      <c r="E492" s="218" t="s">
        <v>421</v>
      </c>
      <c r="F492" s="218" t="s">
        <v>423</v>
      </c>
      <c r="G492" s="27">
        <f>30-10</f>
        <v>20</v>
      </c>
      <c r="H492" s="27">
        <v>0</v>
      </c>
      <c r="I492" s="27">
        <f t="shared" ref="I492:L492" si="483">30-10</f>
        <v>20</v>
      </c>
      <c r="J492" s="27">
        <f t="shared" si="483"/>
        <v>20</v>
      </c>
      <c r="K492" s="27">
        <f t="shared" si="483"/>
        <v>20</v>
      </c>
      <c r="L492" s="27">
        <f t="shared" si="483"/>
        <v>20</v>
      </c>
      <c r="M492" s="27">
        <v>10</v>
      </c>
      <c r="N492" s="27">
        <v>0</v>
      </c>
      <c r="O492" s="27">
        <f t="shared" si="446"/>
        <v>0</v>
      </c>
    </row>
    <row r="493" spans="1:15" ht="15.75" hidden="1" customHeight="1" x14ac:dyDescent="0.25">
      <c r="A493" s="41"/>
      <c r="B493" s="220"/>
      <c r="C493" s="218"/>
      <c r="D493" s="218"/>
      <c r="E493" s="218"/>
      <c r="F493" s="218"/>
      <c r="G493" s="27"/>
      <c r="H493" s="27"/>
      <c r="I493" s="27"/>
      <c r="J493" s="27"/>
      <c r="K493" s="27"/>
      <c r="L493" s="27"/>
      <c r="M493" s="27"/>
      <c r="N493" s="27"/>
      <c r="O493" s="27" t="e">
        <f t="shared" si="446"/>
        <v>#DIV/0!</v>
      </c>
    </row>
    <row r="494" spans="1:15" ht="15.75" hidden="1" customHeight="1" x14ac:dyDescent="0.25">
      <c r="A494" s="41"/>
      <c r="B494" s="220"/>
      <c r="C494" s="218"/>
      <c r="D494" s="218"/>
      <c r="E494" s="218"/>
      <c r="F494" s="218"/>
      <c r="G494" s="27"/>
      <c r="H494" s="27"/>
      <c r="I494" s="27"/>
      <c r="J494" s="27"/>
      <c r="K494" s="27"/>
      <c r="L494" s="27"/>
      <c r="M494" s="27"/>
      <c r="N494" s="27"/>
      <c r="O494" s="27" t="e">
        <f t="shared" si="446"/>
        <v>#DIV/0!</v>
      </c>
    </row>
    <row r="495" spans="1:15" ht="15.75" hidden="1" customHeight="1" x14ac:dyDescent="0.25">
      <c r="A495" s="41"/>
      <c r="B495" s="220"/>
      <c r="C495" s="218"/>
      <c r="D495" s="218"/>
      <c r="E495" s="218"/>
      <c r="F495" s="218"/>
      <c r="G495" s="27"/>
      <c r="H495" s="27"/>
      <c r="I495" s="27"/>
      <c r="J495" s="27"/>
      <c r="K495" s="27"/>
      <c r="L495" s="27"/>
      <c r="M495" s="27"/>
      <c r="N495" s="27"/>
      <c r="O495" s="27" t="e">
        <f t="shared" si="446"/>
        <v>#DIV/0!</v>
      </c>
    </row>
    <row r="496" spans="1:15" ht="126" hidden="1" customHeight="1" x14ac:dyDescent="0.25">
      <c r="A496" s="26" t="s">
        <v>424</v>
      </c>
      <c r="B496" s="220">
        <v>903</v>
      </c>
      <c r="C496" s="218" t="s">
        <v>295</v>
      </c>
      <c r="D496" s="218" t="s">
        <v>266</v>
      </c>
      <c r="E496" s="218" t="s">
        <v>425</v>
      </c>
      <c r="F496" s="218"/>
      <c r="G496" s="27">
        <f t="shared" ref="G496:L497" si="484">G497</f>
        <v>0</v>
      </c>
      <c r="H496" s="27">
        <f t="shared" si="484"/>
        <v>0</v>
      </c>
      <c r="I496" s="27">
        <f t="shared" si="484"/>
        <v>0</v>
      </c>
      <c r="J496" s="27">
        <f t="shared" si="484"/>
        <v>0</v>
      </c>
      <c r="K496" s="27">
        <f t="shared" si="484"/>
        <v>0</v>
      </c>
      <c r="L496" s="27">
        <f t="shared" si="484"/>
        <v>0</v>
      </c>
      <c r="M496" s="27">
        <f t="shared" ref="M496:N497" si="485">M497</f>
        <v>0</v>
      </c>
      <c r="N496" s="27">
        <f t="shared" si="485"/>
        <v>0</v>
      </c>
      <c r="O496" s="27" t="e">
        <f t="shared" si="446"/>
        <v>#DIV/0!</v>
      </c>
    </row>
    <row r="497" spans="1:15" ht="15.75" hidden="1" customHeight="1" x14ac:dyDescent="0.25">
      <c r="A497" s="26" t="s">
        <v>186</v>
      </c>
      <c r="B497" s="220">
        <v>903</v>
      </c>
      <c r="C497" s="218" t="s">
        <v>295</v>
      </c>
      <c r="D497" s="218" t="s">
        <v>266</v>
      </c>
      <c r="E497" s="218" t="s">
        <v>425</v>
      </c>
      <c r="F497" s="218" t="s">
        <v>196</v>
      </c>
      <c r="G497" s="27">
        <f t="shared" si="484"/>
        <v>0</v>
      </c>
      <c r="H497" s="27">
        <f t="shared" si="484"/>
        <v>0</v>
      </c>
      <c r="I497" s="27">
        <f t="shared" si="484"/>
        <v>0</v>
      </c>
      <c r="J497" s="27">
        <f t="shared" si="484"/>
        <v>0</v>
      </c>
      <c r="K497" s="27">
        <f t="shared" si="484"/>
        <v>0</v>
      </c>
      <c r="L497" s="27">
        <f t="shared" si="484"/>
        <v>0</v>
      </c>
      <c r="M497" s="27">
        <f t="shared" si="485"/>
        <v>0</v>
      </c>
      <c r="N497" s="27">
        <f t="shared" si="485"/>
        <v>0</v>
      </c>
      <c r="O497" s="27" t="e">
        <f t="shared" si="446"/>
        <v>#DIV/0!</v>
      </c>
    </row>
    <row r="498" spans="1:15" ht="63" hidden="1" customHeight="1" x14ac:dyDescent="0.25">
      <c r="A498" s="26" t="s">
        <v>235</v>
      </c>
      <c r="B498" s="220">
        <v>903</v>
      </c>
      <c r="C498" s="218" t="s">
        <v>295</v>
      </c>
      <c r="D498" s="218" t="s">
        <v>266</v>
      </c>
      <c r="E498" s="218" t="s">
        <v>425</v>
      </c>
      <c r="F498" s="218" t="s">
        <v>211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 t="e">
        <f t="shared" si="446"/>
        <v>#DIV/0!</v>
      </c>
    </row>
    <row r="499" spans="1:15" ht="50.25" customHeight="1" x14ac:dyDescent="0.25">
      <c r="A499" s="26" t="s">
        <v>426</v>
      </c>
      <c r="B499" s="220">
        <v>903</v>
      </c>
      <c r="C499" s="218" t="s">
        <v>295</v>
      </c>
      <c r="D499" s="218" t="s">
        <v>266</v>
      </c>
      <c r="E499" s="218" t="s">
        <v>427</v>
      </c>
      <c r="F499" s="218"/>
      <c r="G499" s="27">
        <f t="shared" ref="G499:L500" si="486">G500</f>
        <v>10</v>
      </c>
      <c r="H499" s="27">
        <f t="shared" si="486"/>
        <v>0</v>
      </c>
      <c r="I499" s="27">
        <f t="shared" si="486"/>
        <v>10</v>
      </c>
      <c r="J499" s="27">
        <f t="shared" si="486"/>
        <v>10</v>
      </c>
      <c r="K499" s="27">
        <f t="shared" si="486"/>
        <v>10</v>
      </c>
      <c r="L499" s="27">
        <f t="shared" si="486"/>
        <v>10</v>
      </c>
      <c r="M499" s="27">
        <f t="shared" ref="M499:N500" si="487">M500</f>
        <v>10</v>
      </c>
      <c r="N499" s="27">
        <f t="shared" si="487"/>
        <v>0</v>
      </c>
      <c r="O499" s="27">
        <f t="shared" si="446"/>
        <v>0</v>
      </c>
    </row>
    <row r="500" spans="1:15" ht="31.5" x14ac:dyDescent="0.25">
      <c r="A500" s="26" t="s">
        <v>299</v>
      </c>
      <c r="B500" s="220">
        <v>903</v>
      </c>
      <c r="C500" s="218" t="s">
        <v>295</v>
      </c>
      <c r="D500" s="218" t="s">
        <v>266</v>
      </c>
      <c r="E500" s="218" t="s">
        <v>427</v>
      </c>
      <c r="F500" s="218" t="s">
        <v>300</v>
      </c>
      <c r="G500" s="27">
        <f t="shared" si="486"/>
        <v>10</v>
      </c>
      <c r="H500" s="27">
        <f t="shared" si="486"/>
        <v>0</v>
      </c>
      <c r="I500" s="27">
        <f t="shared" si="486"/>
        <v>10</v>
      </c>
      <c r="J500" s="27">
        <f t="shared" si="486"/>
        <v>10</v>
      </c>
      <c r="K500" s="27">
        <f t="shared" si="486"/>
        <v>10</v>
      </c>
      <c r="L500" s="27">
        <f t="shared" si="486"/>
        <v>10</v>
      </c>
      <c r="M500" s="27">
        <f t="shared" si="487"/>
        <v>10</v>
      </c>
      <c r="N500" s="27">
        <f t="shared" si="487"/>
        <v>0</v>
      </c>
      <c r="O500" s="27">
        <f t="shared" si="446"/>
        <v>0</v>
      </c>
    </row>
    <row r="501" spans="1:15" ht="31.5" x14ac:dyDescent="0.25">
      <c r="A501" s="26" t="s">
        <v>301</v>
      </c>
      <c r="B501" s="220">
        <v>903</v>
      </c>
      <c r="C501" s="218" t="s">
        <v>295</v>
      </c>
      <c r="D501" s="218" t="s">
        <v>266</v>
      </c>
      <c r="E501" s="218" t="s">
        <v>427</v>
      </c>
      <c r="F501" s="218" t="s">
        <v>302</v>
      </c>
      <c r="G501" s="27">
        <v>10</v>
      </c>
      <c r="H501" s="27">
        <v>0</v>
      </c>
      <c r="I501" s="27">
        <v>10</v>
      </c>
      <c r="J501" s="27">
        <v>10</v>
      </c>
      <c r="K501" s="27">
        <v>10</v>
      </c>
      <c r="L501" s="27">
        <v>10</v>
      </c>
      <c r="M501" s="27">
        <v>10</v>
      </c>
      <c r="N501" s="27">
        <v>0</v>
      </c>
      <c r="O501" s="27">
        <f t="shared" si="446"/>
        <v>0</v>
      </c>
    </row>
    <row r="502" spans="1:15" ht="31.5" hidden="1" customHeight="1" x14ac:dyDescent="0.25">
      <c r="A502" s="26" t="s">
        <v>428</v>
      </c>
      <c r="B502" s="220">
        <v>903</v>
      </c>
      <c r="C502" s="218" t="s">
        <v>295</v>
      </c>
      <c r="D502" s="218" t="s">
        <v>266</v>
      </c>
      <c r="E502" s="218" t="s">
        <v>429</v>
      </c>
      <c r="F502" s="218"/>
      <c r="G502" s="27">
        <f t="shared" ref="G502:L502" si="488">G503+G505</f>
        <v>0</v>
      </c>
      <c r="H502" s="27">
        <f t="shared" si="488"/>
        <v>0</v>
      </c>
      <c r="I502" s="27">
        <f t="shared" si="488"/>
        <v>0</v>
      </c>
      <c r="J502" s="27">
        <f t="shared" si="488"/>
        <v>0</v>
      </c>
      <c r="K502" s="27">
        <f t="shared" si="488"/>
        <v>0</v>
      </c>
      <c r="L502" s="27">
        <f t="shared" si="488"/>
        <v>0</v>
      </c>
      <c r="M502" s="27">
        <f t="shared" ref="M502:N502" si="489">M503+M505</f>
        <v>0</v>
      </c>
      <c r="N502" s="27">
        <f t="shared" si="489"/>
        <v>0</v>
      </c>
      <c r="O502" s="27" t="e">
        <f t="shared" si="446"/>
        <v>#DIV/0!</v>
      </c>
    </row>
    <row r="503" spans="1:15" ht="31.5" hidden="1" customHeight="1" x14ac:dyDescent="0.25">
      <c r="A503" s="26" t="s">
        <v>182</v>
      </c>
      <c r="B503" s="220">
        <v>903</v>
      </c>
      <c r="C503" s="218" t="s">
        <v>295</v>
      </c>
      <c r="D503" s="218" t="s">
        <v>266</v>
      </c>
      <c r="E503" s="218" t="s">
        <v>429</v>
      </c>
      <c r="F503" s="218" t="s">
        <v>183</v>
      </c>
      <c r="G503" s="27">
        <f t="shared" ref="G503:L503" si="490">G504</f>
        <v>0</v>
      </c>
      <c r="H503" s="27">
        <f t="shared" si="490"/>
        <v>0</v>
      </c>
      <c r="I503" s="27">
        <f t="shared" si="490"/>
        <v>0</v>
      </c>
      <c r="J503" s="27">
        <f t="shared" si="490"/>
        <v>0</v>
      </c>
      <c r="K503" s="27">
        <f t="shared" si="490"/>
        <v>0</v>
      </c>
      <c r="L503" s="27">
        <f t="shared" si="490"/>
        <v>0</v>
      </c>
      <c r="M503" s="27">
        <f t="shared" ref="M503:N503" si="491">M504</f>
        <v>0</v>
      </c>
      <c r="N503" s="27">
        <f t="shared" si="491"/>
        <v>0</v>
      </c>
      <c r="O503" s="27" t="e">
        <f t="shared" si="446"/>
        <v>#DIV/0!</v>
      </c>
    </row>
    <row r="504" spans="1:15" ht="47.25" hidden="1" customHeight="1" x14ac:dyDescent="0.25">
      <c r="A504" s="26" t="s">
        <v>184</v>
      </c>
      <c r="B504" s="220">
        <v>903</v>
      </c>
      <c r="C504" s="218" t="s">
        <v>295</v>
      </c>
      <c r="D504" s="218" t="s">
        <v>266</v>
      </c>
      <c r="E504" s="218" t="s">
        <v>429</v>
      </c>
      <c r="F504" s="218" t="s">
        <v>185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 t="e">
        <f t="shared" si="446"/>
        <v>#DIV/0!</v>
      </c>
    </row>
    <row r="505" spans="1:15" ht="15.75" hidden="1" customHeight="1" x14ac:dyDescent="0.25">
      <c r="A505" s="26" t="s">
        <v>186</v>
      </c>
      <c r="B505" s="220">
        <v>903</v>
      </c>
      <c r="C505" s="218" t="s">
        <v>295</v>
      </c>
      <c r="D505" s="218" t="s">
        <v>266</v>
      </c>
      <c r="E505" s="218" t="s">
        <v>430</v>
      </c>
      <c r="F505" s="218" t="s">
        <v>196</v>
      </c>
      <c r="G505" s="27">
        <f t="shared" ref="G505:L505" si="492">G506</f>
        <v>0</v>
      </c>
      <c r="H505" s="27">
        <f t="shared" si="492"/>
        <v>0</v>
      </c>
      <c r="I505" s="27">
        <f t="shared" si="492"/>
        <v>0</v>
      </c>
      <c r="J505" s="27">
        <f t="shared" si="492"/>
        <v>0</v>
      </c>
      <c r="K505" s="27">
        <f t="shared" si="492"/>
        <v>0</v>
      </c>
      <c r="L505" s="27">
        <f t="shared" si="492"/>
        <v>0</v>
      </c>
      <c r="M505" s="27">
        <f t="shared" ref="M505:N505" si="493">M506</f>
        <v>0</v>
      </c>
      <c r="N505" s="27">
        <f t="shared" si="493"/>
        <v>0</v>
      </c>
      <c r="O505" s="27" t="e">
        <f t="shared" si="446"/>
        <v>#DIV/0!</v>
      </c>
    </row>
    <row r="506" spans="1:15" ht="63" hidden="1" customHeight="1" x14ac:dyDescent="0.25">
      <c r="A506" s="26" t="s">
        <v>235</v>
      </c>
      <c r="B506" s="220">
        <v>903</v>
      </c>
      <c r="C506" s="218" t="s">
        <v>295</v>
      </c>
      <c r="D506" s="218" t="s">
        <v>266</v>
      </c>
      <c r="E506" s="218" t="s">
        <v>430</v>
      </c>
      <c r="F506" s="218" t="s">
        <v>211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 t="e">
        <f t="shared" si="446"/>
        <v>#DIV/0!</v>
      </c>
    </row>
    <row r="507" spans="1:15" ht="94.5" x14ac:dyDescent="0.25">
      <c r="A507" s="31" t="s">
        <v>431</v>
      </c>
      <c r="B507" s="220">
        <v>903</v>
      </c>
      <c r="C507" s="221" t="s">
        <v>295</v>
      </c>
      <c r="D507" s="221" t="s">
        <v>266</v>
      </c>
      <c r="E507" s="221" t="s">
        <v>432</v>
      </c>
      <c r="F507" s="221"/>
      <c r="G507" s="27">
        <f>G508</f>
        <v>105</v>
      </c>
      <c r="H507" s="27">
        <f t="shared" ref="H507:H509" si="494">H508</f>
        <v>94.6</v>
      </c>
      <c r="I507" s="27">
        <f t="shared" ref="I507:L509" si="495">I508</f>
        <v>105</v>
      </c>
      <c r="J507" s="27">
        <f t="shared" si="495"/>
        <v>0</v>
      </c>
      <c r="K507" s="27">
        <f t="shared" si="495"/>
        <v>0</v>
      </c>
      <c r="L507" s="27">
        <f t="shared" si="495"/>
        <v>0</v>
      </c>
      <c r="M507" s="27">
        <f t="shared" ref="M507:N509" si="496">M508</f>
        <v>200</v>
      </c>
      <c r="N507" s="27">
        <f t="shared" si="496"/>
        <v>106.3</v>
      </c>
      <c r="O507" s="27">
        <f t="shared" si="446"/>
        <v>53.15</v>
      </c>
    </row>
    <row r="508" spans="1:15" ht="31.5" x14ac:dyDescent="0.25">
      <c r="A508" s="31" t="s">
        <v>208</v>
      </c>
      <c r="B508" s="220">
        <v>903</v>
      </c>
      <c r="C508" s="221" t="s">
        <v>295</v>
      </c>
      <c r="D508" s="221" t="s">
        <v>266</v>
      </c>
      <c r="E508" s="221" t="s">
        <v>433</v>
      </c>
      <c r="F508" s="221"/>
      <c r="G508" s="27">
        <f>G509</f>
        <v>105</v>
      </c>
      <c r="H508" s="27">
        <f t="shared" si="494"/>
        <v>94.6</v>
      </c>
      <c r="I508" s="27">
        <f t="shared" si="495"/>
        <v>105</v>
      </c>
      <c r="J508" s="27">
        <f t="shared" si="495"/>
        <v>0</v>
      </c>
      <c r="K508" s="27">
        <f t="shared" si="495"/>
        <v>0</v>
      </c>
      <c r="L508" s="27">
        <f t="shared" si="495"/>
        <v>0</v>
      </c>
      <c r="M508" s="27">
        <f t="shared" si="496"/>
        <v>200</v>
      </c>
      <c r="N508" s="27">
        <f t="shared" si="496"/>
        <v>106.3</v>
      </c>
      <c r="O508" s="27">
        <f t="shared" si="446"/>
        <v>53.15</v>
      </c>
    </row>
    <row r="509" spans="1:15" ht="31.5" x14ac:dyDescent="0.25">
      <c r="A509" s="31" t="s">
        <v>182</v>
      </c>
      <c r="B509" s="220">
        <v>903</v>
      </c>
      <c r="C509" s="221" t="s">
        <v>295</v>
      </c>
      <c r="D509" s="221" t="s">
        <v>266</v>
      </c>
      <c r="E509" s="221" t="s">
        <v>433</v>
      </c>
      <c r="F509" s="221" t="s">
        <v>183</v>
      </c>
      <c r="G509" s="27">
        <f>G510</f>
        <v>105</v>
      </c>
      <c r="H509" s="27">
        <f t="shared" si="494"/>
        <v>94.6</v>
      </c>
      <c r="I509" s="27">
        <f t="shared" si="495"/>
        <v>105</v>
      </c>
      <c r="J509" s="27">
        <f t="shared" si="495"/>
        <v>0</v>
      </c>
      <c r="K509" s="27">
        <f t="shared" si="495"/>
        <v>0</v>
      </c>
      <c r="L509" s="27">
        <f t="shared" si="495"/>
        <v>0</v>
      </c>
      <c r="M509" s="27">
        <f t="shared" si="496"/>
        <v>200</v>
      </c>
      <c r="N509" s="27">
        <f t="shared" si="496"/>
        <v>106.3</v>
      </c>
      <c r="O509" s="27">
        <f t="shared" si="446"/>
        <v>53.15</v>
      </c>
    </row>
    <row r="510" spans="1:15" ht="47.25" x14ac:dyDescent="0.25">
      <c r="A510" s="31" t="s">
        <v>184</v>
      </c>
      <c r="B510" s="220">
        <v>903</v>
      </c>
      <c r="C510" s="221" t="s">
        <v>295</v>
      </c>
      <c r="D510" s="221" t="s">
        <v>266</v>
      </c>
      <c r="E510" s="221" t="s">
        <v>433</v>
      </c>
      <c r="F510" s="221" t="s">
        <v>185</v>
      </c>
      <c r="G510" s="27">
        <f>50+55</f>
        <v>105</v>
      </c>
      <c r="H510" s="27">
        <v>94.6</v>
      </c>
      <c r="I510" s="27">
        <f t="shared" ref="I510" si="497">50+55</f>
        <v>105</v>
      </c>
      <c r="J510" s="27">
        <v>0</v>
      </c>
      <c r="K510" s="27">
        <v>0</v>
      </c>
      <c r="L510" s="27">
        <v>0</v>
      </c>
      <c r="M510" s="27">
        <v>200</v>
      </c>
      <c r="N510" s="27">
        <v>106.3</v>
      </c>
      <c r="O510" s="27">
        <f t="shared" si="446"/>
        <v>53.15</v>
      </c>
    </row>
    <row r="511" spans="1:15" ht="15.75" x14ac:dyDescent="0.25">
      <c r="A511" s="26" t="s">
        <v>172</v>
      </c>
      <c r="B511" s="220">
        <v>903</v>
      </c>
      <c r="C511" s="218" t="s">
        <v>295</v>
      </c>
      <c r="D511" s="218" t="s">
        <v>266</v>
      </c>
      <c r="E511" s="218" t="s">
        <v>173</v>
      </c>
      <c r="F511" s="218"/>
      <c r="G511" s="27">
        <f>G512+G523</f>
        <v>932</v>
      </c>
      <c r="H511" s="27">
        <f>H512+H523</f>
        <v>0</v>
      </c>
      <c r="I511" s="27">
        <f t="shared" ref="I511:L511" si="498">I512+I523</f>
        <v>932</v>
      </c>
      <c r="J511" s="27">
        <f t="shared" si="498"/>
        <v>0</v>
      </c>
      <c r="K511" s="27">
        <f t="shared" si="498"/>
        <v>0</v>
      </c>
      <c r="L511" s="27">
        <f t="shared" si="498"/>
        <v>0</v>
      </c>
      <c r="M511" s="27">
        <f t="shared" ref="M511:N511" si="499">M512+M523</f>
        <v>783.1</v>
      </c>
      <c r="N511" s="27">
        <f t="shared" si="499"/>
        <v>142.1</v>
      </c>
      <c r="O511" s="27">
        <f t="shared" si="446"/>
        <v>18.145830672966415</v>
      </c>
    </row>
    <row r="512" spans="1:15" ht="31.5" x14ac:dyDescent="0.25">
      <c r="A512" s="26" t="s">
        <v>236</v>
      </c>
      <c r="B512" s="220">
        <v>903</v>
      </c>
      <c r="C512" s="218" t="s">
        <v>295</v>
      </c>
      <c r="D512" s="218" t="s">
        <v>266</v>
      </c>
      <c r="E512" s="218" t="s">
        <v>237</v>
      </c>
      <c r="F512" s="218"/>
      <c r="G512" s="27">
        <f>G519+G513+G516</f>
        <v>932</v>
      </c>
      <c r="H512" s="27">
        <f>H519+H513+H516</f>
        <v>0</v>
      </c>
      <c r="I512" s="27">
        <f t="shared" ref="I512:L512" si="500">I519+I513+I516</f>
        <v>932</v>
      </c>
      <c r="J512" s="27">
        <f t="shared" si="500"/>
        <v>0</v>
      </c>
      <c r="K512" s="27">
        <f t="shared" si="500"/>
        <v>0</v>
      </c>
      <c r="L512" s="27">
        <f t="shared" si="500"/>
        <v>0</v>
      </c>
      <c r="M512" s="27">
        <f t="shared" ref="M512:N512" si="501">M519+M513+M516</f>
        <v>783.1</v>
      </c>
      <c r="N512" s="27">
        <f t="shared" si="501"/>
        <v>142.1</v>
      </c>
      <c r="O512" s="27">
        <f t="shared" si="446"/>
        <v>18.145830672966415</v>
      </c>
    </row>
    <row r="513" spans="1:15" ht="47.25" x14ac:dyDescent="0.25">
      <c r="A513" s="26" t="s">
        <v>983</v>
      </c>
      <c r="B513" s="220">
        <v>903</v>
      </c>
      <c r="C513" s="218" t="s">
        <v>295</v>
      </c>
      <c r="D513" s="218" t="s">
        <v>266</v>
      </c>
      <c r="E513" s="218" t="s">
        <v>982</v>
      </c>
      <c r="F513" s="218"/>
      <c r="G513" s="27">
        <f t="shared" ref="G513:L514" si="502">G514</f>
        <v>372.6</v>
      </c>
      <c r="H513" s="27">
        <f t="shared" si="502"/>
        <v>0</v>
      </c>
      <c r="I513" s="27">
        <f t="shared" si="502"/>
        <v>372.6</v>
      </c>
      <c r="J513" s="27">
        <f t="shared" si="502"/>
        <v>0</v>
      </c>
      <c r="K513" s="27">
        <f t="shared" si="502"/>
        <v>0</v>
      </c>
      <c r="L513" s="27">
        <f t="shared" si="502"/>
        <v>0</v>
      </c>
      <c r="M513" s="27">
        <f t="shared" ref="M513:N514" si="503">M514</f>
        <v>783.1</v>
      </c>
      <c r="N513" s="27">
        <f t="shared" si="503"/>
        <v>142.1</v>
      </c>
      <c r="O513" s="27">
        <f t="shared" si="446"/>
        <v>18.145830672966415</v>
      </c>
    </row>
    <row r="514" spans="1:15" ht="31.5" x14ac:dyDescent="0.25">
      <c r="A514" s="26" t="s">
        <v>299</v>
      </c>
      <c r="B514" s="220">
        <v>903</v>
      </c>
      <c r="C514" s="218" t="s">
        <v>295</v>
      </c>
      <c r="D514" s="218" t="s">
        <v>266</v>
      </c>
      <c r="E514" s="218" t="s">
        <v>982</v>
      </c>
      <c r="F514" s="218" t="s">
        <v>300</v>
      </c>
      <c r="G514" s="27">
        <f t="shared" si="502"/>
        <v>372.6</v>
      </c>
      <c r="H514" s="27">
        <f t="shared" si="502"/>
        <v>0</v>
      </c>
      <c r="I514" s="27">
        <f t="shared" si="502"/>
        <v>372.6</v>
      </c>
      <c r="J514" s="27">
        <f t="shared" si="502"/>
        <v>0</v>
      </c>
      <c r="K514" s="27">
        <f t="shared" si="502"/>
        <v>0</v>
      </c>
      <c r="L514" s="27">
        <f t="shared" si="502"/>
        <v>0</v>
      </c>
      <c r="M514" s="27">
        <f t="shared" si="503"/>
        <v>783.1</v>
      </c>
      <c r="N514" s="27">
        <f t="shared" si="503"/>
        <v>142.1</v>
      </c>
      <c r="O514" s="27">
        <f t="shared" si="446"/>
        <v>18.145830672966415</v>
      </c>
    </row>
    <row r="515" spans="1:15" ht="31.5" x14ac:dyDescent="0.25">
      <c r="A515" s="26" t="s">
        <v>301</v>
      </c>
      <c r="B515" s="220">
        <v>903</v>
      </c>
      <c r="C515" s="218" t="s">
        <v>295</v>
      </c>
      <c r="D515" s="218" t="s">
        <v>266</v>
      </c>
      <c r="E515" s="218" t="s">
        <v>982</v>
      </c>
      <c r="F515" s="218" t="s">
        <v>302</v>
      </c>
      <c r="G515" s="27">
        <v>372.6</v>
      </c>
      <c r="H515" s="27">
        <v>0</v>
      </c>
      <c r="I515" s="27">
        <v>372.6</v>
      </c>
      <c r="J515" s="27">
        <v>0</v>
      </c>
      <c r="K515" s="27">
        <v>0</v>
      </c>
      <c r="L515" s="27">
        <v>0</v>
      </c>
      <c r="M515" s="27">
        <v>783.1</v>
      </c>
      <c r="N515" s="27">
        <v>142.1</v>
      </c>
      <c r="O515" s="27">
        <f t="shared" si="446"/>
        <v>18.145830672966415</v>
      </c>
    </row>
    <row r="516" spans="1:15" ht="63" hidden="1" x14ac:dyDescent="0.25">
      <c r="A516" s="26" t="s">
        <v>426</v>
      </c>
      <c r="B516" s="220">
        <v>903</v>
      </c>
      <c r="C516" s="218" t="s">
        <v>295</v>
      </c>
      <c r="D516" s="218" t="s">
        <v>266</v>
      </c>
      <c r="E516" s="218" t="s">
        <v>436</v>
      </c>
      <c r="F516" s="218"/>
      <c r="G516" s="27">
        <f t="shared" ref="G516:L517" si="504">G517</f>
        <v>500</v>
      </c>
      <c r="H516" s="27">
        <f t="shared" si="504"/>
        <v>0</v>
      </c>
      <c r="I516" s="27">
        <f t="shared" si="504"/>
        <v>500</v>
      </c>
      <c r="J516" s="27">
        <f t="shared" si="504"/>
        <v>0</v>
      </c>
      <c r="K516" s="27">
        <f t="shared" si="504"/>
        <v>0</v>
      </c>
      <c r="L516" s="27">
        <f t="shared" si="504"/>
        <v>0</v>
      </c>
      <c r="M516" s="27">
        <f t="shared" ref="M516:N517" si="505">M517</f>
        <v>0</v>
      </c>
      <c r="N516" s="27">
        <f t="shared" si="505"/>
        <v>0</v>
      </c>
      <c r="O516" s="27" t="e">
        <f t="shared" si="446"/>
        <v>#DIV/0!</v>
      </c>
    </row>
    <row r="517" spans="1:15" ht="31.5" hidden="1" x14ac:dyDescent="0.25">
      <c r="A517" s="26" t="s">
        <v>299</v>
      </c>
      <c r="B517" s="220">
        <v>903</v>
      </c>
      <c r="C517" s="218" t="s">
        <v>295</v>
      </c>
      <c r="D517" s="218" t="s">
        <v>266</v>
      </c>
      <c r="E517" s="218" t="s">
        <v>436</v>
      </c>
      <c r="F517" s="218" t="s">
        <v>300</v>
      </c>
      <c r="G517" s="27">
        <f t="shared" si="504"/>
        <v>500</v>
      </c>
      <c r="H517" s="27">
        <f t="shared" si="504"/>
        <v>0</v>
      </c>
      <c r="I517" s="27">
        <f t="shared" si="504"/>
        <v>500</v>
      </c>
      <c r="J517" s="27">
        <f t="shared" si="504"/>
        <v>0</v>
      </c>
      <c r="K517" s="27">
        <f t="shared" si="504"/>
        <v>0</v>
      </c>
      <c r="L517" s="27">
        <f t="shared" si="504"/>
        <v>0</v>
      </c>
      <c r="M517" s="27">
        <f t="shared" si="505"/>
        <v>0</v>
      </c>
      <c r="N517" s="27">
        <f t="shared" si="505"/>
        <v>0</v>
      </c>
      <c r="O517" s="27" t="e">
        <f t="shared" si="446"/>
        <v>#DIV/0!</v>
      </c>
    </row>
    <row r="518" spans="1:15" ht="31.5" hidden="1" x14ac:dyDescent="0.25">
      <c r="A518" s="26" t="s">
        <v>301</v>
      </c>
      <c r="B518" s="220">
        <v>903</v>
      </c>
      <c r="C518" s="218" t="s">
        <v>295</v>
      </c>
      <c r="D518" s="218" t="s">
        <v>266</v>
      </c>
      <c r="E518" s="218" t="s">
        <v>436</v>
      </c>
      <c r="F518" s="218" t="s">
        <v>302</v>
      </c>
      <c r="G518" s="27">
        <v>500</v>
      </c>
      <c r="H518" s="27">
        <v>0</v>
      </c>
      <c r="I518" s="27">
        <v>500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 t="e">
        <f t="shared" si="446"/>
        <v>#DIV/0!</v>
      </c>
    </row>
    <row r="519" spans="1:15" ht="54" hidden="1" customHeight="1" x14ac:dyDescent="0.25">
      <c r="A519" s="26" t="s">
        <v>830</v>
      </c>
      <c r="B519" s="220">
        <v>903</v>
      </c>
      <c r="C519" s="218" t="s">
        <v>295</v>
      </c>
      <c r="D519" s="218" t="s">
        <v>266</v>
      </c>
      <c r="E519" s="218" t="s">
        <v>438</v>
      </c>
      <c r="F519" s="218"/>
      <c r="G519" s="27">
        <f t="shared" ref="G519:L519" si="506">G520</f>
        <v>59.4</v>
      </c>
      <c r="H519" s="27">
        <f t="shared" si="506"/>
        <v>0</v>
      </c>
      <c r="I519" s="27">
        <f t="shared" si="506"/>
        <v>59.4</v>
      </c>
      <c r="J519" s="27">
        <f t="shared" si="506"/>
        <v>0</v>
      </c>
      <c r="K519" s="27">
        <f t="shared" si="506"/>
        <v>0</v>
      </c>
      <c r="L519" s="27">
        <f t="shared" si="506"/>
        <v>0</v>
      </c>
      <c r="M519" s="27">
        <f t="shared" ref="M519:N519" si="507">M520</f>
        <v>0</v>
      </c>
      <c r="N519" s="27">
        <f t="shared" si="507"/>
        <v>0</v>
      </c>
      <c r="O519" s="27" t="e">
        <f t="shared" si="446"/>
        <v>#DIV/0!</v>
      </c>
    </row>
    <row r="520" spans="1:15" ht="31.5" hidden="1" x14ac:dyDescent="0.25">
      <c r="A520" s="26" t="s">
        <v>299</v>
      </c>
      <c r="B520" s="220">
        <v>903</v>
      </c>
      <c r="C520" s="218" t="s">
        <v>295</v>
      </c>
      <c r="D520" s="218" t="s">
        <v>266</v>
      </c>
      <c r="E520" s="218" t="s">
        <v>438</v>
      </c>
      <c r="F520" s="218" t="s">
        <v>300</v>
      </c>
      <c r="G520" s="27">
        <f t="shared" ref="G520:L520" si="508">G521+G522</f>
        <v>59.4</v>
      </c>
      <c r="H520" s="27">
        <f t="shared" si="508"/>
        <v>0</v>
      </c>
      <c r="I520" s="27">
        <f t="shared" si="508"/>
        <v>59.4</v>
      </c>
      <c r="J520" s="27">
        <f t="shared" si="508"/>
        <v>0</v>
      </c>
      <c r="K520" s="27">
        <f t="shared" si="508"/>
        <v>0</v>
      </c>
      <c r="L520" s="27">
        <f t="shared" si="508"/>
        <v>0</v>
      </c>
      <c r="M520" s="27">
        <f t="shared" ref="M520:N520" si="509">M521+M522</f>
        <v>0</v>
      </c>
      <c r="N520" s="27">
        <f t="shared" si="509"/>
        <v>0</v>
      </c>
      <c r="O520" s="27" t="e">
        <f t="shared" si="446"/>
        <v>#DIV/0!</v>
      </c>
    </row>
    <row r="521" spans="1:15" ht="31.5" hidden="1" x14ac:dyDescent="0.25">
      <c r="A521" s="26" t="s">
        <v>399</v>
      </c>
      <c r="B521" s="220">
        <v>903</v>
      </c>
      <c r="C521" s="218" t="s">
        <v>295</v>
      </c>
      <c r="D521" s="218" t="s">
        <v>266</v>
      </c>
      <c r="E521" s="218" t="s">
        <v>438</v>
      </c>
      <c r="F521" s="218" t="s">
        <v>400</v>
      </c>
      <c r="G521" s="27">
        <v>59.4</v>
      </c>
      <c r="H521" s="27">
        <v>0</v>
      </c>
      <c r="I521" s="27">
        <f>G521</f>
        <v>59.4</v>
      </c>
      <c r="J521" s="27">
        <v>0</v>
      </c>
      <c r="K521" s="27">
        <v>0</v>
      </c>
      <c r="L521" s="27">
        <v>0</v>
      </c>
      <c r="M521" s="27">
        <f>Q521</f>
        <v>0</v>
      </c>
      <c r="N521" s="27">
        <f>R521</f>
        <v>0</v>
      </c>
      <c r="O521" s="27" t="e">
        <f t="shared" si="446"/>
        <v>#DIV/0!</v>
      </c>
    </row>
    <row r="522" spans="1:15" ht="31.5" hidden="1" x14ac:dyDescent="0.25">
      <c r="A522" s="26" t="s">
        <v>301</v>
      </c>
      <c r="B522" s="220">
        <v>903</v>
      </c>
      <c r="C522" s="218" t="s">
        <v>295</v>
      </c>
      <c r="D522" s="218" t="s">
        <v>266</v>
      </c>
      <c r="E522" s="218" t="s">
        <v>438</v>
      </c>
      <c r="F522" s="218" t="s">
        <v>302</v>
      </c>
      <c r="G522" s="27"/>
      <c r="H522" s="27"/>
      <c r="I522" s="27"/>
      <c r="J522" s="27"/>
      <c r="K522" s="27"/>
      <c r="L522" s="27"/>
      <c r="M522" s="27"/>
      <c r="N522" s="27"/>
      <c r="O522" s="27" t="e">
        <f t="shared" si="446"/>
        <v>#DIV/0!</v>
      </c>
    </row>
    <row r="523" spans="1:15" ht="15.75" hidden="1" x14ac:dyDescent="0.25">
      <c r="A523" s="26" t="s">
        <v>192</v>
      </c>
      <c r="B523" s="220">
        <v>903</v>
      </c>
      <c r="C523" s="218" t="s">
        <v>295</v>
      </c>
      <c r="D523" s="218" t="s">
        <v>266</v>
      </c>
      <c r="E523" s="218" t="s">
        <v>193</v>
      </c>
      <c r="F523" s="218"/>
      <c r="G523" s="27">
        <f t="shared" ref="G523:L525" si="510">G524</f>
        <v>0</v>
      </c>
      <c r="H523" s="27"/>
      <c r="I523" s="27">
        <f t="shared" si="510"/>
        <v>0</v>
      </c>
      <c r="J523" s="27">
        <f t="shared" si="510"/>
        <v>0</v>
      </c>
      <c r="K523" s="27">
        <f t="shared" si="510"/>
        <v>0</v>
      </c>
      <c r="L523" s="27">
        <f t="shared" si="510"/>
        <v>0</v>
      </c>
      <c r="M523" s="27">
        <f t="shared" ref="M523:N525" si="511">M524</f>
        <v>0</v>
      </c>
      <c r="N523" s="27">
        <f t="shared" si="511"/>
        <v>0</v>
      </c>
      <c r="O523" s="27" t="e">
        <f t="shared" si="446"/>
        <v>#DIV/0!</v>
      </c>
    </row>
    <row r="524" spans="1:15" ht="15.75" hidden="1" x14ac:dyDescent="0.25">
      <c r="A524" s="26" t="s">
        <v>252</v>
      </c>
      <c r="B524" s="220">
        <v>903</v>
      </c>
      <c r="C524" s="218" t="s">
        <v>295</v>
      </c>
      <c r="D524" s="218" t="s">
        <v>266</v>
      </c>
      <c r="E524" s="218" t="s">
        <v>253</v>
      </c>
      <c r="F524" s="218"/>
      <c r="G524" s="27">
        <f t="shared" si="510"/>
        <v>0</v>
      </c>
      <c r="H524" s="27"/>
      <c r="I524" s="27">
        <f t="shared" si="510"/>
        <v>0</v>
      </c>
      <c r="J524" s="27">
        <f t="shared" si="510"/>
        <v>0</v>
      </c>
      <c r="K524" s="27">
        <f t="shared" si="510"/>
        <v>0</v>
      </c>
      <c r="L524" s="27">
        <f t="shared" si="510"/>
        <v>0</v>
      </c>
      <c r="M524" s="27">
        <f t="shared" si="511"/>
        <v>0</v>
      </c>
      <c r="N524" s="27">
        <f t="shared" si="511"/>
        <v>0</v>
      </c>
      <c r="O524" s="27" t="e">
        <f t="shared" ref="O524:O587" si="512">N524/M524*100</f>
        <v>#DIV/0!</v>
      </c>
    </row>
    <row r="525" spans="1:15" ht="31.5" hidden="1" x14ac:dyDescent="0.25">
      <c r="A525" s="26" t="s">
        <v>299</v>
      </c>
      <c r="B525" s="220">
        <v>903</v>
      </c>
      <c r="C525" s="218" t="s">
        <v>295</v>
      </c>
      <c r="D525" s="218" t="s">
        <v>266</v>
      </c>
      <c r="E525" s="218" t="s">
        <v>253</v>
      </c>
      <c r="F525" s="218" t="s">
        <v>300</v>
      </c>
      <c r="G525" s="27">
        <f t="shared" si="510"/>
        <v>0</v>
      </c>
      <c r="H525" s="27"/>
      <c r="I525" s="27">
        <f t="shared" si="510"/>
        <v>0</v>
      </c>
      <c r="J525" s="27">
        <f t="shared" si="510"/>
        <v>0</v>
      </c>
      <c r="K525" s="27">
        <f t="shared" si="510"/>
        <v>0</v>
      </c>
      <c r="L525" s="27">
        <f t="shared" si="510"/>
        <v>0</v>
      </c>
      <c r="M525" s="27">
        <f t="shared" si="511"/>
        <v>0</v>
      </c>
      <c r="N525" s="27">
        <f t="shared" si="511"/>
        <v>0</v>
      </c>
      <c r="O525" s="27" t="e">
        <f t="shared" si="512"/>
        <v>#DIV/0!</v>
      </c>
    </row>
    <row r="526" spans="1:15" ht="31.5" hidden="1" x14ac:dyDescent="0.25">
      <c r="A526" s="26" t="s">
        <v>399</v>
      </c>
      <c r="B526" s="220">
        <v>903</v>
      </c>
      <c r="C526" s="218" t="s">
        <v>295</v>
      </c>
      <c r="D526" s="218" t="s">
        <v>266</v>
      </c>
      <c r="E526" s="218" t="s">
        <v>253</v>
      </c>
      <c r="F526" s="218" t="s">
        <v>400</v>
      </c>
      <c r="G526" s="27">
        <v>0</v>
      </c>
      <c r="H526" s="27"/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 t="e">
        <f t="shared" si="512"/>
        <v>#DIV/0!</v>
      </c>
    </row>
    <row r="527" spans="1:15" ht="47.25" x14ac:dyDescent="0.25">
      <c r="A527" s="20" t="s">
        <v>439</v>
      </c>
      <c r="B527" s="217">
        <v>905</v>
      </c>
      <c r="C527" s="218"/>
      <c r="D527" s="218"/>
      <c r="E527" s="218"/>
      <c r="F527" s="218"/>
      <c r="G527" s="22">
        <f t="shared" ref="G527:L527" si="513">G528+G556+G571</f>
        <v>15801.74</v>
      </c>
      <c r="H527" s="22">
        <f t="shared" si="513"/>
        <v>7212.4</v>
      </c>
      <c r="I527" s="22">
        <f t="shared" si="513"/>
        <v>14493.722352941177</v>
      </c>
      <c r="J527" s="22">
        <f t="shared" si="513"/>
        <v>14356.1</v>
      </c>
      <c r="K527" s="22">
        <f t="shared" si="513"/>
        <v>14537</v>
      </c>
      <c r="L527" s="22">
        <f t="shared" si="513"/>
        <v>14636.1</v>
      </c>
      <c r="M527" s="22">
        <f>M528+M556+M571</f>
        <v>17544.999999999996</v>
      </c>
      <c r="N527" s="22">
        <f>N528+N556+N571</f>
        <v>11854.7</v>
      </c>
      <c r="O527" s="22">
        <f t="shared" si="512"/>
        <v>67.567398119122274</v>
      </c>
    </row>
    <row r="528" spans="1:15" ht="15.75" x14ac:dyDescent="0.25">
      <c r="A528" s="24" t="s">
        <v>168</v>
      </c>
      <c r="B528" s="217">
        <v>905</v>
      </c>
      <c r="C528" s="219" t="s">
        <v>169</v>
      </c>
      <c r="D528" s="218"/>
      <c r="E528" s="218"/>
      <c r="F528" s="218"/>
      <c r="G528" s="22">
        <f>G529+G539</f>
        <v>14701.94</v>
      </c>
      <c r="H528" s="22">
        <f t="shared" ref="H528" si="514">H529+H539</f>
        <v>7125.9</v>
      </c>
      <c r="I528" s="22">
        <f t="shared" ref="I528:L528" si="515">I529+I539</f>
        <v>13501.522352941176</v>
      </c>
      <c r="J528" s="22">
        <f t="shared" si="515"/>
        <v>14092.9</v>
      </c>
      <c r="K528" s="22">
        <f t="shared" si="515"/>
        <v>14273.8</v>
      </c>
      <c r="L528" s="22">
        <f t="shared" si="515"/>
        <v>14372.9</v>
      </c>
      <c r="M528" s="22">
        <f>M529+M539</f>
        <v>17281.799999999996</v>
      </c>
      <c r="N528" s="22">
        <f>N529+N539</f>
        <v>11682.400000000001</v>
      </c>
      <c r="O528" s="22">
        <f t="shared" si="512"/>
        <v>67.599439873161387</v>
      </c>
    </row>
    <row r="529" spans="1:15" ht="78.75" x14ac:dyDescent="0.25">
      <c r="A529" s="24" t="s">
        <v>200</v>
      </c>
      <c r="B529" s="217">
        <v>905</v>
      </c>
      <c r="C529" s="219" t="s">
        <v>169</v>
      </c>
      <c r="D529" s="219" t="s">
        <v>201</v>
      </c>
      <c r="E529" s="219"/>
      <c r="F529" s="219"/>
      <c r="G529" s="22">
        <f t="shared" ref="G529:L531" si="516">G530</f>
        <v>11089</v>
      </c>
      <c r="H529" s="22">
        <f t="shared" si="516"/>
        <v>6704.5</v>
      </c>
      <c r="I529" s="22">
        <f t="shared" si="516"/>
        <v>9888.5823529411755</v>
      </c>
      <c r="J529" s="22">
        <f t="shared" si="516"/>
        <v>10969.4</v>
      </c>
      <c r="K529" s="22">
        <f t="shared" si="516"/>
        <v>10969.4</v>
      </c>
      <c r="L529" s="22">
        <f t="shared" si="516"/>
        <v>10969.4</v>
      </c>
      <c r="M529" s="22">
        <f t="shared" ref="M529:N531" si="517">M530</f>
        <v>10426.499999999998</v>
      </c>
      <c r="N529" s="22">
        <f t="shared" si="517"/>
        <v>8333.2000000000007</v>
      </c>
      <c r="O529" s="22">
        <f t="shared" si="512"/>
        <v>79.923272430825321</v>
      </c>
    </row>
    <row r="530" spans="1:15" ht="15.75" x14ac:dyDescent="0.25">
      <c r="A530" s="26" t="s">
        <v>172</v>
      </c>
      <c r="B530" s="220">
        <v>905</v>
      </c>
      <c r="C530" s="218" t="s">
        <v>169</v>
      </c>
      <c r="D530" s="218" t="s">
        <v>201</v>
      </c>
      <c r="E530" s="218" t="s">
        <v>173</v>
      </c>
      <c r="F530" s="218"/>
      <c r="G530" s="27">
        <f>G531</f>
        <v>11089</v>
      </c>
      <c r="H530" s="27">
        <f>H531</f>
        <v>6704.5</v>
      </c>
      <c r="I530" s="27">
        <f t="shared" si="516"/>
        <v>9888.5823529411755</v>
      </c>
      <c r="J530" s="27">
        <f t="shared" si="516"/>
        <v>10969.4</v>
      </c>
      <c r="K530" s="27">
        <f t="shared" si="516"/>
        <v>10969.4</v>
      </c>
      <c r="L530" s="27">
        <f t="shared" si="516"/>
        <v>10969.4</v>
      </c>
      <c r="M530" s="27">
        <f t="shared" si="517"/>
        <v>10426.499999999998</v>
      </c>
      <c r="N530" s="27">
        <f t="shared" si="517"/>
        <v>8333.2000000000007</v>
      </c>
      <c r="O530" s="27">
        <f t="shared" si="512"/>
        <v>79.923272430825321</v>
      </c>
    </row>
    <row r="531" spans="1:15" ht="31.5" x14ac:dyDescent="0.25">
      <c r="A531" s="26" t="s">
        <v>174</v>
      </c>
      <c r="B531" s="220">
        <v>905</v>
      </c>
      <c r="C531" s="218" t="s">
        <v>169</v>
      </c>
      <c r="D531" s="218" t="s">
        <v>201</v>
      </c>
      <c r="E531" s="218" t="s">
        <v>175</v>
      </c>
      <c r="F531" s="218"/>
      <c r="G531" s="27">
        <f t="shared" si="516"/>
        <v>11089</v>
      </c>
      <c r="H531" s="27">
        <f t="shared" si="516"/>
        <v>6704.5</v>
      </c>
      <c r="I531" s="27">
        <f t="shared" si="516"/>
        <v>9888.5823529411755</v>
      </c>
      <c r="J531" s="27">
        <f t="shared" si="516"/>
        <v>10969.4</v>
      </c>
      <c r="K531" s="27">
        <f t="shared" si="516"/>
        <v>10969.4</v>
      </c>
      <c r="L531" s="27">
        <f t="shared" si="516"/>
        <v>10969.4</v>
      </c>
      <c r="M531" s="27">
        <f t="shared" si="517"/>
        <v>10426.499999999998</v>
      </c>
      <c r="N531" s="27">
        <f t="shared" si="517"/>
        <v>8333.2000000000007</v>
      </c>
      <c r="O531" s="27">
        <f t="shared" si="512"/>
        <v>79.923272430825321</v>
      </c>
    </row>
    <row r="532" spans="1:15" ht="47.25" x14ac:dyDescent="0.25">
      <c r="A532" s="26" t="s">
        <v>176</v>
      </c>
      <c r="B532" s="220">
        <v>905</v>
      </c>
      <c r="C532" s="218" t="s">
        <v>169</v>
      </c>
      <c r="D532" s="218" t="s">
        <v>201</v>
      </c>
      <c r="E532" s="218" t="s">
        <v>177</v>
      </c>
      <c r="F532" s="218"/>
      <c r="G532" s="27">
        <f>G533+G535+G537</f>
        <v>11089</v>
      </c>
      <c r="H532" s="27">
        <f>H533+H535+H537</f>
        <v>6704.5</v>
      </c>
      <c r="I532" s="27">
        <f t="shared" ref="I532:L532" si="518">I533+I535+I537</f>
        <v>9888.5823529411755</v>
      </c>
      <c r="J532" s="27">
        <f t="shared" si="518"/>
        <v>10969.4</v>
      </c>
      <c r="K532" s="27">
        <f t="shared" si="518"/>
        <v>10969.4</v>
      </c>
      <c r="L532" s="27">
        <f t="shared" si="518"/>
        <v>10969.4</v>
      </c>
      <c r="M532" s="27">
        <f t="shared" ref="M532:N532" si="519">M533+M535+M537</f>
        <v>10426.499999999998</v>
      </c>
      <c r="N532" s="27">
        <f t="shared" si="519"/>
        <v>8333.2000000000007</v>
      </c>
      <c r="O532" s="27">
        <f t="shared" si="512"/>
        <v>79.923272430825321</v>
      </c>
    </row>
    <row r="533" spans="1:15" ht="94.5" x14ac:dyDescent="0.25">
      <c r="A533" s="26" t="s">
        <v>178</v>
      </c>
      <c r="B533" s="220">
        <v>905</v>
      </c>
      <c r="C533" s="218" t="s">
        <v>169</v>
      </c>
      <c r="D533" s="218" t="s">
        <v>201</v>
      </c>
      <c r="E533" s="218" t="s">
        <v>177</v>
      </c>
      <c r="F533" s="218" t="s">
        <v>179</v>
      </c>
      <c r="G533" s="27">
        <f t="shared" ref="G533:L533" si="520">G534</f>
        <v>10200.700000000001</v>
      </c>
      <c r="H533" s="27">
        <f t="shared" si="520"/>
        <v>6375.2</v>
      </c>
      <c r="I533" s="27">
        <f t="shared" si="520"/>
        <v>9000.2823529411762</v>
      </c>
      <c r="J533" s="27">
        <f t="shared" si="520"/>
        <v>9605.9</v>
      </c>
      <c r="K533" s="27">
        <f t="shared" si="520"/>
        <v>9605.9</v>
      </c>
      <c r="L533" s="27">
        <f t="shared" si="520"/>
        <v>9605.9</v>
      </c>
      <c r="M533" s="27">
        <f t="shared" ref="M533:N533" si="521">M534</f>
        <v>9605.9</v>
      </c>
      <c r="N533" s="27">
        <f t="shared" si="521"/>
        <v>7841.9</v>
      </c>
      <c r="O533" s="27">
        <f t="shared" si="512"/>
        <v>81.6362860325425</v>
      </c>
    </row>
    <row r="534" spans="1:15" ht="31.5" x14ac:dyDescent="0.25">
      <c r="A534" s="26" t="s">
        <v>180</v>
      </c>
      <c r="B534" s="220">
        <v>905</v>
      </c>
      <c r="C534" s="218" t="s">
        <v>169</v>
      </c>
      <c r="D534" s="218" t="s">
        <v>201</v>
      </c>
      <c r="E534" s="218" t="s">
        <v>177</v>
      </c>
      <c r="F534" s="218" t="s">
        <v>181</v>
      </c>
      <c r="G534" s="28">
        <v>10200.700000000001</v>
      </c>
      <c r="H534" s="28">
        <v>6375.2</v>
      </c>
      <c r="I534" s="28">
        <f>H534/8.5*12</f>
        <v>9000.2823529411762</v>
      </c>
      <c r="J534" s="28">
        <v>9605.9</v>
      </c>
      <c r="K534" s="28">
        <f>J534</f>
        <v>9605.9</v>
      </c>
      <c r="L534" s="28">
        <f>K534</f>
        <v>9605.9</v>
      </c>
      <c r="M534" s="28">
        <v>9605.9</v>
      </c>
      <c r="N534" s="28">
        <v>7841.9</v>
      </c>
      <c r="O534" s="27">
        <f t="shared" si="512"/>
        <v>81.6362860325425</v>
      </c>
    </row>
    <row r="535" spans="1:15" ht="31.5" x14ac:dyDescent="0.25">
      <c r="A535" s="26" t="s">
        <v>182</v>
      </c>
      <c r="B535" s="220">
        <v>905</v>
      </c>
      <c r="C535" s="218" t="s">
        <v>169</v>
      </c>
      <c r="D535" s="218" t="s">
        <v>201</v>
      </c>
      <c r="E535" s="218" t="s">
        <v>177</v>
      </c>
      <c r="F535" s="218" t="s">
        <v>183</v>
      </c>
      <c r="G535" s="27">
        <f t="shared" ref="G535:L535" si="522">G536</f>
        <v>811.8</v>
      </c>
      <c r="H535" s="27">
        <f t="shared" si="522"/>
        <v>286.10000000000002</v>
      </c>
      <c r="I535" s="27">
        <f t="shared" si="522"/>
        <v>811.8</v>
      </c>
      <c r="J535" s="27">
        <f t="shared" si="522"/>
        <v>1287</v>
      </c>
      <c r="K535" s="27">
        <f t="shared" si="522"/>
        <v>1287</v>
      </c>
      <c r="L535" s="27">
        <f t="shared" si="522"/>
        <v>1287</v>
      </c>
      <c r="M535" s="27">
        <f t="shared" ref="M535:N535" si="523">M536</f>
        <v>689.3</v>
      </c>
      <c r="N535" s="27">
        <f t="shared" si="523"/>
        <v>360.1</v>
      </c>
      <c r="O535" s="27">
        <f t="shared" si="512"/>
        <v>52.241404323226469</v>
      </c>
    </row>
    <row r="536" spans="1:15" ht="47.25" x14ac:dyDescent="0.25">
      <c r="A536" s="26" t="s">
        <v>184</v>
      </c>
      <c r="B536" s="220">
        <v>905</v>
      </c>
      <c r="C536" s="218" t="s">
        <v>169</v>
      </c>
      <c r="D536" s="218" t="s">
        <v>201</v>
      </c>
      <c r="E536" s="218" t="s">
        <v>177</v>
      </c>
      <c r="F536" s="218" t="s">
        <v>185</v>
      </c>
      <c r="G536" s="28">
        <f>885.8-74</f>
        <v>811.8</v>
      </c>
      <c r="H536" s="28">
        <v>286.10000000000002</v>
      </c>
      <c r="I536" s="28">
        <f t="shared" ref="I536" si="524">885.8-74</f>
        <v>811.8</v>
      </c>
      <c r="J536" s="28">
        <f>1363.5-J538</f>
        <v>1287</v>
      </c>
      <c r="K536" s="28">
        <f>J536</f>
        <v>1287</v>
      </c>
      <c r="L536" s="28">
        <f>K536</f>
        <v>1287</v>
      </c>
      <c r="M536" s="28">
        <f>885.8-74-7.5-20-30-65</f>
        <v>689.3</v>
      </c>
      <c r="N536" s="28">
        <v>360.1</v>
      </c>
      <c r="O536" s="27">
        <f t="shared" si="512"/>
        <v>52.241404323226469</v>
      </c>
    </row>
    <row r="537" spans="1:15" ht="15.75" x14ac:dyDescent="0.25">
      <c r="A537" s="26" t="s">
        <v>186</v>
      </c>
      <c r="B537" s="220">
        <v>905</v>
      </c>
      <c r="C537" s="218" t="s">
        <v>169</v>
      </c>
      <c r="D537" s="218" t="s">
        <v>201</v>
      </c>
      <c r="E537" s="218" t="s">
        <v>177</v>
      </c>
      <c r="F537" s="218" t="s">
        <v>196</v>
      </c>
      <c r="G537" s="27">
        <f t="shared" ref="G537:L537" si="525">G538</f>
        <v>76.5</v>
      </c>
      <c r="H537" s="27">
        <f t="shared" si="525"/>
        <v>43.2</v>
      </c>
      <c r="I537" s="27">
        <f t="shared" si="525"/>
        <v>76.5</v>
      </c>
      <c r="J537" s="27">
        <f t="shared" si="525"/>
        <v>76.5</v>
      </c>
      <c r="K537" s="27">
        <f t="shared" si="525"/>
        <v>76.5</v>
      </c>
      <c r="L537" s="27">
        <f t="shared" si="525"/>
        <v>76.5</v>
      </c>
      <c r="M537" s="27">
        <f t="shared" ref="M537:N537" si="526">M538</f>
        <v>131.30000000000001</v>
      </c>
      <c r="N537" s="27">
        <f t="shared" si="526"/>
        <v>131.19999999999999</v>
      </c>
      <c r="O537" s="27">
        <f t="shared" si="512"/>
        <v>99.923838537699908</v>
      </c>
    </row>
    <row r="538" spans="1:15" ht="15.75" x14ac:dyDescent="0.25">
      <c r="A538" s="26" t="s">
        <v>620</v>
      </c>
      <c r="B538" s="220">
        <v>905</v>
      </c>
      <c r="C538" s="218" t="s">
        <v>169</v>
      </c>
      <c r="D538" s="218" t="s">
        <v>201</v>
      </c>
      <c r="E538" s="218" t="s">
        <v>177</v>
      </c>
      <c r="F538" s="218" t="s">
        <v>189</v>
      </c>
      <c r="G538" s="27">
        <f>2.5+74</f>
        <v>76.5</v>
      </c>
      <c r="H538" s="27">
        <v>43.2</v>
      </c>
      <c r="I538" s="27">
        <f t="shared" ref="I538:L538" si="527">2.5+74</f>
        <v>76.5</v>
      </c>
      <c r="J538" s="27">
        <f t="shared" si="527"/>
        <v>76.5</v>
      </c>
      <c r="K538" s="27">
        <f t="shared" si="527"/>
        <v>76.5</v>
      </c>
      <c r="L538" s="27">
        <f t="shared" si="527"/>
        <v>76.5</v>
      </c>
      <c r="M538" s="27">
        <f>8.8+7.5+20+30+65</f>
        <v>131.30000000000001</v>
      </c>
      <c r="N538" s="27">
        <v>131.19999999999999</v>
      </c>
      <c r="O538" s="27">
        <f t="shared" si="512"/>
        <v>99.923838537699908</v>
      </c>
    </row>
    <row r="539" spans="1:15" ht="15.75" x14ac:dyDescent="0.25">
      <c r="A539" s="24" t="s">
        <v>190</v>
      </c>
      <c r="B539" s="217">
        <v>905</v>
      </c>
      <c r="C539" s="219" t="s">
        <v>169</v>
      </c>
      <c r="D539" s="219" t="s">
        <v>191</v>
      </c>
      <c r="E539" s="219"/>
      <c r="F539" s="219"/>
      <c r="G539" s="22">
        <f t="shared" ref="G539:L539" si="528">G544</f>
        <v>3612.94</v>
      </c>
      <c r="H539" s="22">
        <f t="shared" si="528"/>
        <v>421.4</v>
      </c>
      <c r="I539" s="22">
        <f t="shared" si="528"/>
        <v>3612.94</v>
      </c>
      <c r="J539" s="22">
        <f t="shared" si="528"/>
        <v>3123.5</v>
      </c>
      <c r="K539" s="22">
        <f t="shared" si="528"/>
        <v>3304.4</v>
      </c>
      <c r="L539" s="22">
        <f t="shared" si="528"/>
        <v>3403.5</v>
      </c>
      <c r="M539" s="22">
        <f>M544+M540</f>
        <v>6855.2999999999993</v>
      </c>
      <c r="N539" s="22">
        <f>N544+N540</f>
        <v>3349.2</v>
      </c>
      <c r="O539" s="22">
        <f t="shared" si="512"/>
        <v>48.855629950549215</v>
      </c>
    </row>
    <row r="540" spans="1:15" s="138" customFormat="1" ht="72.75" customHeight="1" x14ac:dyDescent="0.25">
      <c r="A540" s="26" t="s">
        <v>948</v>
      </c>
      <c r="B540" s="220">
        <v>905</v>
      </c>
      <c r="C540" s="218" t="s">
        <v>169</v>
      </c>
      <c r="D540" s="218" t="s">
        <v>191</v>
      </c>
      <c r="E540" s="218" t="s">
        <v>953</v>
      </c>
      <c r="F540" s="218"/>
      <c r="G540" s="27"/>
      <c r="H540" s="27"/>
      <c r="I540" s="27"/>
      <c r="J540" s="27"/>
      <c r="K540" s="27"/>
      <c r="L540" s="27"/>
      <c r="M540" s="27">
        <f t="shared" ref="M540:N542" si="529">M541</f>
        <v>67</v>
      </c>
      <c r="N540" s="27">
        <f t="shared" si="529"/>
        <v>0</v>
      </c>
      <c r="O540" s="27">
        <f t="shared" si="512"/>
        <v>0</v>
      </c>
    </row>
    <row r="541" spans="1:15" s="138" customFormat="1" ht="31.5" x14ac:dyDescent="0.25">
      <c r="A541" s="26" t="s">
        <v>804</v>
      </c>
      <c r="B541" s="220">
        <v>905</v>
      </c>
      <c r="C541" s="218" t="s">
        <v>169</v>
      </c>
      <c r="D541" s="218" t="s">
        <v>191</v>
      </c>
      <c r="E541" s="218" t="s">
        <v>949</v>
      </c>
      <c r="F541" s="218"/>
      <c r="G541" s="27"/>
      <c r="H541" s="27"/>
      <c r="I541" s="27"/>
      <c r="J541" s="27"/>
      <c r="K541" s="27"/>
      <c r="L541" s="27"/>
      <c r="M541" s="27">
        <f t="shared" si="529"/>
        <v>67</v>
      </c>
      <c r="N541" s="27">
        <f t="shared" si="529"/>
        <v>0</v>
      </c>
      <c r="O541" s="27">
        <f t="shared" si="512"/>
        <v>0</v>
      </c>
    </row>
    <row r="542" spans="1:15" s="138" customFormat="1" ht="31.5" x14ac:dyDescent="0.25">
      <c r="A542" s="26" t="s">
        <v>182</v>
      </c>
      <c r="B542" s="220">
        <v>905</v>
      </c>
      <c r="C542" s="218" t="s">
        <v>169</v>
      </c>
      <c r="D542" s="218" t="s">
        <v>191</v>
      </c>
      <c r="E542" s="218" t="s">
        <v>949</v>
      </c>
      <c r="F542" s="218" t="s">
        <v>183</v>
      </c>
      <c r="G542" s="27"/>
      <c r="H542" s="27"/>
      <c r="I542" s="27"/>
      <c r="J542" s="27"/>
      <c r="K542" s="27"/>
      <c r="L542" s="27"/>
      <c r="M542" s="27">
        <f t="shared" si="529"/>
        <v>67</v>
      </c>
      <c r="N542" s="27">
        <f t="shared" si="529"/>
        <v>0</v>
      </c>
      <c r="O542" s="27">
        <f t="shared" si="512"/>
        <v>0</v>
      </c>
    </row>
    <row r="543" spans="1:15" s="138" customFormat="1" ht="47.25" x14ac:dyDescent="0.25">
      <c r="A543" s="26" t="s">
        <v>184</v>
      </c>
      <c r="B543" s="220">
        <v>905</v>
      </c>
      <c r="C543" s="218" t="s">
        <v>169</v>
      </c>
      <c r="D543" s="218" t="s">
        <v>191</v>
      </c>
      <c r="E543" s="218" t="s">
        <v>949</v>
      </c>
      <c r="F543" s="218" t="s">
        <v>185</v>
      </c>
      <c r="G543" s="27"/>
      <c r="H543" s="27"/>
      <c r="I543" s="27"/>
      <c r="J543" s="27"/>
      <c r="K543" s="27"/>
      <c r="L543" s="27"/>
      <c r="M543" s="27">
        <f>200-133</f>
        <v>67</v>
      </c>
      <c r="N543" s="27">
        <v>0</v>
      </c>
      <c r="O543" s="27">
        <f t="shared" si="512"/>
        <v>0</v>
      </c>
    </row>
    <row r="544" spans="1:15" ht="15.75" x14ac:dyDescent="0.25">
      <c r="A544" s="26" t="s">
        <v>172</v>
      </c>
      <c r="B544" s="220">
        <v>905</v>
      </c>
      <c r="C544" s="218" t="s">
        <v>169</v>
      </c>
      <c r="D544" s="218" t="s">
        <v>191</v>
      </c>
      <c r="E544" s="218" t="s">
        <v>173</v>
      </c>
      <c r="F544" s="218"/>
      <c r="G544" s="27">
        <f t="shared" ref="G544:L544" si="530">G549</f>
        <v>3612.94</v>
      </c>
      <c r="H544" s="27">
        <f t="shared" si="530"/>
        <v>421.4</v>
      </c>
      <c r="I544" s="27">
        <f t="shared" si="530"/>
        <v>3612.94</v>
      </c>
      <c r="J544" s="27">
        <f t="shared" si="530"/>
        <v>3123.5</v>
      </c>
      <c r="K544" s="27">
        <f t="shared" si="530"/>
        <v>3304.4</v>
      </c>
      <c r="L544" s="27">
        <f t="shared" si="530"/>
        <v>3403.5</v>
      </c>
      <c r="M544" s="27">
        <f>M549+M545</f>
        <v>6788.2999999999993</v>
      </c>
      <c r="N544" s="27">
        <f>N549+N545</f>
        <v>3349.2</v>
      </c>
      <c r="O544" s="27">
        <f t="shared" si="512"/>
        <v>49.337831268506108</v>
      </c>
    </row>
    <row r="545" spans="1:15" ht="31.5" x14ac:dyDescent="0.25">
      <c r="A545" s="26" t="s">
        <v>236</v>
      </c>
      <c r="B545" s="220">
        <v>905</v>
      </c>
      <c r="C545" s="218" t="s">
        <v>169</v>
      </c>
      <c r="D545" s="218" t="s">
        <v>191</v>
      </c>
      <c r="E545" s="218" t="s">
        <v>237</v>
      </c>
      <c r="F545" s="218"/>
      <c r="G545" s="27"/>
      <c r="H545" s="27"/>
      <c r="I545" s="27"/>
      <c r="J545" s="27"/>
      <c r="K545" s="27"/>
      <c r="L545" s="27"/>
      <c r="M545" s="27">
        <f t="shared" ref="M545:N547" si="531">M546</f>
        <v>670</v>
      </c>
      <c r="N545" s="27">
        <f t="shared" si="531"/>
        <v>0</v>
      </c>
      <c r="O545" s="27">
        <f t="shared" si="512"/>
        <v>0</v>
      </c>
    </row>
    <row r="546" spans="1:15" ht="31.5" x14ac:dyDescent="0.25">
      <c r="A546" s="26" t="s">
        <v>984</v>
      </c>
      <c r="B546" s="220">
        <v>905</v>
      </c>
      <c r="C546" s="218" t="s">
        <v>169</v>
      </c>
      <c r="D546" s="218" t="s">
        <v>191</v>
      </c>
      <c r="E546" s="218" t="s">
        <v>985</v>
      </c>
      <c r="F546" s="218"/>
      <c r="G546" s="27"/>
      <c r="H546" s="27"/>
      <c r="I546" s="27"/>
      <c r="J546" s="27"/>
      <c r="K546" s="27"/>
      <c r="L546" s="27"/>
      <c r="M546" s="27">
        <f t="shared" si="531"/>
        <v>670</v>
      </c>
      <c r="N546" s="27">
        <f t="shared" si="531"/>
        <v>0</v>
      </c>
      <c r="O546" s="27">
        <f t="shared" si="512"/>
        <v>0</v>
      </c>
    </row>
    <row r="547" spans="1:15" ht="31.5" x14ac:dyDescent="0.25">
      <c r="A547" s="26" t="s">
        <v>182</v>
      </c>
      <c r="B547" s="220">
        <v>905</v>
      </c>
      <c r="C547" s="218" t="s">
        <v>169</v>
      </c>
      <c r="D547" s="218" t="s">
        <v>191</v>
      </c>
      <c r="E547" s="218" t="s">
        <v>985</v>
      </c>
      <c r="F547" s="218" t="s">
        <v>183</v>
      </c>
      <c r="G547" s="27"/>
      <c r="H547" s="27"/>
      <c r="I547" s="27"/>
      <c r="J547" s="27"/>
      <c r="K547" s="27"/>
      <c r="L547" s="27"/>
      <c r="M547" s="27">
        <f t="shared" si="531"/>
        <v>670</v>
      </c>
      <c r="N547" s="27">
        <f t="shared" si="531"/>
        <v>0</v>
      </c>
      <c r="O547" s="27">
        <f t="shared" si="512"/>
        <v>0</v>
      </c>
    </row>
    <row r="548" spans="1:15" ht="47.25" x14ac:dyDescent="0.25">
      <c r="A548" s="26" t="s">
        <v>184</v>
      </c>
      <c r="B548" s="220">
        <v>905</v>
      </c>
      <c r="C548" s="218" t="s">
        <v>169</v>
      </c>
      <c r="D548" s="218" t="s">
        <v>191</v>
      </c>
      <c r="E548" s="218" t="s">
        <v>985</v>
      </c>
      <c r="F548" s="218" t="s">
        <v>185</v>
      </c>
      <c r="G548" s="27"/>
      <c r="H548" s="27"/>
      <c r="I548" s="27"/>
      <c r="J548" s="27"/>
      <c r="K548" s="27"/>
      <c r="L548" s="27"/>
      <c r="M548" s="27">
        <v>670</v>
      </c>
      <c r="N548" s="27">
        <v>0</v>
      </c>
      <c r="O548" s="27">
        <f t="shared" si="512"/>
        <v>0</v>
      </c>
    </row>
    <row r="549" spans="1:15" ht="15.75" x14ac:dyDescent="0.25">
      <c r="A549" s="26" t="s">
        <v>192</v>
      </c>
      <c r="B549" s="220">
        <v>905</v>
      </c>
      <c r="C549" s="218" t="s">
        <v>169</v>
      </c>
      <c r="D549" s="218" t="s">
        <v>191</v>
      </c>
      <c r="E549" s="218" t="s">
        <v>193</v>
      </c>
      <c r="F549" s="218"/>
      <c r="G549" s="27">
        <f t="shared" ref="G549:L551" si="532">G550</f>
        <v>3612.94</v>
      </c>
      <c r="H549" s="27">
        <f t="shared" si="532"/>
        <v>421.4</v>
      </c>
      <c r="I549" s="27">
        <f t="shared" si="532"/>
        <v>3612.94</v>
      </c>
      <c r="J549" s="27">
        <f t="shared" si="532"/>
        <v>3123.5</v>
      </c>
      <c r="K549" s="27">
        <f t="shared" si="532"/>
        <v>3304.4</v>
      </c>
      <c r="L549" s="27">
        <f t="shared" si="532"/>
        <v>3403.5</v>
      </c>
      <c r="M549" s="27">
        <f>M550+M553</f>
        <v>6118.2999999999993</v>
      </c>
      <c r="N549" s="27">
        <f>N550+N553</f>
        <v>3349.2</v>
      </c>
      <c r="O549" s="27">
        <f t="shared" si="512"/>
        <v>54.740695944952037</v>
      </c>
    </row>
    <row r="550" spans="1:15" ht="47.25" x14ac:dyDescent="0.25">
      <c r="A550" s="26" t="s">
        <v>440</v>
      </c>
      <c r="B550" s="220">
        <v>905</v>
      </c>
      <c r="C550" s="218" t="s">
        <v>169</v>
      </c>
      <c r="D550" s="218" t="s">
        <v>191</v>
      </c>
      <c r="E550" s="218" t="s">
        <v>441</v>
      </c>
      <c r="F550" s="218"/>
      <c r="G550" s="27">
        <f>G551</f>
        <v>3612.94</v>
      </c>
      <c r="H550" s="27">
        <f>H551</f>
        <v>421.4</v>
      </c>
      <c r="I550" s="27">
        <f t="shared" si="532"/>
        <v>3612.94</v>
      </c>
      <c r="J550" s="27">
        <f t="shared" si="532"/>
        <v>3123.5</v>
      </c>
      <c r="K550" s="27">
        <f t="shared" si="532"/>
        <v>3304.4</v>
      </c>
      <c r="L550" s="27">
        <f t="shared" si="532"/>
        <v>3403.5</v>
      </c>
      <c r="M550" s="27">
        <f t="shared" ref="M550:N551" si="533">M551</f>
        <v>5550.9</v>
      </c>
      <c r="N550" s="27">
        <f t="shared" si="533"/>
        <v>2781.9</v>
      </c>
      <c r="O550" s="27">
        <f t="shared" si="512"/>
        <v>50.116197373398919</v>
      </c>
    </row>
    <row r="551" spans="1:15" ht="31.5" x14ac:dyDescent="0.25">
      <c r="A551" s="26" t="s">
        <v>182</v>
      </c>
      <c r="B551" s="220">
        <v>905</v>
      </c>
      <c r="C551" s="218" t="s">
        <v>169</v>
      </c>
      <c r="D551" s="218" t="s">
        <v>191</v>
      </c>
      <c r="E551" s="218" t="s">
        <v>441</v>
      </c>
      <c r="F551" s="218" t="s">
        <v>183</v>
      </c>
      <c r="G551" s="27">
        <f t="shared" si="532"/>
        <v>3612.94</v>
      </c>
      <c r="H551" s="27">
        <f t="shared" si="532"/>
        <v>421.4</v>
      </c>
      <c r="I551" s="27">
        <f t="shared" si="532"/>
        <v>3612.94</v>
      </c>
      <c r="J551" s="27">
        <f t="shared" si="532"/>
        <v>3123.5</v>
      </c>
      <c r="K551" s="27">
        <f t="shared" si="532"/>
        <v>3304.4</v>
      </c>
      <c r="L551" s="27">
        <f t="shared" si="532"/>
        <v>3403.5</v>
      </c>
      <c r="M551" s="27">
        <f t="shared" si="533"/>
        <v>5550.9</v>
      </c>
      <c r="N551" s="27">
        <f t="shared" si="533"/>
        <v>2781.9</v>
      </c>
      <c r="O551" s="27">
        <f t="shared" si="512"/>
        <v>50.116197373398919</v>
      </c>
    </row>
    <row r="552" spans="1:15" ht="47.25" x14ac:dyDescent="0.25">
      <c r="A552" s="26" t="s">
        <v>184</v>
      </c>
      <c r="B552" s="220">
        <v>905</v>
      </c>
      <c r="C552" s="218" t="s">
        <v>169</v>
      </c>
      <c r="D552" s="218" t="s">
        <v>191</v>
      </c>
      <c r="E552" s="218" t="s">
        <v>441</v>
      </c>
      <c r="F552" s="218" t="s">
        <v>185</v>
      </c>
      <c r="G552" s="27">
        <f>1961.14+1251.8+400</f>
        <v>3612.94</v>
      </c>
      <c r="H552" s="27">
        <v>421.4</v>
      </c>
      <c r="I552" s="27">
        <f t="shared" ref="I552" si="534">1961.14+1251.8+400</f>
        <v>3612.94</v>
      </c>
      <c r="J552" s="27">
        <v>3123.5</v>
      </c>
      <c r="K552" s="27">
        <v>3304.4</v>
      </c>
      <c r="L552" s="27">
        <v>3403.5</v>
      </c>
      <c r="M552" s="27">
        <f>3123.5+1000+1427.4</f>
        <v>5550.9</v>
      </c>
      <c r="N552" s="27">
        <v>2781.9</v>
      </c>
      <c r="O552" s="27">
        <f t="shared" si="512"/>
        <v>50.116197373398919</v>
      </c>
    </row>
    <row r="553" spans="1:15" ht="15.75" x14ac:dyDescent="0.25">
      <c r="A553" s="26" t="s">
        <v>194</v>
      </c>
      <c r="B553" s="220">
        <v>905</v>
      </c>
      <c r="C553" s="218" t="s">
        <v>169</v>
      </c>
      <c r="D553" s="218" t="s">
        <v>191</v>
      </c>
      <c r="E553" s="218" t="s">
        <v>195</v>
      </c>
      <c r="F553" s="218"/>
      <c r="G553" s="27"/>
      <c r="H553" s="27"/>
      <c r="I553" s="27"/>
      <c r="J553" s="27"/>
      <c r="K553" s="27"/>
      <c r="L553" s="27"/>
      <c r="M553" s="27">
        <f>M554</f>
        <v>567.4</v>
      </c>
      <c r="N553" s="27">
        <f>N554</f>
        <v>567.29999999999995</v>
      </c>
      <c r="O553" s="27">
        <f t="shared" si="512"/>
        <v>99.982375749030666</v>
      </c>
    </row>
    <row r="554" spans="1:15" ht="15.75" x14ac:dyDescent="0.25">
      <c r="A554" s="26" t="s">
        <v>186</v>
      </c>
      <c r="B554" s="220">
        <v>905</v>
      </c>
      <c r="C554" s="218" t="s">
        <v>169</v>
      </c>
      <c r="D554" s="218" t="s">
        <v>191</v>
      </c>
      <c r="E554" s="218" t="s">
        <v>195</v>
      </c>
      <c r="F554" s="218" t="s">
        <v>196</v>
      </c>
      <c r="G554" s="27"/>
      <c r="H554" s="27"/>
      <c r="I554" s="27"/>
      <c r="J554" s="27"/>
      <c r="K554" s="27"/>
      <c r="L554" s="27"/>
      <c r="M554" s="27">
        <f>M555</f>
        <v>567.4</v>
      </c>
      <c r="N554" s="27">
        <f>N555</f>
        <v>567.29999999999995</v>
      </c>
      <c r="O554" s="27">
        <f t="shared" si="512"/>
        <v>99.982375749030666</v>
      </c>
    </row>
    <row r="555" spans="1:15" ht="15.75" x14ac:dyDescent="0.25">
      <c r="A555" s="26" t="s">
        <v>197</v>
      </c>
      <c r="B555" s="220">
        <v>905</v>
      </c>
      <c r="C555" s="218" t="s">
        <v>169</v>
      </c>
      <c r="D555" s="218" t="s">
        <v>191</v>
      </c>
      <c r="E555" s="218" t="s">
        <v>195</v>
      </c>
      <c r="F555" s="218" t="s">
        <v>198</v>
      </c>
      <c r="G555" s="27"/>
      <c r="H555" s="27"/>
      <c r="I555" s="27"/>
      <c r="J555" s="27"/>
      <c r="K555" s="27"/>
      <c r="L555" s="27"/>
      <c r="M555" s="27">
        <v>567.4</v>
      </c>
      <c r="N555" s="27">
        <v>567.29999999999995</v>
      </c>
      <c r="O555" s="27">
        <f t="shared" si="512"/>
        <v>99.982375749030666</v>
      </c>
    </row>
    <row r="556" spans="1:15" ht="15.75" x14ac:dyDescent="0.25">
      <c r="A556" s="43" t="s">
        <v>442</v>
      </c>
      <c r="B556" s="217">
        <v>905</v>
      </c>
      <c r="C556" s="219" t="s">
        <v>285</v>
      </c>
      <c r="D556" s="219"/>
      <c r="E556" s="219"/>
      <c r="F556" s="219"/>
      <c r="G556" s="22">
        <f t="shared" ref="G556:L557" si="535">G557</f>
        <v>1099.8</v>
      </c>
      <c r="H556" s="22">
        <f t="shared" si="535"/>
        <v>86.5</v>
      </c>
      <c r="I556" s="22">
        <f t="shared" si="535"/>
        <v>992.2</v>
      </c>
      <c r="J556" s="22">
        <f t="shared" si="535"/>
        <v>263.2</v>
      </c>
      <c r="K556" s="22">
        <f t="shared" si="535"/>
        <v>263.2</v>
      </c>
      <c r="L556" s="22">
        <f t="shared" si="535"/>
        <v>263.2</v>
      </c>
      <c r="M556" s="22">
        <f t="shared" ref="M556:N557" si="536">M557</f>
        <v>263.2</v>
      </c>
      <c r="N556" s="22">
        <f t="shared" si="536"/>
        <v>172.3</v>
      </c>
      <c r="O556" s="22">
        <f t="shared" si="512"/>
        <v>65.463525835866264</v>
      </c>
    </row>
    <row r="557" spans="1:15" ht="15.75" x14ac:dyDescent="0.25">
      <c r="A557" s="43" t="s">
        <v>443</v>
      </c>
      <c r="B557" s="217">
        <v>905</v>
      </c>
      <c r="C557" s="219" t="s">
        <v>285</v>
      </c>
      <c r="D557" s="219" t="s">
        <v>169</v>
      </c>
      <c r="E557" s="219"/>
      <c r="F557" s="219"/>
      <c r="G557" s="22">
        <f>G558</f>
        <v>1099.8</v>
      </c>
      <c r="H557" s="22">
        <f t="shared" si="535"/>
        <v>86.5</v>
      </c>
      <c r="I557" s="22">
        <f t="shared" si="535"/>
        <v>992.2</v>
      </c>
      <c r="J557" s="22">
        <f t="shared" si="535"/>
        <v>263.2</v>
      </c>
      <c r="K557" s="22">
        <f t="shared" si="535"/>
        <v>263.2</v>
      </c>
      <c r="L557" s="22">
        <f t="shared" si="535"/>
        <v>263.2</v>
      </c>
      <c r="M557" s="22">
        <f t="shared" si="536"/>
        <v>263.2</v>
      </c>
      <c r="N557" s="22">
        <f t="shared" si="536"/>
        <v>172.3</v>
      </c>
      <c r="O557" s="22">
        <f t="shared" si="512"/>
        <v>65.463525835866264</v>
      </c>
    </row>
    <row r="558" spans="1:15" ht="15.75" x14ac:dyDescent="0.25">
      <c r="A558" s="31" t="s">
        <v>172</v>
      </c>
      <c r="B558" s="220">
        <v>905</v>
      </c>
      <c r="C558" s="218" t="s">
        <v>285</v>
      </c>
      <c r="D558" s="218" t="s">
        <v>169</v>
      </c>
      <c r="E558" s="218" t="s">
        <v>173</v>
      </c>
      <c r="F558" s="218"/>
      <c r="G558" s="27">
        <f t="shared" ref="G558:L558" si="537">G564+G559</f>
        <v>1099.8</v>
      </c>
      <c r="H558" s="27">
        <f t="shared" si="537"/>
        <v>86.5</v>
      </c>
      <c r="I558" s="27">
        <f t="shared" si="537"/>
        <v>992.2</v>
      </c>
      <c r="J558" s="27">
        <f t="shared" si="537"/>
        <v>263.2</v>
      </c>
      <c r="K558" s="27">
        <f t="shared" si="537"/>
        <v>263.2</v>
      </c>
      <c r="L558" s="27">
        <f t="shared" si="537"/>
        <v>263.2</v>
      </c>
      <c r="M558" s="27">
        <f t="shared" ref="M558:N558" si="538">M564+M559</f>
        <v>263.2</v>
      </c>
      <c r="N558" s="27">
        <f t="shared" si="538"/>
        <v>172.3</v>
      </c>
      <c r="O558" s="27">
        <f t="shared" si="512"/>
        <v>65.463525835866264</v>
      </c>
    </row>
    <row r="559" spans="1:15" ht="31.5" hidden="1" customHeight="1" x14ac:dyDescent="0.25">
      <c r="A559" s="26" t="s">
        <v>236</v>
      </c>
      <c r="B559" s="226">
        <v>905</v>
      </c>
      <c r="C559" s="218" t="s">
        <v>285</v>
      </c>
      <c r="D559" s="218" t="s">
        <v>169</v>
      </c>
      <c r="E559" s="218" t="s">
        <v>237</v>
      </c>
      <c r="F559" s="218"/>
      <c r="G559" s="27">
        <f t="shared" ref="G559:L562" si="539">G560</f>
        <v>0</v>
      </c>
      <c r="H559" s="27">
        <f t="shared" si="539"/>
        <v>0</v>
      </c>
      <c r="I559" s="27">
        <f t="shared" si="539"/>
        <v>0</v>
      </c>
      <c r="J559" s="27">
        <f t="shared" si="539"/>
        <v>0</v>
      </c>
      <c r="K559" s="27">
        <f t="shared" si="539"/>
        <v>0</v>
      </c>
      <c r="L559" s="27">
        <f t="shared" si="539"/>
        <v>0</v>
      </c>
      <c r="M559" s="27">
        <f t="shared" ref="M559:N562" si="540">M560</f>
        <v>0</v>
      </c>
      <c r="N559" s="27">
        <f t="shared" si="540"/>
        <v>0</v>
      </c>
      <c r="O559" s="27" t="e">
        <f t="shared" si="512"/>
        <v>#DIV/0!</v>
      </c>
    </row>
    <row r="560" spans="1:15" ht="47.25" hidden="1" customHeight="1" x14ac:dyDescent="0.25">
      <c r="A560" s="38" t="s">
        <v>444</v>
      </c>
      <c r="B560" s="226">
        <v>905</v>
      </c>
      <c r="C560" s="218" t="s">
        <v>285</v>
      </c>
      <c r="D560" s="218" t="s">
        <v>169</v>
      </c>
      <c r="E560" s="218" t="s">
        <v>445</v>
      </c>
      <c r="F560" s="218"/>
      <c r="G560" s="27">
        <f t="shared" si="539"/>
        <v>0</v>
      </c>
      <c r="H560" s="27">
        <f t="shared" si="539"/>
        <v>0</v>
      </c>
      <c r="I560" s="27">
        <f t="shared" si="539"/>
        <v>0</v>
      </c>
      <c r="J560" s="27">
        <f t="shared" si="539"/>
        <v>0</v>
      </c>
      <c r="K560" s="27">
        <f t="shared" si="539"/>
        <v>0</v>
      </c>
      <c r="L560" s="27">
        <f t="shared" si="539"/>
        <v>0</v>
      </c>
      <c r="M560" s="27">
        <f t="shared" si="540"/>
        <v>0</v>
      </c>
      <c r="N560" s="27">
        <f t="shared" si="540"/>
        <v>0</v>
      </c>
      <c r="O560" s="27" t="e">
        <f t="shared" si="512"/>
        <v>#DIV/0!</v>
      </c>
    </row>
    <row r="561" spans="1:15" ht="31.5" hidden="1" customHeight="1" x14ac:dyDescent="0.25">
      <c r="A561" s="44" t="s">
        <v>446</v>
      </c>
      <c r="B561" s="226">
        <v>905</v>
      </c>
      <c r="C561" s="218" t="s">
        <v>285</v>
      </c>
      <c r="D561" s="218" t="s">
        <v>169</v>
      </c>
      <c r="E561" s="218" t="s">
        <v>447</v>
      </c>
      <c r="F561" s="218"/>
      <c r="G561" s="27">
        <f t="shared" si="539"/>
        <v>0</v>
      </c>
      <c r="H561" s="27">
        <f t="shared" si="539"/>
        <v>0</v>
      </c>
      <c r="I561" s="27">
        <f t="shared" si="539"/>
        <v>0</v>
      </c>
      <c r="J561" s="27">
        <f t="shared" si="539"/>
        <v>0</v>
      </c>
      <c r="K561" s="27">
        <f t="shared" si="539"/>
        <v>0</v>
      </c>
      <c r="L561" s="27">
        <f t="shared" si="539"/>
        <v>0</v>
      </c>
      <c r="M561" s="27">
        <f t="shared" si="540"/>
        <v>0</v>
      </c>
      <c r="N561" s="27">
        <f t="shared" si="540"/>
        <v>0</v>
      </c>
      <c r="O561" s="27" t="e">
        <f t="shared" si="512"/>
        <v>#DIV/0!</v>
      </c>
    </row>
    <row r="562" spans="1:15" ht="31.5" hidden="1" customHeight="1" x14ac:dyDescent="0.25">
      <c r="A562" s="26" t="s">
        <v>182</v>
      </c>
      <c r="B562" s="220">
        <v>905</v>
      </c>
      <c r="C562" s="218" t="s">
        <v>285</v>
      </c>
      <c r="D562" s="218" t="s">
        <v>169</v>
      </c>
      <c r="E562" s="218" t="s">
        <v>447</v>
      </c>
      <c r="F562" s="218" t="s">
        <v>183</v>
      </c>
      <c r="G562" s="27">
        <f t="shared" si="539"/>
        <v>0</v>
      </c>
      <c r="H562" s="27">
        <f t="shared" si="539"/>
        <v>0</v>
      </c>
      <c r="I562" s="27">
        <f t="shared" si="539"/>
        <v>0</v>
      </c>
      <c r="J562" s="27">
        <f t="shared" si="539"/>
        <v>0</v>
      </c>
      <c r="K562" s="27">
        <f t="shared" si="539"/>
        <v>0</v>
      </c>
      <c r="L562" s="27">
        <f t="shared" si="539"/>
        <v>0</v>
      </c>
      <c r="M562" s="27">
        <f t="shared" si="540"/>
        <v>0</v>
      </c>
      <c r="N562" s="27">
        <f t="shared" si="540"/>
        <v>0</v>
      </c>
      <c r="O562" s="27" t="e">
        <f t="shared" si="512"/>
        <v>#DIV/0!</v>
      </c>
    </row>
    <row r="563" spans="1:15" ht="47.25" hidden="1" customHeight="1" x14ac:dyDescent="0.25">
      <c r="A563" s="26" t="s">
        <v>184</v>
      </c>
      <c r="B563" s="220">
        <v>905</v>
      </c>
      <c r="C563" s="218" t="s">
        <v>285</v>
      </c>
      <c r="D563" s="218" t="s">
        <v>169</v>
      </c>
      <c r="E563" s="218" t="s">
        <v>447</v>
      </c>
      <c r="F563" s="218" t="s">
        <v>185</v>
      </c>
      <c r="G563" s="27"/>
      <c r="H563" s="27"/>
      <c r="I563" s="27"/>
      <c r="J563" s="27"/>
      <c r="K563" s="27"/>
      <c r="L563" s="27"/>
      <c r="M563" s="27"/>
      <c r="N563" s="27"/>
      <c r="O563" s="27" t="e">
        <f t="shared" si="512"/>
        <v>#DIV/0!</v>
      </c>
    </row>
    <row r="564" spans="1:15" ht="15.75" x14ac:dyDescent="0.25">
      <c r="A564" s="31" t="s">
        <v>192</v>
      </c>
      <c r="B564" s="220">
        <v>905</v>
      </c>
      <c r="C564" s="218" t="s">
        <v>285</v>
      </c>
      <c r="D564" s="218" t="s">
        <v>169</v>
      </c>
      <c r="E564" s="218" t="s">
        <v>193</v>
      </c>
      <c r="F564" s="218"/>
      <c r="G564" s="27">
        <f>G565+G568</f>
        <v>1099.8</v>
      </c>
      <c r="H564" s="27">
        <f>H565+H568</f>
        <v>86.5</v>
      </c>
      <c r="I564" s="27">
        <f t="shared" ref="I564:L564" si="541">I565+I568</f>
        <v>992.2</v>
      </c>
      <c r="J564" s="27">
        <f t="shared" si="541"/>
        <v>263.2</v>
      </c>
      <c r="K564" s="27">
        <f t="shared" si="541"/>
        <v>263.2</v>
      </c>
      <c r="L564" s="27">
        <f t="shared" si="541"/>
        <v>263.2</v>
      </c>
      <c r="M564" s="27">
        <f t="shared" ref="M564:N564" si="542">M565+M568</f>
        <v>263.2</v>
      </c>
      <c r="N564" s="27">
        <f t="shared" si="542"/>
        <v>172.3</v>
      </c>
      <c r="O564" s="27">
        <f t="shared" si="512"/>
        <v>65.463525835866264</v>
      </c>
    </row>
    <row r="565" spans="1:15" ht="31.5" x14ac:dyDescent="0.25">
      <c r="A565" s="31" t="s">
        <v>450</v>
      </c>
      <c r="B565" s="220">
        <v>905</v>
      </c>
      <c r="C565" s="218" t="s">
        <v>285</v>
      </c>
      <c r="D565" s="218" t="s">
        <v>169</v>
      </c>
      <c r="E565" s="218" t="s">
        <v>451</v>
      </c>
      <c r="F565" s="218"/>
      <c r="G565" s="27">
        <f>G566</f>
        <v>260.8</v>
      </c>
      <c r="H565" s="27">
        <f>H566</f>
        <v>86.5</v>
      </c>
      <c r="I565" s="27">
        <f t="shared" ref="I565:L565" si="543">I566</f>
        <v>260.8</v>
      </c>
      <c r="J565" s="27">
        <f t="shared" si="543"/>
        <v>263.2</v>
      </c>
      <c r="K565" s="27">
        <f t="shared" si="543"/>
        <v>263.2</v>
      </c>
      <c r="L565" s="27">
        <f t="shared" si="543"/>
        <v>263.2</v>
      </c>
      <c r="M565" s="27">
        <f t="shared" ref="M565:N566" si="544">M566</f>
        <v>263.2</v>
      </c>
      <c r="N565" s="27">
        <f t="shared" si="544"/>
        <v>172.3</v>
      </c>
      <c r="O565" s="27">
        <f t="shared" si="512"/>
        <v>65.463525835866264</v>
      </c>
    </row>
    <row r="566" spans="1:15" ht="31.5" x14ac:dyDescent="0.25">
      <c r="A566" s="26" t="s">
        <v>182</v>
      </c>
      <c r="B566" s="220">
        <v>905</v>
      </c>
      <c r="C566" s="218" t="s">
        <v>285</v>
      </c>
      <c r="D566" s="218" t="s">
        <v>169</v>
      </c>
      <c r="E566" s="218" t="s">
        <v>451</v>
      </c>
      <c r="F566" s="218" t="s">
        <v>183</v>
      </c>
      <c r="G566" s="27">
        <f t="shared" ref="G566:L566" si="545">G567</f>
        <v>260.8</v>
      </c>
      <c r="H566" s="27">
        <f t="shared" si="545"/>
        <v>86.5</v>
      </c>
      <c r="I566" s="27">
        <f t="shared" si="545"/>
        <v>260.8</v>
      </c>
      <c r="J566" s="27">
        <f t="shared" si="545"/>
        <v>263.2</v>
      </c>
      <c r="K566" s="27">
        <f t="shared" si="545"/>
        <v>263.2</v>
      </c>
      <c r="L566" s="27">
        <f t="shared" si="545"/>
        <v>263.2</v>
      </c>
      <c r="M566" s="27">
        <f t="shared" si="544"/>
        <v>263.2</v>
      </c>
      <c r="N566" s="27">
        <f t="shared" si="544"/>
        <v>172.3</v>
      </c>
      <c r="O566" s="27">
        <f t="shared" si="512"/>
        <v>65.463525835866264</v>
      </c>
    </row>
    <row r="567" spans="1:15" ht="47.25" x14ac:dyDescent="0.25">
      <c r="A567" s="26" t="s">
        <v>184</v>
      </c>
      <c r="B567" s="220">
        <v>905</v>
      </c>
      <c r="C567" s="218" t="s">
        <v>285</v>
      </c>
      <c r="D567" s="218" t="s">
        <v>169</v>
      </c>
      <c r="E567" s="218" t="s">
        <v>451</v>
      </c>
      <c r="F567" s="218" t="s">
        <v>185</v>
      </c>
      <c r="G567" s="27">
        <v>260.8</v>
      </c>
      <c r="H567" s="27">
        <v>86.5</v>
      </c>
      <c r="I567" s="27">
        <v>260.8</v>
      </c>
      <c r="J567" s="27">
        <v>263.2</v>
      </c>
      <c r="K567" s="27">
        <v>263.2</v>
      </c>
      <c r="L567" s="27">
        <v>263.2</v>
      </c>
      <c r="M567" s="27">
        <v>263.2</v>
      </c>
      <c r="N567" s="27">
        <v>172.3</v>
      </c>
      <c r="O567" s="27">
        <f t="shared" si="512"/>
        <v>65.463525835866264</v>
      </c>
    </row>
    <row r="568" spans="1:15" ht="15.75" hidden="1" x14ac:dyDescent="0.25">
      <c r="A568" s="31" t="s">
        <v>448</v>
      </c>
      <c r="B568" s="220">
        <v>905</v>
      </c>
      <c r="C568" s="218" t="s">
        <v>285</v>
      </c>
      <c r="D568" s="218" t="s">
        <v>169</v>
      </c>
      <c r="E568" s="218" t="s">
        <v>449</v>
      </c>
      <c r="F568" s="218"/>
      <c r="G568" s="27">
        <f>G569</f>
        <v>839</v>
      </c>
      <c r="H568" s="27">
        <f>H569</f>
        <v>0</v>
      </c>
      <c r="I568" s="27">
        <f t="shared" ref="I568:L569" si="546">I569</f>
        <v>731.4</v>
      </c>
      <c r="J568" s="27">
        <f t="shared" si="546"/>
        <v>0</v>
      </c>
      <c r="K568" s="27">
        <f t="shared" si="546"/>
        <v>0</v>
      </c>
      <c r="L568" s="27">
        <f t="shared" si="546"/>
        <v>0</v>
      </c>
      <c r="M568" s="27">
        <f t="shared" ref="M568:N569" si="547">M569</f>
        <v>0</v>
      </c>
      <c r="N568" s="27">
        <f t="shared" si="547"/>
        <v>0</v>
      </c>
      <c r="O568" s="27" t="e">
        <f t="shared" si="512"/>
        <v>#DIV/0!</v>
      </c>
    </row>
    <row r="569" spans="1:15" ht="31.5" hidden="1" x14ac:dyDescent="0.25">
      <c r="A569" s="26" t="s">
        <v>182</v>
      </c>
      <c r="B569" s="220">
        <v>905</v>
      </c>
      <c r="C569" s="218" t="s">
        <v>285</v>
      </c>
      <c r="D569" s="218" t="s">
        <v>169</v>
      </c>
      <c r="E569" s="218" t="s">
        <v>449</v>
      </c>
      <c r="F569" s="218" t="s">
        <v>183</v>
      </c>
      <c r="G569" s="27">
        <f>G570</f>
        <v>839</v>
      </c>
      <c r="H569" s="27">
        <f>H570</f>
        <v>0</v>
      </c>
      <c r="I569" s="27">
        <f t="shared" si="546"/>
        <v>731.4</v>
      </c>
      <c r="J569" s="27">
        <f t="shared" si="546"/>
        <v>0</v>
      </c>
      <c r="K569" s="27">
        <f t="shared" si="546"/>
        <v>0</v>
      </c>
      <c r="L569" s="27">
        <f t="shared" si="546"/>
        <v>0</v>
      </c>
      <c r="M569" s="27">
        <f t="shared" si="547"/>
        <v>0</v>
      </c>
      <c r="N569" s="27">
        <f t="shared" si="547"/>
        <v>0</v>
      </c>
      <c r="O569" s="27" t="e">
        <f t="shared" si="512"/>
        <v>#DIV/0!</v>
      </c>
    </row>
    <row r="570" spans="1:15" ht="47.25" hidden="1" x14ac:dyDescent="0.25">
      <c r="A570" s="26" t="s">
        <v>184</v>
      </c>
      <c r="B570" s="220">
        <v>905</v>
      </c>
      <c r="C570" s="218" t="s">
        <v>285</v>
      </c>
      <c r="D570" s="218" t="s">
        <v>169</v>
      </c>
      <c r="E570" s="218" t="s">
        <v>449</v>
      </c>
      <c r="F570" s="218" t="s">
        <v>185</v>
      </c>
      <c r="G570" s="27">
        <v>839</v>
      </c>
      <c r="H570" s="27">
        <v>0</v>
      </c>
      <c r="I570" s="27">
        <v>731.4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 t="e">
        <f t="shared" si="512"/>
        <v>#DIV/0!</v>
      </c>
    </row>
    <row r="571" spans="1:15" ht="15.75" hidden="1" customHeight="1" x14ac:dyDescent="0.25">
      <c r="A571" s="45" t="s">
        <v>294</v>
      </c>
      <c r="B571" s="217">
        <v>905</v>
      </c>
      <c r="C571" s="219" t="s">
        <v>295</v>
      </c>
      <c r="D571" s="219"/>
      <c r="E571" s="219"/>
      <c r="F571" s="219"/>
      <c r="G571" s="22">
        <f t="shared" ref="G571:L575" si="548">G572</f>
        <v>0</v>
      </c>
      <c r="H571" s="22"/>
      <c r="I571" s="22">
        <f t="shared" si="548"/>
        <v>0</v>
      </c>
      <c r="J571" s="22">
        <f t="shared" si="548"/>
        <v>0</v>
      </c>
      <c r="K571" s="22">
        <f t="shared" si="548"/>
        <v>0</v>
      </c>
      <c r="L571" s="22">
        <f t="shared" si="548"/>
        <v>0</v>
      </c>
      <c r="M571" s="22">
        <f t="shared" ref="M571:N575" si="549">M572</f>
        <v>0</v>
      </c>
      <c r="N571" s="22">
        <f t="shared" si="549"/>
        <v>0</v>
      </c>
      <c r="O571" s="27" t="e">
        <f t="shared" si="512"/>
        <v>#DIV/0!</v>
      </c>
    </row>
    <row r="572" spans="1:15" ht="15.75" hidden="1" customHeight="1" x14ac:dyDescent="0.25">
      <c r="A572" s="24" t="s">
        <v>452</v>
      </c>
      <c r="B572" s="217">
        <v>905</v>
      </c>
      <c r="C572" s="219" t="s">
        <v>295</v>
      </c>
      <c r="D572" s="219" t="s">
        <v>201</v>
      </c>
      <c r="E572" s="219"/>
      <c r="F572" s="219"/>
      <c r="G572" s="22">
        <f t="shared" si="548"/>
        <v>0</v>
      </c>
      <c r="H572" s="22"/>
      <c r="I572" s="22">
        <f t="shared" si="548"/>
        <v>0</v>
      </c>
      <c r="J572" s="22">
        <f t="shared" si="548"/>
        <v>0</v>
      </c>
      <c r="K572" s="22">
        <f t="shared" si="548"/>
        <v>0</v>
      </c>
      <c r="L572" s="22">
        <f t="shared" si="548"/>
        <v>0</v>
      </c>
      <c r="M572" s="22">
        <f t="shared" si="549"/>
        <v>0</v>
      </c>
      <c r="N572" s="22">
        <f t="shared" si="549"/>
        <v>0</v>
      </c>
      <c r="O572" s="27" t="e">
        <f t="shared" si="512"/>
        <v>#DIV/0!</v>
      </c>
    </row>
    <row r="573" spans="1:15" ht="31.5" hidden="1" customHeight="1" x14ac:dyDescent="0.25">
      <c r="A573" s="26" t="s">
        <v>236</v>
      </c>
      <c r="B573" s="220">
        <v>905</v>
      </c>
      <c r="C573" s="218" t="s">
        <v>295</v>
      </c>
      <c r="D573" s="218" t="s">
        <v>201</v>
      </c>
      <c r="E573" s="218" t="s">
        <v>237</v>
      </c>
      <c r="F573" s="218"/>
      <c r="G573" s="27">
        <f t="shared" si="548"/>
        <v>0</v>
      </c>
      <c r="H573" s="27"/>
      <c r="I573" s="27">
        <f t="shared" si="548"/>
        <v>0</v>
      </c>
      <c r="J573" s="27">
        <f t="shared" si="548"/>
        <v>0</v>
      </c>
      <c r="K573" s="27">
        <f t="shared" si="548"/>
        <v>0</v>
      </c>
      <c r="L573" s="27">
        <f t="shared" si="548"/>
        <v>0</v>
      </c>
      <c r="M573" s="27">
        <f t="shared" si="549"/>
        <v>0</v>
      </c>
      <c r="N573" s="27">
        <f t="shared" si="549"/>
        <v>0</v>
      </c>
      <c r="O573" s="27" t="e">
        <f t="shared" si="512"/>
        <v>#DIV/0!</v>
      </c>
    </row>
    <row r="574" spans="1:15" ht="64.5" hidden="1" customHeight="1" x14ac:dyDescent="0.25">
      <c r="A574" s="33" t="s">
        <v>950</v>
      </c>
      <c r="B574" s="220">
        <v>905</v>
      </c>
      <c r="C574" s="218" t="s">
        <v>295</v>
      </c>
      <c r="D574" s="218" t="s">
        <v>201</v>
      </c>
      <c r="E574" s="218" t="s">
        <v>951</v>
      </c>
      <c r="F574" s="218"/>
      <c r="G574" s="27">
        <f t="shared" si="548"/>
        <v>0</v>
      </c>
      <c r="H574" s="27"/>
      <c r="I574" s="27">
        <f t="shared" si="548"/>
        <v>0</v>
      </c>
      <c r="J574" s="27">
        <f t="shared" si="548"/>
        <v>0</v>
      </c>
      <c r="K574" s="27">
        <f t="shared" si="548"/>
        <v>0</v>
      </c>
      <c r="L574" s="27">
        <f t="shared" si="548"/>
        <v>0</v>
      </c>
      <c r="M574" s="27">
        <f t="shared" si="549"/>
        <v>0</v>
      </c>
      <c r="N574" s="27">
        <f t="shared" si="549"/>
        <v>0</v>
      </c>
      <c r="O574" s="27" t="e">
        <f t="shared" si="512"/>
        <v>#DIV/0!</v>
      </c>
    </row>
    <row r="575" spans="1:15" ht="31.5" hidden="1" customHeight="1" x14ac:dyDescent="0.25">
      <c r="A575" s="26" t="s">
        <v>182</v>
      </c>
      <c r="B575" s="220">
        <v>905</v>
      </c>
      <c r="C575" s="218" t="s">
        <v>295</v>
      </c>
      <c r="D575" s="218" t="s">
        <v>201</v>
      </c>
      <c r="E575" s="218" t="s">
        <v>951</v>
      </c>
      <c r="F575" s="218" t="s">
        <v>183</v>
      </c>
      <c r="G575" s="27">
        <f t="shared" si="548"/>
        <v>0</v>
      </c>
      <c r="H575" s="27"/>
      <c r="I575" s="27">
        <f t="shared" si="548"/>
        <v>0</v>
      </c>
      <c r="J575" s="27">
        <f t="shared" si="548"/>
        <v>0</v>
      </c>
      <c r="K575" s="27">
        <f t="shared" si="548"/>
        <v>0</v>
      </c>
      <c r="L575" s="27">
        <f t="shared" si="548"/>
        <v>0</v>
      </c>
      <c r="M575" s="27">
        <f t="shared" si="549"/>
        <v>0</v>
      </c>
      <c r="N575" s="27">
        <f t="shared" si="549"/>
        <v>0</v>
      </c>
      <c r="O575" s="27" t="e">
        <f t="shared" si="512"/>
        <v>#DIV/0!</v>
      </c>
    </row>
    <row r="576" spans="1:15" ht="47.25" hidden="1" customHeight="1" x14ac:dyDescent="0.25">
      <c r="A576" s="26" t="s">
        <v>184</v>
      </c>
      <c r="B576" s="220">
        <v>905</v>
      </c>
      <c r="C576" s="218" t="s">
        <v>295</v>
      </c>
      <c r="D576" s="218" t="s">
        <v>201</v>
      </c>
      <c r="E576" s="218" t="s">
        <v>951</v>
      </c>
      <c r="F576" s="218" t="s">
        <v>185</v>
      </c>
      <c r="G576" s="27">
        <f>1330-1330</f>
        <v>0</v>
      </c>
      <c r="H576" s="27"/>
      <c r="I576" s="27">
        <f t="shared" ref="I576:L576" si="550">1330-1330</f>
        <v>0</v>
      </c>
      <c r="J576" s="27">
        <f t="shared" si="550"/>
        <v>0</v>
      </c>
      <c r="K576" s="27">
        <f t="shared" si="550"/>
        <v>0</v>
      </c>
      <c r="L576" s="27">
        <f t="shared" si="550"/>
        <v>0</v>
      </c>
      <c r="M576" s="27">
        <f>378.5-378.5</f>
        <v>0</v>
      </c>
      <c r="N576" s="27">
        <f>378.5-378.5</f>
        <v>0</v>
      </c>
      <c r="O576" s="27" t="e">
        <f t="shared" si="512"/>
        <v>#DIV/0!</v>
      </c>
    </row>
    <row r="577" spans="1:15" ht="31.5" x14ac:dyDescent="0.25">
      <c r="A577" s="20" t="s">
        <v>455</v>
      </c>
      <c r="B577" s="217">
        <v>906</v>
      </c>
      <c r="C577" s="219"/>
      <c r="D577" s="219"/>
      <c r="E577" s="219"/>
      <c r="F577" s="219"/>
      <c r="G577" s="22">
        <f t="shared" ref="G577:M577" si="551">G596+G578</f>
        <v>261521.80000000002</v>
      </c>
      <c r="H577" s="22">
        <f t="shared" si="551"/>
        <v>209815.18000000002</v>
      </c>
      <c r="I577" s="22">
        <f t="shared" si="551"/>
        <v>262473.3666666667</v>
      </c>
      <c r="J577" s="22">
        <f t="shared" si="551"/>
        <v>311297.3</v>
      </c>
      <c r="K577" s="22">
        <f t="shared" si="551"/>
        <v>303897.8</v>
      </c>
      <c r="L577" s="22">
        <f t="shared" si="551"/>
        <v>297349</v>
      </c>
      <c r="M577" s="22">
        <f t="shared" si="551"/>
        <v>280779.69999999995</v>
      </c>
      <c r="N577" s="22">
        <f t="shared" ref="N577" si="552">N596+N578</f>
        <v>227000.40000000002</v>
      </c>
      <c r="O577" s="22">
        <f t="shared" si="512"/>
        <v>80.8464429586612</v>
      </c>
    </row>
    <row r="578" spans="1:15" ht="15.75" x14ac:dyDescent="0.25">
      <c r="A578" s="24" t="s">
        <v>168</v>
      </c>
      <c r="B578" s="217">
        <v>906</v>
      </c>
      <c r="C578" s="219" t="s">
        <v>169</v>
      </c>
      <c r="D578" s="219"/>
      <c r="E578" s="219"/>
      <c r="F578" s="219"/>
      <c r="G578" s="22">
        <f>G579</f>
        <v>5</v>
      </c>
      <c r="H578" s="22">
        <f t="shared" ref="H578:L578" si="553">H579</f>
        <v>0</v>
      </c>
      <c r="I578" s="22">
        <f t="shared" si="553"/>
        <v>0</v>
      </c>
      <c r="J578" s="22">
        <f t="shared" si="553"/>
        <v>60</v>
      </c>
      <c r="K578" s="22">
        <f t="shared" si="553"/>
        <v>60</v>
      </c>
      <c r="L578" s="22">
        <f t="shared" si="553"/>
        <v>60</v>
      </c>
      <c r="M578" s="22">
        <f t="shared" ref="M578:N590" si="554">M579</f>
        <v>1698.3</v>
      </c>
      <c r="N578" s="22">
        <f t="shared" si="554"/>
        <v>1368</v>
      </c>
      <c r="O578" s="22">
        <f t="shared" si="512"/>
        <v>80.551139374668793</v>
      </c>
    </row>
    <row r="579" spans="1:15" ht="15.75" x14ac:dyDescent="0.25">
      <c r="A579" s="36" t="s">
        <v>190</v>
      </c>
      <c r="B579" s="217">
        <v>906</v>
      </c>
      <c r="C579" s="219" t="s">
        <v>169</v>
      </c>
      <c r="D579" s="219" t="s">
        <v>191</v>
      </c>
      <c r="E579" s="219"/>
      <c r="F579" s="219"/>
      <c r="G579" s="22">
        <f>G587+G580</f>
        <v>5</v>
      </c>
      <c r="H579" s="22">
        <f t="shared" ref="H579:L579" si="555">H587+H580</f>
        <v>0</v>
      </c>
      <c r="I579" s="22">
        <f t="shared" si="555"/>
        <v>0</v>
      </c>
      <c r="J579" s="22">
        <f t="shared" si="555"/>
        <v>60</v>
      </c>
      <c r="K579" s="22">
        <f t="shared" si="555"/>
        <v>60</v>
      </c>
      <c r="L579" s="22">
        <f t="shared" si="555"/>
        <v>60</v>
      </c>
      <c r="M579" s="22">
        <f>M587+M580+M592</f>
        <v>1698.3</v>
      </c>
      <c r="N579" s="22">
        <f>N587+N580+N592</f>
        <v>1368</v>
      </c>
      <c r="O579" s="22">
        <f t="shared" si="512"/>
        <v>80.551139374668793</v>
      </c>
    </row>
    <row r="580" spans="1:15" ht="47.25" x14ac:dyDescent="0.25">
      <c r="A580" s="26" t="s">
        <v>385</v>
      </c>
      <c r="B580" s="220">
        <v>906</v>
      </c>
      <c r="C580" s="218" t="s">
        <v>169</v>
      </c>
      <c r="D580" s="218" t="s">
        <v>191</v>
      </c>
      <c r="E580" s="218" t="s">
        <v>386</v>
      </c>
      <c r="F580" s="218"/>
      <c r="G580" s="27">
        <f>G581+G584</f>
        <v>0</v>
      </c>
      <c r="H580" s="27">
        <f t="shared" ref="H580:M580" si="556">H581+H584</f>
        <v>0</v>
      </c>
      <c r="I580" s="27">
        <f t="shared" si="556"/>
        <v>0</v>
      </c>
      <c r="J580" s="27">
        <f t="shared" si="556"/>
        <v>60</v>
      </c>
      <c r="K580" s="27">
        <f t="shared" si="556"/>
        <v>60</v>
      </c>
      <c r="L580" s="27">
        <f t="shared" si="556"/>
        <v>60</v>
      </c>
      <c r="M580" s="27">
        <f t="shared" si="556"/>
        <v>60</v>
      </c>
      <c r="N580" s="27">
        <f t="shared" ref="N580" si="557">N581+N584</f>
        <v>0</v>
      </c>
      <c r="O580" s="27">
        <f t="shared" si="512"/>
        <v>0</v>
      </c>
    </row>
    <row r="581" spans="1:15" ht="47.25" x14ac:dyDescent="0.25">
      <c r="A581" s="123" t="s">
        <v>919</v>
      </c>
      <c r="B581" s="220">
        <v>906</v>
      </c>
      <c r="C581" s="218" t="s">
        <v>169</v>
      </c>
      <c r="D581" s="218" t="s">
        <v>191</v>
      </c>
      <c r="E581" s="218" t="s">
        <v>388</v>
      </c>
      <c r="F581" s="218"/>
      <c r="G581" s="27">
        <f>G582</f>
        <v>0</v>
      </c>
      <c r="H581" s="27">
        <f t="shared" ref="H581:H582" si="558">H582</f>
        <v>0</v>
      </c>
      <c r="I581" s="27">
        <f t="shared" ref="I581:I582" si="559">I582</f>
        <v>0</v>
      </c>
      <c r="J581" s="27">
        <f t="shared" ref="J581:J582" si="560">J582</f>
        <v>50</v>
      </c>
      <c r="K581" s="27">
        <f t="shared" ref="K581:K582" si="561">K582</f>
        <v>50</v>
      </c>
      <c r="L581" s="27">
        <f t="shared" ref="L581:L582" si="562">L582</f>
        <v>50</v>
      </c>
      <c r="M581" s="27">
        <f t="shared" ref="M581:N582" si="563">M582</f>
        <v>50</v>
      </c>
      <c r="N581" s="27">
        <f t="shared" si="563"/>
        <v>0</v>
      </c>
      <c r="O581" s="27">
        <f t="shared" si="512"/>
        <v>0</v>
      </c>
    </row>
    <row r="582" spans="1:15" ht="31.5" x14ac:dyDescent="0.25">
      <c r="A582" s="26" t="s">
        <v>182</v>
      </c>
      <c r="B582" s="220">
        <v>906</v>
      </c>
      <c r="C582" s="218" t="s">
        <v>169</v>
      </c>
      <c r="D582" s="218" t="s">
        <v>191</v>
      </c>
      <c r="E582" s="218" t="s">
        <v>388</v>
      </c>
      <c r="F582" s="218" t="s">
        <v>183</v>
      </c>
      <c r="G582" s="27">
        <f>G583</f>
        <v>0</v>
      </c>
      <c r="H582" s="27">
        <f t="shared" si="558"/>
        <v>0</v>
      </c>
      <c r="I582" s="27">
        <f t="shared" si="559"/>
        <v>0</v>
      </c>
      <c r="J582" s="27">
        <f t="shared" si="560"/>
        <v>50</v>
      </c>
      <c r="K582" s="27">
        <f t="shared" si="561"/>
        <v>50</v>
      </c>
      <c r="L582" s="27">
        <f t="shared" si="562"/>
        <v>50</v>
      </c>
      <c r="M582" s="27">
        <f t="shared" si="563"/>
        <v>50</v>
      </c>
      <c r="N582" s="27">
        <f t="shared" si="563"/>
        <v>0</v>
      </c>
      <c r="O582" s="27">
        <f t="shared" si="512"/>
        <v>0</v>
      </c>
    </row>
    <row r="583" spans="1:15" ht="47.25" x14ac:dyDescent="0.25">
      <c r="A583" s="26" t="s">
        <v>184</v>
      </c>
      <c r="B583" s="220">
        <v>906</v>
      </c>
      <c r="C583" s="218" t="s">
        <v>169</v>
      </c>
      <c r="D583" s="218" t="s">
        <v>191</v>
      </c>
      <c r="E583" s="218" t="s">
        <v>388</v>
      </c>
      <c r="F583" s="218" t="s">
        <v>185</v>
      </c>
      <c r="G583" s="27">
        <v>0</v>
      </c>
      <c r="H583" s="27">
        <v>0</v>
      </c>
      <c r="I583" s="27">
        <v>0</v>
      </c>
      <c r="J583" s="27">
        <v>50</v>
      </c>
      <c r="K583" s="27">
        <v>50</v>
      </c>
      <c r="L583" s="27">
        <v>50</v>
      </c>
      <c r="M583" s="27">
        <v>50</v>
      </c>
      <c r="N583" s="27">
        <v>0</v>
      </c>
      <c r="O583" s="27">
        <f t="shared" si="512"/>
        <v>0</v>
      </c>
    </row>
    <row r="584" spans="1:15" ht="31.5" x14ac:dyDescent="0.25">
      <c r="A584" s="33" t="s">
        <v>924</v>
      </c>
      <c r="B584" s="220">
        <v>906</v>
      </c>
      <c r="C584" s="218" t="s">
        <v>169</v>
      </c>
      <c r="D584" s="218" t="s">
        <v>191</v>
      </c>
      <c r="E584" s="218" t="s">
        <v>923</v>
      </c>
      <c r="F584" s="218"/>
      <c r="G584" s="27">
        <f>G585</f>
        <v>0</v>
      </c>
      <c r="H584" s="27">
        <f>H585</f>
        <v>0</v>
      </c>
      <c r="I584" s="27">
        <f t="shared" ref="I584:N585" si="564">I585</f>
        <v>0</v>
      </c>
      <c r="J584" s="27">
        <f t="shared" si="564"/>
        <v>10</v>
      </c>
      <c r="K584" s="27">
        <f t="shared" si="564"/>
        <v>10</v>
      </c>
      <c r="L584" s="27">
        <f t="shared" si="564"/>
        <v>10</v>
      </c>
      <c r="M584" s="27">
        <f t="shared" si="564"/>
        <v>10</v>
      </c>
      <c r="N584" s="27">
        <f t="shared" si="564"/>
        <v>0</v>
      </c>
      <c r="O584" s="27">
        <f t="shared" si="512"/>
        <v>0</v>
      </c>
    </row>
    <row r="585" spans="1:15" ht="31.5" x14ac:dyDescent="0.25">
      <c r="A585" s="26" t="s">
        <v>182</v>
      </c>
      <c r="B585" s="220">
        <v>906</v>
      </c>
      <c r="C585" s="218" t="s">
        <v>169</v>
      </c>
      <c r="D585" s="218" t="s">
        <v>191</v>
      </c>
      <c r="E585" s="218" t="s">
        <v>923</v>
      </c>
      <c r="F585" s="218" t="s">
        <v>183</v>
      </c>
      <c r="G585" s="27">
        <f>G586</f>
        <v>0</v>
      </c>
      <c r="H585" s="27">
        <f>H586</f>
        <v>0</v>
      </c>
      <c r="I585" s="27">
        <f t="shared" si="564"/>
        <v>0</v>
      </c>
      <c r="J585" s="27">
        <f t="shared" si="564"/>
        <v>10</v>
      </c>
      <c r="K585" s="27">
        <f t="shared" si="564"/>
        <v>10</v>
      </c>
      <c r="L585" s="27">
        <f t="shared" si="564"/>
        <v>10</v>
      </c>
      <c r="M585" s="27">
        <f t="shared" si="564"/>
        <v>10</v>
      </c>
      <c r="N585" s="27">
        <f t="shared" si="564"/>
        <v>0</v>
      </c>
      <c r="O585" s="27">
        <f t="shared" si="512"/>
        <v>0</v>
      </c>
    </row>
    <row r="586" spans="1:15" ht="47.25" x14ac:dyDescent="0.25">
      <c r="A586" s="26" t="s">
        <v>184</v>
      </c>
      <c r="B586" s="220">
        <v>906</v>
      </c>
      <c r="C586" s="218" t="s">
        <v>169</v>
      </c>
      <c r="D586" s="218" t="s">
        <v>191</v>
      </c>
      <c r="E586" s="218" t="s">
        <v>923</v>
      </c>
      <c r="F586" s="218" t="s">
        <v>185</v>
      </c>
      <c r="G586" s="27">
        <v>0</v>
      </c>
      <c r="H586" s="27">
        <v>0</v>
      </c>
      <c r="I586" s="27">
        <v>0</v>
      </c>
      <c r="J586" s="27">
        <v>10</v>
      </c>
      <c r="K586" s="27">
        <v>10</v>
      </c>
      <c r="L586" s="27">
        <v>10</v>
      </c>
      <c r="M586" s="27">
        <v>10</v>
      </c>
      <c r="N586" s="27">
        <v>0</v>
      </c>
      <c r="O586" s="27">
        <f t="shared" si="512"/>
        <v>0</v>
      </c>
    </row>
    <row r="587" spans="1:15" ht="18" hidden="1" customHeight="1" x14ac:dyDescent="0.25">
      <c r="A587" s="33" t="s">
        <v>172</v>
      </c>
      <c r="B587" s="220">
        <v>906</v>
      </c>
      <c r="C587" s="218" t="s">
        <v>169</v>
      </c>
      <c r="D587" s="218" t="s">
        <v>191</v>
      </c>
      <c r="E587" s="218" t="s">
        <v>173</v>
      </c>
      <c r="F587" s="218"/>
      <c r="G587" s="27">
        <f>G588</f>
        <v>5</v>
      </c>
      <c r="H587" s="27">
        <f>H588</f>
        <v>0</v>
      </c>
      <c r="I587" s="27">
        <f t="shared" ref="G587:L590" si="565">I588</f>
        <v>0</v>
      </c>
      <c r="J587" s="27">
        <f t="shared" si="565"/>
        <v>0</v>
      </c>
      <c r="K587" s="27">
        <f t="shared" si="565"/>
        <v>0</v>
      </c>
      <c r="L587" s="27">
        <f t="shared" si="565"/>
        <v>0</v>
      </c>
      <c r="M587" s="27">
        <f t="shared" si="554"/>
        <v>0</v>
      </c>
      <c r="N587" s="27">
        <f t="shared" si="554"/>
        <v>0</v>
      </c>
      <c r="O587" s="27" t="e">
        <f t="shared" si="512"/>
        <v>#DIV/0!</v>
      </c>
    </row>
    <row r="588" spans="1:15" ht="15.75" hidden="1" x14ac:dyDescent="0.25">
      <c r="A588" s="33" t="s">
        <v>192</v>
      </c>
      <c r="B588" s="220">
        <v>906</v>
      </c>
      <c r="C588" s="218" t="s">
        <v>169</v>
      </c>
      <c r="D588" s="218" t="s">
        <v>191</v>
      </c>
      <c r="E588" s="218" t="s">
        <v>193</v>
      </c>
      <c r="F588" s="218"/>
      <c r="G588" s="27">
        <f t="shared" si="565"/>
        <v>5</v>
      </c>
      <c r="H588" s="27">
        <f t="shared" si="565"/>
        <v>0</v>
      </c>
      <c r="I588" s="27">
        <f t="shared" si="565"/>
        <v>0</v>
      </c>
      <c r="J588" s="27">
        <f t="shared" si="565"/>
        <v>0</v>
      </c>
      <c r="K588" s="27">
        <f t="shared" si="565"/>
        <v>0</v>
      </c>
      <c r="L588" s="27">
        <f t="shared" si="565"/>
        <v>0</v>
      </c>
      <c r="M588" s="27">
        <f t="shared" si="554"/>
        <v>0</v>
      </c>
      <c r="N588" s="27">
        <f t="shared" si="554"/>
        <v>0</v>
      </c>
      <c r="O588" s="27" t="e">
        <f t="shared" ref="O588:O651" si="566">N588/M588*100</f>
        <v>#DIV/0!</v>
      </c>
    </row>
    <row r="589" spans="1:15" ht="15.75" hidden="1" x14ac:dyDescent="0.25">
      <c r="A589" s="26" t="s">
        <v>230</v>
      </c>
      <c r="B589" s="220">
        <v>906</v>
      </c>
      <c r="C589" s="218" t="s">
        <v>169</v>
      </c>
      <c r="D589" s="218" t="s">
        <v>191</v>
      </c>
      <c r="E589" s="218" t="s">
        <v>256</v>
      </c>
      <c r="F589" s="218"/>
      <c r="G589" s="27">
        <f>G590</f>
        <v>5</v>
      </c>
      <c r="H589" s="27">
        <f>H590</f>
        <v>0</v>
      </c>
      <c r="I589" s="27">
        <f t="shared" si="565"/>
        <v>0</v>
      </c>
      <c r="J589" s="27">
        <f t="shared" si="565"/>
        <v>0</v>
      </c>
      <c r="K589" s="27">
        <f t="shared" si="565"/>
        <v>0</v>
      </c>
      <c r="L589" s="27">
        <f t="shared" si="565"/>
        <v>0</v>
      </c>
      <c r="M589" s="27">
        <f t="shared" si="554"/>
        <v>0</v>
      </c>
      <c r="N589" s="27">
        <f t="shared" si="554"/>
        <v>0</v>
      </c>
      <c r="O589" s="27" t="e">
        <f t="shared" si="566"/>
        <v>#DIV/0!</v>
      </c>
    </row>
    <row r="590" spans="1:15" ht="31.5" hidden="1" x14ac:dyDescent="0.25">
      <c r="A590" s="26" t="s">
        <v>182</v>
      </c>
      <c r="B590" s="220">
        <v>906</v>
      </c>
      <c r="C590" s="218" t="s">
        <v>169</v>
      </c>
      <c r="D590" s="218" t="s">
        <v>191</v>
      </c>
      <c r="E590" s="218" t="s">
        <v>256</v>
      </c>
      <c r="F590" s="218" t="s">
        <v>183</v>
      </c>
      <c r="G590" s="27">
        <f t="shared" si="565"/>
        <v>5</v>
      </c>
      <c r="H590" s="27">
        <f t="shared" si="565"/>
        <v>0</v>
      </c>
      <c r="I590" s="27">
        <f t="shared" si="565"/>
        <v>0</v>
      </c>
      <c r="J590" s="27">
        <f t="shared" si="565"/>
        <v>0</v>
      </c>
      <c r="K590" s="27">
        <f t="shared" si="565"/>
        <v>0</v>
      </c>
      <c r="L590" s="27">
        <f t="shared" si="565"/>
        <v>0</v>
      </c>
      <c r="M590" s="27">
        <f t="shared" si="554"/>
        <v>0</v>
      </c>
      <c r="N590" s="27">
        <f t="shared" si="554"/>
        <v>0</v>
      </c>
      <c r="O590" s="27" t="e">
        <f t="shared" si="566"/>
        <v>#DIV/0!</v>
      </c>
    </row>
    <row r="591" spans="1:15" ht="47.25" hidden="1" x14ac:dyDescent="0.25">
      <c r="A591" s="26" t="s">
        <v>184</v>
      </c>
      <c r="B591" s="220">
        <v>906</v>
      </c>
      <c r="C591" s="218" t="s">
        <v>169</v>
      </c>
      <c r="D591" s="218" t="s">
        <v>191</v>
      </c>
      <c r="E591" s="218" t="s">
        <v>256</v>
      </c>
      <c r="F591" s="218" t="s">
        <v>185</v>
      </c>
      <c r="G591" s="27">
        <v>5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 t="e">
        <f t="shared" si="566"/>
        <v>#DIV/0!</v>
      </c>
    </row>
    <row r="592" spans="1:15" ht="63" x14ac:dyDescent="0.25">
      <c r="A592" s="31" t="s">
        <v>801</v>
      </c>
      <c r="B592" s="220">
        <v>906</v>
      </c>
      <c r="C592" s="218" t="s">
        <v>169</v>
      </c>
      <c r="D592" s="218" t="s">
        <v>191</v>
      </c>
      <c r="E592" s="218" t="s">
        <v>799</v>
      </c>
      <c r="F592" s="225"/>
      <c r="G592" s="27">
        <f>G594</f>
        <v>29</v>
      </c>
      <c r="H592" s="27">
        <f t="shared" ref="H592:L592" si="567">H594</f>
        <v>19.100000000000001</v>
      </c>
      <c r="I592" s="27">
        <f t="shared" si="567"/>
        <v>29</v>
      </c>
      <c r="J592" s="27">
        <f t="shared" si="567"/>
        <v>0</v>
      </c>
      <c r="K592" s="27">
        <f t="shared" si="567"/>
        <v>0</v>
      </c>
      <c r="L592" s="27">
        <f t="shared" si="567"/>
        <v>0</v>
      </c>
      <c r="M592" s="27">
        <f>M593</f>
        <v>1638.3</v>
      </c>
      <c r="N592" s="27">
        <f>N593</f>
        <v>1368</v>
      </c>
      <c r="O592" s="27">
        <f t="shared" si="566"/>
        <v>83.50119025819447</v>
      </c>
    </row>
    <row r="593" spans="1:15" ht="47.25" x14ac:dyDescent="0.25">
      <c r="A593" s="125" t="s">
        <v>945</v>
      </c>
      <c r="B593" s="220">
        <v>906</v>
      </c>
      <c r="C593" s="218" t="s">
        <v>169</v>
      </c>
      <c r="D593" s="218" t="s">
        <v>191</v>
      </c>
      <c r="E593" s="218" t="s">
        <v>946</v>
      </c>
      <c r="F593" s="225"/>
      <c r="G593" s="27">
        <f>G594</f>
        <v>29</v>
      </c>
      <c r="H593" s="27">
        <f t="shared" ref="H593:N594" si="568">H594</f>
        <v>19.100000000000001</v>
      </c>
      <c r="I593" s="27">
        <f t="shared" si="568"/>
        <v>29</v>
      </c>
      <c r="J593" s="27">
        <f t="shared" si="568"/>
        <v>0</v>
      </c>
      <c r="K593" s="27">
        <f t="shared" si="568"/>
        <v>0</v>
      </c>
      <c r="L593" s="27">
        <f t="shared" si="568"/>
        <v>0</v>
      </c>
      <c r="M593" s="27">
        <f t="shared" si="568"/>
        <v>1638.3</v>
      </c>
      <c r="N593" s="27">
        <f t="shared" si="568"/>
        <v>1368</v>
      </c>
      <c r="O593" s="27">
        <f t="shared" si="566"/>
        <v>83.50119025819447</v>
      </c>
    </row>
    <row r="594" spans="1:15" ht="47.25" x14ac:dyDescent="0.25">
      <c r="A594" s="31" t="s">
        <v>323</v>
      </c>
      <c r="B594" s="220">
        <v>906</v>
      </c>
      <c r="C594" s="218" t="s">
        <v>169</v>
      </c>
      <c r="D594" s="218" t="s">
        <v>191</v>
      </c>
      <c r="E594" s="218" t="s">
        <v>946</v>
      </c>
      <c r="F594" s="225" t="s">
        <v>324</v>
      </c>
      <c r="G594" s="27">
        <f>G595</f>
        <v>29</v>
      </c>
      <c r="H594" s="27">
        <f t="shared" si="568"/>
        <v>19.100000000000001</v>
      </c>
      <c r="I594" s="27">
        <f t="shared" si="568"/>
        <v>29</v>
      </c>
      <c r="J594" s="27">
        <f t="shared" si="568"/>
        <v>0</v>
      </c>
      <c r="K594" s="27">
        <f t="shared" si="568"/>
        <v>0</v>
      </c>
      <c r="L594" s="27">
        <f t="shared" si="568"/>
        <v>0</v>
      </c>
      <c r="M594" s="27">
        <f t="shared" si="568"/>
        <v>1638.3</v>
      </c>
      <c r="N594" s="27">
        <f t="shared" si="568"/>
        <v>1368</v>
      </c>
      <c r="O594" s="27">
        <f t="shared" si="566"/>
        <v>83.50119025819447</v>
      </c>
    </row>
    <row r="595" spans="1:15" ht="15.75" x14ac:dyDescent="0.25">
      <c r="A595" s="262" t="s">
        <v>325</v>
      </c>
      <c r="B595" s="220">
        <v>906</v>
      </c>
      <c r="C595" s="218" t="s">
        <v>169</v>
      </c>
      <c r="D595" s="218" t="s">
        <v>191</v>
      </c>
      <c r="E595" s="218" t="s">
        <v>946</v>
      </c>
      <c r="F595" s="225" t="s">
        <v>326</v>
      </c>
      <c r="G595" s="27">
        <v>29</v>
      </c>
      <c r="H595" s="27">
        <v>19.100000000000001</v>
      </c>
      <c r="I595" s="27">
        <v>29</v>
      </c>
      <c r="J595" s="27">
        <v>0</v>
      </c>
      <c r="K595" s="27">
        <v>0</v>
      </c>
      <c r="L595" s="27">
        <v>0</v>
      </c>
      <c r="M595" s="27">
        <v>1638.3</v>
      </c>
      <c r="N595" s="27">
        <v>1368</v>
      </c>
      <c r="O595" s="27">
        <f t="shared" si="566"/>
        <v>83.50119025819447</v>
      </c>
    </row>
    <row r="596" spans="1:15" ht="15.75" x14ac:dyDescent="0.25">
      <c r="A596" s="24" t="s">
        <v>314</v>
      </c>
      <c r="B596" s="217">
        <v>906</v>
      </c>
      <c r="C596" s="219" t="s">
        <v>315</v>
      </c>
      <c r="D596" s="219"/>
      <c r="E596" s="219"/>
      <c r="F596" s="219"/>
      <c r="G596" s="22">
        <f t="shared" ref="G596:L596" si="569">G597+G648+G741+G753+G717</f>
        <v>261516.80000000002</v>
      </c>
      <c r="H596" s="22">
        <f t="shared" ref="H596" si="570">H597+H648+H741+H753+H717</f>
        <v>209815.18000000002</v>
      </c>
      <c r="I596" s="22">
        <f t="shared" si="569"/>
        <v>262473.3666666667</v>
      </c>
      <c r="J596" s="22">
        <f t="shared" si="569"/>
        <v>311237.3</v>
      </c>
      <c r="K596" s="22">
        <f t="shared" si="569"/>
        <v>303837.8</v>
      </c>
      <c r="L596" s="22">
        <f t="shared" si="569"/>
        <v>297289</v>
      </c>
      <c r="M596" s="22">
        <f t="shared" ref="M596:N596" si="571">M597+M648+M741+M753+M717</f>
        <v>279081.39999999997</v>
      </c>
      <c r="N596" s="22">
        <f t="shared" si="571"/>
        <v>225632.40000000002</v>
      </c>
      <c r="O596" s="22">
        <f t="shared" si="566"/>
        <v>80.848239975863692</v>
      </c>
    </row>
    <row r="597" spans="1:15" ht="15.75" x14ac:dyDescent="0.25">
      <c r="A597" s="24" t="s">
        <v>456</v>
      </c>
      <c r="B597" s="217">
        <v>906</v>
      </c>
      <c r="C597" s="219" t="s">
        <v>315</v>
      </c>
      <c r="D597" s="219" t="s">
        <v>169</v>
      </c>
      <c r="E597" s="219"/>
      <c r="F597" s="219"/>
      <c r="G597" s="22">
        <f t="shared" ref="G597:L597" si="572">G598+G625</f>
        <v>84659.4</v>
      </c>
      <c r="H597" s="22">
        <f t="shared" ref="H597" si="573">H598+H625</f>
        <v>71004</v>
      </c>
      <c r="I597" s="22">
        <f t="shared" si="572"/>
        <v>85381.2</v>
      </c>
      <c r="J597" s="22">
        <f t="shared" si="572"/>
        <v>122402.5</v>
      </c>
      <c r="K597" s="22">
        <f t="shared" si="572"/>
        <v>117666.8</v>
      </c>
      <c r="L597" s="22">
        <f t="shared" si="572"/>
        <v>112203.8</v>
      </c>
      <c r="M597" s="22">
        <f t="shared" ref="M597:N597" si="574">M598+M625</f>
        <v>95189.2</v>
      </c>
      <c r="N597" s="22">
        <f t="shared" si="574"/>
        <v>75455.200000000012</v>
      </c>
      <c r="O597" s="22">
        <f t="shared" si="566"/>
        <v>79.26865652826163</v>
      </c>
    </row>
    <row r="598" spans="1:15" ht="47.25" x14ac:dyDescent="0.25">
      <c r="A598" s="26" t="s">
        <v>457</v>
      </c>
      <c r="B598" s="220">
        <v>906</v>
      </c>
      <c r="C598" s="218" t="s">
        <v>315</v>
      </c>
      <c r="D598" s="218" t="s">
        <v>169</v>
      </c>
      <c r="E598" s="218" t="s">
        <v>458</v>
      </c>
      <c r="F598" s="218"/>
      <c r="G598" s="27">
        <f t="shared" ref="G598:L598" si="575">G599+G603</f>
        <v>23453.4</v>
      </c>
      <c r="H598" s="27">
        <f t="shared" ref="H598" si="576">H599+H603</f>
        <v>20620</v>
      </c>
      <c r="I598" s="27">
        <f t="shared" si="575"/>
        <v>24175.200000000001</v>
      </c>
      <c r="J598" s="27">
        <f t="shared" si="575"/>
        <v>61196.5</v>
      </c>
      <c r="K598" s="27">
        <f t="shared" si="575"/>
        <v>56460.800000000003</v>
      </c>
      <c r="L598" s="27">
        <f t="shared" si="575"/>
        <v>50997.8</v>
      </c>
      <c r="M598" s="27">
        <f t="shared" ref="M598:N598" si="577">M599+M603</f>
        <v>25866.5</v>
      </c>
      <c r="N598" s="27">
        <f t="shared" si="577"/>
        <v>20375</v>
      </c>
      <c r="O598" s="27">
        <f t="shared" si="566"/>
        <v>78.769837434519559</v>
      </c>
    </row>
    <row r="599" spans="1:15" ht="38.25" customHeight="1" x14ac:dyDescent="0.25">
      <c r="A599" s="26" t="s">
        <v>459</v>
      </c>
      <c r="B599" s="220">
        <v>906</v>
      </c>
      <c r="C599" s="218" t="s">
        <v>315</v>
      </c>
      <c r="D599" s="218" t="s">
        <v>169</v>
      </c>
      <c r="E599" s="218" t="s">
        <v>460</v>
      </c>
      <c r="F599" s="218"/>
      <c r="G599" s="27">
        <f>G600</f>
        <v>15578.400000000001</v>
      </c>
      <c r="H599" s="27">
        <f t="shared" ref="H599:L599" si="578">H600</f>
        <v>14300</v>
      </c>
      <c r="I599" s="27">
        <f t="shared" si="578"/>
        <v>16300.2</v>
      </c>
      <c r="J599" s="27">
        <f t="shared" si="578"/>
        <v>35498.199999999997</v>
      </c>
      <c r="K599" s="27">
        <f t="shared" si="578"/>
        <v>36442.5</v>
      </c>
      <c r="L599" s="27">
        <f t="shared" si="578"/>
        <v>37029.5</v>
      </c>
      <c r="M599" s="27">
        <f t="shared" ref="M599:N601" si="579">M600</f>
        <v>15576.6</v>
      </c>
      <c r="N599" s="27">
        <f t="shared" si="579"/>
        <v>13600</v>
      </c>
      <c r="O599" s="27">
        <f t="shared" si="566"/>
        <v>87.310452858775349</v>
      </c>
    </row>
    <row r="600" spans="1:15" ht="47.25" x14ac:dyDescent="0.25">
      <c r="A600" s="26" t="s">
        <v>461</v>
      </c>
      <c r="B600" s="220">
        <v>906</v>
      </c>
      <c r="C600" s="218" t="s">
        <v>315</v>
      </c>
      <c r="D600" s="218" t="s">
        <v>169</v>
      </c>
      <c r="E600" s="218" t="s">
        <v>462</v>
      </c>
      <c r="F600" s="218"/>
      <c r="G600" s="27">
        <f t="shared" ref="G600:L601" si="580">G601</f>
        <v>15578.400000000001</v>
      </c>
      <c r="H600" s="27">
        <f t="shared" si="580"/>
        <v>14300</v>
      </c>
      <c r="I600" s="27">
        <f t="shared" si="580"/>
        <v>16300.2</v>
      </c>
      <c r="J600" s="27">
        <f t="shared" si="580"/>
        <v>35498.199999999997</v>
      </c>
      <c r="K600" s="27">
        <f t="shared" si="580"/>
        <v>36442.5</v>
      </c>
      <c r="L600" s="27">
        <f t="shared" si="580"/>
        <v>37029.5</v>
      </c>
      <c r="M600" s="27">
        <f t="shared" si="579"/>
        <v>15576.6</v>
      </c>
      <c r="N600" s="27">
        <f t="shared" si="579"/>
        <v>13600</v>
      </c>
      <c r="O600" s="27">
        <f t="shared" si="566"/>
        <v>87.310452858775349</v>
      </c>
    </row>
    <row r="601" spans="1:15" ht="47.25" x14ac:dyDescent="0.25">
      <c r="A601" s="26" t="s">
        <v>323</v>
      </c>
      <c r="B601" s="220">
        <v>906</v>
      </c>
      <c r="C601" s="218" t="s">
        <v>315</v>
      </c>
      <c r="D601" s="218" t="s">
        <v>169</v>
      </c>
      <c r="E601" s="218" t="s">
        <v>462</v>
      </c>
      <c r="F601" s="218" t="s">
        <v>324</v>
      </c>
      <c r="G601" s="27">
        <f>G602</f>
        <v>15578.400000000001</v>
      </c>
      <c r="H601" s="27">
        <f t="shared" si="580"/>
        <v>14300</v>
      </c>
      <c r="I601" s="27">
        <f t="shared" si="580"/>
        <v>16300.2</v>
      </c>
      <c r="J601" s="27">
        <f t="shared" si="580"/>
        <v>35498.199999999997</v>
      </c>
      <c r="K601" s="27">
        <f t="shared" si="580"/>
        <v>36442.5</v>
      </c>
      <c r="L601" s="27">
        <f t="shared" si="580"/>
        <v>37029.5</v>
      </c>
      <c r="M601" s="27">
        <f t="shared" si="579"/>
        <v>15576.6</v>
      </c>
      <c r="N601" s="27">
        <f t="shared" si="579"/>
        <v>13600</v>
      </c>
      <c r="O601" s="27">
        <f t="shared" si="566"/>
        <v>87.310452858775349</v>
      </c>
    </row>
    <row r="602" spans="1:15" ht="15.75" x14ac:dyDescent="0.25">
      <c r="A602" s="26" t="s">
        <v>325</v>
      </c>
      <c r="B602" s="220">
        <v>906</v>
      </c>
      <c r="C602" s="218" t="s">
        <v>315</v>
      </c>
      <c r="D602" s="218" t="s">
        <v>169</v>
      </c>
      <c r="E602" s="218" t="s">
        <v>462</v>
      </c>
      <c r="F602" s="218" t="s">
        <v>326</v>
      </c>
      <c r="G602" s="28">
        <f>17368.2+6858.7-6314-1360.2-974.3</f>
        <v>15578.400000000001</v>
      </c>
      <c r="H602" s="28">
        <v>14300</v>
      </c>
      <c r="I602" s="28">
        <v>16300.2</v>
      </c>
      <c r="J602" s="28">
        <v>35498.199999999997</v>
      </c>
      <c r="K602" s="28">
        <v>36442.5</v>
      </c>
      <c r="L602" s="28">
        <v>37029.5</v>
      </c>
      <c r="M602" s="28">
        <f>13780.9+2000-464.3+160+100</f>
        <v>15576.6</v>
      </c>
      <c r="N602" s="28">
        <v>13600</v>
      </c>
      <c r="O602" s="27">
        <f t="shared" si="566"/>
        <v>87.310452858775349</v>
      </c>
    </row>
    <row r="603" spans="1:15" ht="30" customHeight="1" x14ac:dyDescent="0.25">
      <c r="A603" s="26" t="s">
        <v>463</v>
      </c>
      <c r="B603" s="220">
        <v>906</v>
      </c>
      <c r="C603" s="218" t="s">
        <v>315</v>
      </c>
      <c r="D603" s="218" t="s">
        <v>169</v>
      </c>
      <c r="E603" s="218" t="s">
        <v>464</v>
      </c>
      <c r="F603" s="218"/>
      <c r="G603" s="27">
        <f>G604+G607+G610+G613+G616+G619</f>
        <v>7875</v>
      </c>
      <c r="H603" s="27">
        <f t="shared" ref="H603:L603" si="581">H604+H607+H610+H613+H616+H619</f>
        <v>6320</v>
      </c>
      <c r="I603" s="27">
        <f t="shared" si="581"/>
        <v>7875</v>
      </c>
      <c r="J603" s="27">
        <f t="shared" si="581"/>
        <v>25698.3</v>
      </c>
      <c r="K603" s="27">
        <f t="shared" si="581"/>
        <v>20018.3</v>
      </c>
      <c r="L603" s="27">
        <f t="shared" si="581"/>
        <v>13968.3</v>
      </c>
      <c r="M603" s="27">
        <f>M604+M607+M610+M613+M616+M619+M622</f>
        <v>10289.9</v>
      </c>
      <c r="N603" s="27">
        <f>N604+N607+N610+N613+N616+N619+N622</f>
        <v>6775</v>
      </c>
      <c r="O603" s="27">
        <f t="shared" si="566"/>
        <v>65.841261819842757</v>
      </c>
    </row>
    <row r="604" spans="1:15" ht="47.25" customHeight="1" x14ac:dyDescent="0.25">
      <c r="A604" s="26" t="s">
        <v>329</v>
      </c>
      <c r="B604" s="220">
        <v>906</v>
      </c>
      <c r="C604" s="218" t="s">
        <v>315</v>
      </c>
      <c r="D604" s="218" t="s">
        <v>169</v>
      </c>
      <c r="E604" s="218" t="s">
        <v>465</v>
      </c>
      <c r="F604" s="218"/>
      <c r="G604" s="27">
        <f t="shared" ref="G604:L605" si="582">G605</f>
        <v>0</v>
      </c>
      <c r="H604" s="27">
        <v>0</v>
      </c>
      <c r="I604" s="27">
        <f t="shared" si="582"/>
        <v>0</v>
      </c>
      <c r="J604" s="27">
        <f t="shared" si="582"/>
        <v>15330</v>
      </c>
      <c r="K604" s="27">
        <f t="shared" si="582"/>
        <v>10100</v>
      </c>
      <c r="L604" s="27">
        <f t="shared" si="582"/>
        <v>3600</v>
      </c>
      <c r="M604" s="27">
        <f t="shared" ref="M604:N605" si="583">M605</f>
        <v>200</v>
      </c>
      <c r="N604" s="27">
        <f t="shared" si="583"/>
        <v>0</v>
      </c>
      <c r="O604" s="27">
        <f t="shared" si="566"/>
        <v>0</v>
      </c>
    </row>
    <row r="605" spans="1:15" ht="47.25" customHeight="1" x14ac:dyDescent="0.25">
      <c r="A605" s="26" t="s">
        <v>323</v>
      </c>
      <c r="B605" s="220">
        <v>906</v>
      </c>
      <c r="C605" s="218" t="s">
        <v>315</v>
      </c>
      <c r="D605" s="218" t="s">
        <v>169</v>
      </c>
      <c r="E605" s="218" t="s">
        <v>465</v>
      </c>
      <c r="F605" s="218" t="s">
        <v>324</v>
      </c>
      <c r="G605" s="27">
        <f t="shared" si="582"/>
        <v>0</v>
      </c>
      <c r="H605" s="27">
        <v>0</v>
      </c>
      <c r="I605" s="27">
        <f t="shared" si="582"/>
        <v>0</v>
      </c>
      <c r="J605" s="27">
        <f t="shared" si="582"/>
        <v>15330</v>
      </c>
      <c r="K605" s="27">
        <f t="shared" si="582"/>
        <v>10100</v>
      </c>
      <c r="L605" s="27">
        <f t="shared" si="582"/>
        <v>3600</v>
      </c>
      <c r="M605" s="27">
        <f t="shared" si="583"/>
        <v>200</v>
      </c>
      <c r="N605" s="27">
        <f t="shared" si="583"/>
        <v>0</v>
      </c>
      <c r="O605" s="27">
        <f t="shared" si="566"/>
        <v>0</v>
      </c>
    </row>
    <row r="606" spans="1:15" ht="15.75" customHeight="1" x14ac:dyDescent="0.25">
      <c r="A606" s="26" t="s">
        <v>325</v>
      </c>
      <c r="B606" s="220">
        <v>906</v>
      </c>
      <c r="C606" s="218" t="s">
        <v>315</v>
      </c>
      <c r="D606" s="218" t="s">
        <v>169</v>
      </c>
      <c r="E606" s="218" t="s">
        <v>465</v>
      </c>
      <c r="F606" s="218" t="s">
        <v>326</v>
      </c>
      <c r="G606" s="27">
        <v>0</v>
      </c>
      <c r="H606" s="27">
        <v>0</v>
      </c>
      <c r="I606" s="27">
        <v>0</v>
      </c>
      <c r="J606" s="27">
        <v>15330</v>
      </c>
      <c r="K606" s="27">
        <v>10100</v>
      </c>
      <c r="L606" s="27">
        <v>3600</v>
      </c>
      <c r="M606" s="27">
        <v>200</v>
      </c>
      <c r="N606" s="27">
        <v>0</v>
      </c>
      <c r="O606" s="27">
        <f t="shared" si="566"/>
        <v>0</v>
      </c>
    </row>
    <row r="607" spans="1:15" ht="31.5" hidden="1" x14ac:dyDescent="0.25">
      <c r="A607" s="26" t="s">
        <v>331</v>
      </c>
      <c r="B607" s="220">
        <v>906</v>
      </c>
      <c r="C607" s="218" t="s">
        <v>315</v>
      </c>
      <c r="D607" s="218" t="s">
        <v>169</v>
      </c>
      <c r="E607" s="218" t="s">
        <v>466</v>
      </c>
      <c r="F607" s="218"/>
      <c r="G607" s="27">
        <f t="shared" ref="G607:L608" si="584">G608</f>
        <v>1145</v>
      </c>
      <c r="H607" s="27">
        <f t="shared" si="584"/>
        <v>1145</v>
      </c>
      <c r="I607" s="27">
        <f t="shared" si="584"/>
        <v>1145</v>
      </c>
      <c r="J607" s="27">
        <f t="shared" si="584"/>
        <v>0</v>
      </c>
      <c r="K607" s="27">
        <f t="shared" si="584"/>
        <v>0</v>
      </c>
      <c r="L607" s="27">
        <f t="shared" si="584"/>
        <v>0</v>
      </c>
      <c r="M607" s="27">
        <f t="shared" ref="M607:N608" si="585">M608</f>
        <v>0</v>
      </c>
      <c r="N607" s="27">
        <f t="shared" si="585"/>
        <v>0</v>
      </c>
      <c r="O607" s="27" t="e">
        <f t="shared" si="566"/>
        <v>#DIV/0!</v>
      </c>
    </row>
    <row r="608" spans="1:15" ht="47.25" hidden="1" x14ac:dyDescent="0.25">
      <c r="A608" s="26" t="s">
        <v>323</v>
      </c>
      <c r="B608" s="220">
        <v>906</v>
      </c>
      <c r="C608" s="218" t="s">
        <v>315</v>
      </c>
      <c r="D608" s="218" t="s">
        <v>169</v>
      </c>
      <c r="E608" s="218" t="s">
        <v>466</v>
      </c>
      <c r="F608" s="218" t="s">
        <v>324</v>
      </c>
      <c r="G608" s="27">
        <f t="shared" si="584"/>
        <v>1145</v>
      </c>
      <c r="H608" s="27">
        <f t="shared" si="584"/>
        <v>1145</v>
      </c>
      <c r="I608" s="27">
        <f t="shared" si="584"/>
        <v>1145</v>
      </c>
      <c r="J608" s="27">
        <f t="shared" si="584"/>
        <v>0</v>
      </c>
      <c r="K608" s="27">
        <f t="shared" si="584"/>
        <v>0</v>
      </c>
      <c r="L608" s="27">
        <f t="shared" si="584"/>
        <v>0</v>
      </c>
      <c r="M608" s="27">
        <f t="shared" si="585"/>
        <v>0</v>
      </c>
      <c r="N608" s="27">
        <f t="shared" si="585"/>
        <v>0</v>
      </c>
      <c r="O608" s="27" t="e">
        <f t="shared" si="566"/>
        <v>#DIV/0!</v>
      </c>
    </row>
    <row r="609" spans="1:15" ht="15.75" hidden="1" x14ac:dyDescent="0.25">
      <c r="A609" s="26" t="s">
        <v>325</v>
      </c>
      <c r="B609" s="220">
        <v>906</v>
      </c>
      <c r="C609" s="218" t="s">
        <v>315</v>
      </c>
      <c r="D609" s="218" t="s">
        <v>169</v>
      </c>
      <c r="E609" s="218" t="s">
        <v>466</v>
      </c>
      <c r="F609" s="218" t="s">
        <v>326</v>
      </c>
      <c r="G609" s="27">
        <f>800+300+45</f>
        <v>1145</v>
      </c>
      <c r="H609" s="27">
        <f>800+300+45</f>
        <v>1145</v>
      </c>
      <c r="I609" s="27">
        <f t="shared" ref="I609" si="586">800+300+45</f>
        <v>1145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 t="e">
        <f t="shared" si="566"/>
        <v>#DIV/0!</v>
      </c>
    </row>
    <row r="610" spans="1:15" ht="47.25" x14ac:dyDescent="0.25">
      <c r="A610" s="26" t="s">
        <v>467</v>
      </c>
      <c r="B610" s="220">
        <v>906</v>
      </c>
      <c r="C610" s="218" t="s">
        <v>315</v>
      </c>
      <c r="D610" s="218" t="s">
        <v>169</v>
      </c>
      <c r="E610" s="218" t="s">
        <v>468</v>
      </c>
      <c r="F610" s="218"/>
      <c r="G610" s="27">
        <f t="shared" ref="G610:L611" si="587">G611</f>
        <v>6730</v>
      </c>
      <c r="H610" s="27">
        <f t="shared" si="587"/>
        <v>5175</v>
      </c>
      <c r="I610" s="27">
        <f t="shared" si="587"/>
        <v>6730</v>
      </c>
      <c r="J610" s="27">
        <f t="shared" si="587"/>
        <v>5168.8</v>
      </c>
      <c r="K610" s="27">
        <f t="shared" si="587"/>
        <v>5168.8</v>
      </c>
      <c r="L610" s="27">
        <f t="shared" si="587"/>
        <v>5168.8</v>
      </c>
      <c r="M610" s="27">
        <f t="shared" ref="M610:N611" si="588">M611</f>
        <v>5168.8</v>
      </c>
      <c r="N610" s="27">
        <f t="shared" si="588"/>
        <v>2850</v>
      </c>
      <c r="O610" s="27">
        <f t="shared" si="566"/>
        <v>55.138523448382607</v>
      </c>
    </row>
    <row r="611" spans="1:15" ht="47.25" x14ac:dyDescent="0.25">
      <c r="A611" s="26" t="s">
        <v>323</v>
      </c>
      <c r="B611" s="220">
        <v>906</v>
      </c>
      <c r="C611" s="218" t="s">
        <v>315</v>
      </c>
      <c r="D611" s="218" t="s">
        <v>169</v>
      </c>
      <c r="E611" s="218" t="s">
        <v>468</v>
      </c>
      <c r="F611" s="218" t="s">
        <v>324</v>
      </c>
      <c r="G611" s="27">
        <f>G612</f>
        <v>6730</v>
      </c>
      <c r="H611" s="27">
        <f>H612</f>
        <v>5175</v>
      </c>
      <c r="I611" s="27">
        <f t="shared" si="587"/>
        <v>6730</v>
      </c>
      <c r="J611" s="27">
        <f t="shared" si="587"/>
        <v>5168.8</v>
      </c>
      <c r="K611" s="27">
        <f t="shared" si="587"/>
        <v>5168.8</v>
      </c>
      <c r="L611" s="27">
        <f t="shared" si="587"/>
        <v>5168.8</v>
      </c>
      <c r="M611" s="27">
        <f t="shared" si="588"/>
        <v>5168.8</v>
      </c>
      <c r="N611" s="27">
        <f t="shared" si="588"/>
        <v>2850</v>
      </c>
      <c r="O611" s="27">
        <f t="shared" si="566"/>
        <v>55.138523448382607</v>
      </c>
    </row>
    <row r="612" spans="1:15" ht="15.75" x14ac:dyDescent="0.25">
      <c r="A612" s="26" t="s">
        <v>325</v>
      </c>
      <c r="B612" s="220">
        <v>906</v>
      </c>
      <c r="C612" s="218" t="s">
        <v>315</v>
      </c>
      <c r="D612" s="218" t="s">
        <v>169</v>
      </c>
      <c r="E612" s="218" t="s">
        <v>468</v>
      </c>
      <c r="F612" s="218" t="s">
        <v>326</v>
      </c>
      <c r="G612" s="28">
        <v>6730</v>
      </c>
      <c r="H612" s="28">
        <v>5175</v>
      </c>
      <c r="I612" s="28">
        <v>6730</v>
      </c>
      <c r="J612" s="28">
        <v>5168.8</v>
      </c>
      <c r="K612" s="28">
        <v>5168.8</v>
      </c>
      <c r="L612" s="28">
        <v>5168.8</v>
      </c>
      <c r="M612" s="28">
        <v>5168.8</v>
      </c>
      <c r="N612" s="28">
        <v>2850</v>
      </c>
      <c r="O612" s="27">
        <f t="shared" si="566"/>
        <v>55.138523448382607</v>
      </c>
    </row>
    <row r="613" spans="1:15" ht="31.5" customHeight="1" x14ac:dyDescent="0.25">
      <c r="A613" s="26" t="s">
        <v>335</v>
      </c>
      <c r="B613" s="220">
        <v>906</v>
      </c>
      <c r="C613" s="218" t="s">
        <v>315</v>
      </c>
      <c r="D613" s="218" t="s">
        <v>169</v>
      </c>
      <c r="E613" s="218" t="s">
        <v>469</v>
      </c>
      <c r="F613" s="218"/>
      <c r="G613" s="27">
        <f t="shared" ref="G613:L614" si="589">G614</f>
        <v>0</v>
      </c>
      <c r="H613" s="27">
        <v>0</v>
      </c>
      <c r="I613" s="27">
        <f t="shared" si="589"/>
        <v>0</v>
      </c>
      <c r="J613" s="27">
        <f t="shared" si="589"/>
        <v>500</v>
      </c>
      <c r="K613" s="27">
        <f t="shared" si="589"/>
        <v>50</v>
      </c>
      <c r="L613" s="27">
        <f t="shared" si="589"/>
        <v>500</v>
      </c>
      <c r="M613" s="27">
        <f t="shared" ref="M613:N614" si="590">M614</f>
        <v>97.2</v>
      </c>
      <c r="N613" s="27">
        <f t="shared" si="590"/>
        <v>0</v>
      </c>
      <c r="O613" s="27">
        <f t="shared" si="566"/>
        <v>0</v>
      </c>
    </row>
    <row r="614" spans="1:15" ht="47.25" customHeight="1" x14ac:dyDescent="0.25">
      <c r="A614" s="26" t="s">
        <v>323</v>
      </c>
      <c r="B614" s="220">
        <v>906</v>
      </c>
      <c r="C614" s="218" t="s">
        <v>315</v>
      </c>
      <c r="D614" s="218" t="s">
        <v>169</v>
      </c>
      <c r="E614" s="218" t="s">
        <v>469</v>
      </c>
      <c r="F614" s="218" t="s">
        <v>324</v>
      </c>
      <c r="G614" s="27">
        <f t="shared" si="589"/>
        <v>0</v>
      </c>
      <c r="H614" s="27">
        <v>0</v>
      </c>
      <c r="I614" s="27">
        <f t="shared" si="589"/>
        <v>0</v>
      </c>
      <c r="J614" s="27">
        <f t="shared" si="589"/>
        <v>500</v>
      </c>
      <c r="K614" s="27">
        <f t="shared" si="589"/>
        <v>50</v>
      </c>
      <c r="L614" s="27">
        <f t="shared" si="589"/>
        <v>500</v>
      </c>
      <c r="M614" s="27">
        <f t="shared" si="590"/>
        <v>97.2</v>
      </c>
      <c r="N614" s="27">
        <f t="shared" si="590"/>
        <v>0</v>
      </c>
      <c r="O614" s="27">
        <f t="shared" si="566"/>
        <v>0</v>
      </c>
    </row>
    <row r="615" spans="1:15" ht="15.75" customHeight="1" x14ac:dyDescent="0.25">
      <c r="A615" s="26" t="s">
        <v>325</v>
      </c>
      <c r="B615" s="220">
        <v>906</v>
      </c>
      <c r="C615" s="218" t="s">
        <v>315</v>
      </c>
      <c r="D615" s="218" t="s">
        <v>169</v>
      </c>
      <c r="E615" s="218" t="s">
        <v>469</v>
      </c>
      <c r="F615" s="218" t="s">
        <v>326</v>
      </c>
      <c r="G615" s="27">
        <v>0</v>
      </c>
      <c r="H615" s="27">
        <v>0</v>
      </c>
      <c r="I615" s="27">
        <v>0</v>
      </c>
      <c r="J615" s="27">
        <v>500</v>
      </c>
      <c r="K615" s="27">
        <v>50</v>
      </c>
      <c r="L615" s="27">
        <v>500</v>
      </c>
      <c r="M615" s="27">
        <v>97.2</v>
      </c>
      <c r="N615" s="27">
        <v>0</v>
      </c>
      <c r="O615" s="27">
        <f t="shared" si="566"/>
        <v>0</v>
      </c>
    </row>
    <row r="616" spans="1:15" ht="47.25" customHeight="1" x14ac:dyDescent="0.25">
      <c r="A616" s="70" t="s">
        <v>861</v>
      </c>
      <c r="B616" s="220">
        <v>906</v>
      </c>
      <c r="C616" s="218" t="s">
        <v>315</v>
      </c>
      <c r="D616" s="218" t="s">
        <v>169</v>
      </c>
      <c r="E616" s="218" t="s">
        <v>864</v>
      </c>
      <c r="F616" s="218"/>
      <c r="G616" s="27">
        <f>G617</f>
        <v>0</v>
      </c>
      <c r="H616" s="27">
        <v>0</v>
      </c>
      <c r="I616" s="27">
        <f t="shared" ref="I616:L617" si="591">I617</f>
        <v>0</v>
      </c>
      <c r="J616" s="27">
        <f t="shared" si="591"/>
        <v>3468.9</v>
      </c>
      <c r="K616" s="27">
        <f t="shared" si="591"/>
        <v>3468.9</v>
      </c>
      <c r="L616" s="27">
        <f t="shared" si="591"/>
        <v>3468.9</v>
      </c>
      <c r="M616" s="27">
        <f t="shared" ref="M616:N617" si="592">M617</f>
        <v>3468.9</v>
      </c>
      <c r="N616" s="27">
        <f t="shared" si="592"/>
        <v>3120</v>
      </c>
      <c r="O616" s="27">
        <f t="shared" si="566"/>
        <v>89.942056559716335</v>
      </c>
    </row>
    <row r="617" spans="1:15" ht="55.5" customHeight="1" x14ac:dyDescent="0.25">
      <c r="A617" s="31" t="s">
        <v>323</v>
      </c>
      <c r="B617" s="220">
        <v>906</v>
      </c>
      <c r="C617" s="218" t="s">
        <v>315</v>
      </c>
      <c r="D617" s="218" t="s">
        <v>169</v>
      </c>
      <c r="E617" s="218" t="s">
        <v>864</v>
      </c>
      <c r="F617" s="218" t="s">
        <v>324</v>
      </c>
      <c r="G617" s="27">
        <f>G618</f>
        <v>0</v>
      </c>
      <c r="H617" s="27">
        <v>0</v>
      </c>
      <c r="I617" s="27">
        <f t="shared" si="591"/>
        <v>0</v>
      </c>
      <c r="J617" s="27">
        <f t="shared" si="591"/>
        <v>3468.9</v>
      </c>
      <c r="K617" s="27">
        <f t="shared" si="591"/>
        <v>3468.9</v>
      </c>
      <c r="L617" s="27">
        <f t="shared" si="591"/>
        <v>3468.9</v>
      </c>
      <c r="M617" s="27">
        <f t="shared" si="592"/>
        <v>3468.9</v>
      </c>
      <c r="N617" s="27">
        <f t="shared" si="592"/>
        <v>3120</v>
      </c>
      <c r="O617" s="27">
        <f t="shared" si="566"/>
        <v>89.942056559716335</v>
      </c>
    </row>
    <row r="618" spans="1:15" ht="15.75" customHeight="1" x14ac:dyDescent="0.25">
      <c r="A618" s="262" t="s">
        <v>325</v>
      </c>
      <c r="B618" s="220">
        <v>906</v>
      </c>
      <c r="C618" s="218" t="s">
        <v>315</v>
      </c>
      <c r="D618" s="218" t="s">
        <v>169</v>
      </c>
      <c r="E618" s="218" t="s">
        <v>864</v>
      </c>
      <c r="F618" s="218" t="s">
        <v>326</v>
      </c>
      <c r="G618" s="27">
        <v>0</v>
      </c>
      <c r="H618" s="27">
        <v>0</v>
      </c>
      <c r="I618" s="27">
        <v>0</v>
      </c>
      <c r="J618" s="27">
        <v>3468.9</v>
      </c>
      <c r="K618" s="27">
        <f>J618</f>
        <v>3468.9</v>
      </c>
      <c r="L618" s="27">
        <f>K618</f>
        <v>3468.9</v>
      </c>
      <c r="M618" s="27">
        <f>3468.9-250+250</f>
        <v>3468.9</v>
      </c>
      <c r="N618" s="27">
        <v>3120</v>
      </c>
      <c r="O618" s="27">
        <f t="shared" si="566"/>
        <v>89.942056559716335</v>
      </c>
    </row>
    <row r="619" spans="1:15" ht="50.25" customHeight="1" x14ac:dyDescent="0.25">
      <c r="A619" s="70" t="s">
        <v>870</v>
      </c>
      <c r="B619" s="220">
        <v>906</v>
      </c>
      <c r="C619" s="218" t="s">
        <v>315</v>
      </c>
      <c r="D619" s="218" t="s">
        <v>169</v>
      </c>
      <c r="E619" s="218" t="s">
        <v>865</v>
      </c>
      <c r="F619" s="218"/>
      <c r="G619" s="27">
        <f>G620</f>
        <v>0</v>
      </c>
      <c r="H619" s="27">
        <v>0</v>
      </c>
      <c r="I619" s="27">
        <f t="shared" ref="I619:L620" si="593">I620</f>
        <v>0</v>
      </c>
      <c r="J619" s="27">
        <f t="shared" si="593"/>
        <v>1230.5999999999999</v>
      </c>
      <c r="K619" s="27">
        <f t="shared" si="593"/>
        <v>1230.5999999999999</v>
      </c>
      <c r="L619" s="27">
        <f t="shared" si="593"/>
        <v>1230.5999999999999</v>
      </c>
      <c r="M619" s="27">
        <f t="shared" ref="M619:N620" si="594">M620</f>
        <v>1230.5999999999999</v>
      </c>
      <c r="N619" s="27">
        <f t="shared" si="594"/>
        <v>805</v>
      </c>
      <c r="O619" s="27">
        <f t="shared" si="566"/>
        <v>65.41524459613197</v>
      </c>
    </row>
    <row r="620" spans="1:15" ht="47.25" x14ac:dyDescent="0.25">
      <c r="A620" s="31" t="s">
        <v>323</v>
      </c>
      <c r="B620" s="220">
        <v>906</v>
      </c>
      <c r="C620" s="218" t="s">
        <v>315</v>
      </c>
      <c r="D620" s="218" t="s">
        <v>169</v>
      </c>
      <c r="E620" s="218" t="s">
        <v>865</v>
      </c>
      <c r="F620" s="218" t="s">
        <v>324</v>
      </c>
      <c r="G620" s="27">
        <f>G621</f>
        <v>0</v>
      </c>
      <c r="H620" s="27">
        <v>0</v>
      </c>
      <c r="I620" s="27">
        <f t="shared" si="593"/>
        <v>0</v>
      </c>
      <c r="J620" s="27">
        <f t="shared" si="593"/>
        <v>1230.5999999999999</v>
      </c>
      <c r="K620" s="27">
        <f t="shared" si="593"/>
        <v>1230.5999999999999</v>
      </c>
      <c r="L620" s="27">
        <f t="shared" si="593"/>
        <v>1230.5999999999999</v>
      </c>
      <c r="M620" s="27">
        <f t="shared" si="594"/>
        <v>1230.5999999999999</v>
      </c>
      <c r="N620" s="27">
        <f t="shared" si="594"/>
        <v>805</v>
      </c>
      <c r="O620" s="27">
        <f t="shared" si="566"/>
        <v>65.41524459613197</v>
      </c>
    </row>
    <row r="621" spans="1:15" ht="15.75" x14ac:dyDescent="0.25">
      <c r="A621" s="262" t="s">
        <v>325</v>
      </c>
      <c r="B621" s="220">
        <v>906</v>
      </c>
      <c r="C621" s="218" t="s">
        <v>315</v>
      </c>
      <c r="D621" s="218" t="s">
        <v>169</v>
      </c>
      <c r="E621" s="218" t="s">
        <v>865</v>
      </c>
      <c r="F621" s="218" t="s">
        <v>326</v>
      </c>
      <c r="G621" s="27">
        <v>0</v>
      </c>
      <c r="H621" s="27">
        <v>0</v>
      </c>
      <c r="I621" s="27">
        <v>0</v>
      </c>
      <c r="J621" s="27">
        <v>1230.5999999999999</v>
      </c>
      <c r="K621" s="27">
        <f>J621</f>
        <v>1230.5999999999999</v>
      </c>
      <c r="L621" s="27">
        <f>K621</f>
        <v>1230.5999999999999</v>
      </c>
      <c r="M621" s="27">
        <v>1230.5999999999999</v>
      </c>
      <c r="N621" s="27">
        <v>805</v>
      </c>
      <c r="O621" s="27">
        <f t="shared" si="566"/>
        <v>65.41524459613197</v>
      </c>
    </row>
    <row r="622" spans="1:15" ht="161.25" customHeight="1" x14ac:dyDescent="0.25">
      <c r="A622" s="26" t="s">
        <v>1023</v>
      </c>
      <c r="B622" s="220">
        <v>906</v>
      </c>
      <c r="C622" s="218" t="s">
        <v>315</v>
      </c>
      <c r="D622" s="218" t="s">
        <v>169</v>
      </c>
      <c r="E622" s="218" t="s">
        <v>1022</v>
      </c>
      <c r="F622" s="218"/>
      <c r="G622" s="27"/>
      <c r="H622" s="27"/>
      <c r="I622" s="27"/>
      <c r="J622" s="27"/>
      <c r="K622" s="27"/>
      <c r="L622" s="27"/>
      <c r="M622" s="27">
        <f>M623</f>
        <v>124.4</v>
      </c>
      <c r="N622" s="27">
        <f>N623</f>
        <v>0</v>
      </c>
      <c r="O622" s="27">
        <f t="shared" si="566"/>
        <v>0</v>
      </c>
    </row>
    <row r="623" spans="1:15" ht="47.25" x14ac:dyDescent="0.25">
      <c r="A623" s="31" t="s">
        <v>323</v>
      </c>
      <c r="B623" s="220">
        <v>906</v>
      </c>
      <c r="C623" s="218" t="s">
        <v>315</v>
      </c>
      <c r="D623" s="218" t="s">
        <v>169</v>
      </c>
      <c r="E623" s="218" t="s">
        <v>1022</v>
      </c>
      <c r="F623" s="218" t="s">
        <v>324</v>
      </c>
      <c r="G623" s="27"/>
      <c r="H623" s="27"/>
      <c r="I623" s="27"/>
      <c r="J623" s="27"/>
      <c r="K623" s="27"/>
      <c r="L623" s="27"/>
      <c r="M623" s="27">
        <f>M624</f>
        <v>124.4</v>
      </c>
      <c r="N623" s="27">
        <f>N624</f>
        <v>0</v>
      </c>
      <c r="O623" s="27">
        <f t="shared" si="566"/>
        <v>0</v>
      </c>
    </row>
    <row r="624" spans="1:15" ht="15.75" customHeight="1" x14ac:dyDescent="0.25">
      <c r="A624" s="262" t="s">
        <v>325</v>
      </c>
      <c r="B624" s="220">
        <v>906</v>
      </c>
      <c r="C624" s="218" t="s">
        <v>315</v>
      </c>
      <c r="D624" s="218" t="s">
        <v>169</v>
      </c>
      <c r="E624" s="218" t="s">
        <v>1022</v>
      </c>
      <c r="F624" s="218" t="s">
        <v>326</v>
      </c>
      <c r="G624" s="27"/>
      <c r="H624" s="27"/>
      <c r="I624" s="27"/>
      <c r="J624" s="27"/>
      <c r="K624" s="27"/>
      <c r="L624" s="27"/>
      <c r="M624" s="27">
        <v>124.4</v>
      </c>
      <c r="N624" s="27">
        <v>0</v>
      </c>
      <c r="O624" s="27">
        <f t="shared" si="566"/>
        <v>0</v>
      </c>
    </row>
    <row r="625" spans="1:15" ht="15.75" x14ac:dyDescent="0.25">
      <c r="A625" s="26" t="s">
        <v>172</v>
      </c>
      <c r="B625" s="220">
        <v>906</v>
      </c>
      <c r="C625" s="218" t="s">
        <v>315</v>
      </c>
      <c r="D625" s="218" t="s">
        <v>169</v>
      </c>
      <c r="E625" s="218" t="s">
        <v>173</v>
      </c>
      <c r="F625" s="218"/>
      <c r="G625" s="27">
        <f>G626</f>
        <v>61206</v>
      </c>
      <c r="H625" s="27">
        <f>H626</f>
        <v>50384</v>
      </c>
      <c r="I625" s="27">
        <f t="shared" ref="I625:L625" si="595">I626</f>
        <v>61206</v>
      </c>
      <c r="J625" s="27">
        <f t="shared" si="595"/>
        <v>61206</v>
      </c>
      <c r="K625" s="27">
        <f t="shared" si="595"/>
        <v>61206</v>
      </c>
      <c r="L625" s="27">
        <f t="shared" si="595"/>
        <v>61206</v>
      </c>
      <c r="M625" s="27">
        <f t="shared" ref="M625:N625" si="596">M626</f>
        <v>69322.7</v>
      </c>
      <c r="N625" s="27">
        <f t="shared" si="596"/>
        <v>55080.200000000004</v>
      </c>
      <c r="O625" s="27">
        <f t="shared" si="566"/>
        <v>79.454781767011397</v>
      </c>
    </row>
    <row r="626" spans="1:15" ht="31.5" x14ac:dyDescent="0.25">
      <c r="A626" s="26" t="s">
        <v>236</v>
      </c>
      <c r="B626" s="220">
        <v>906</v>
      </c>
      <c r="C626" s="218" t="s">
        <v>315</v>
      </c>
      <c r="D626" s="218" t="s">
        <v>169</v>
      </c>
      <c r="E626" s="218" t="s">
        <v>237</v>
      </c>
      <c r="F626" s="218"/>
      <c r="G626" s="27">
        <f t="shared" ref="G626:L626" si="597">G630+G633+G636+G639+G642+G645</f>
        <v>61206</v>
      </c>
      <c r="H626" s="27">
        <f t="shared" si="597"/>
        <v>50384</v>
      </c>
      <c r="I626" s="27">
        <f t="shared" si="597"/>
        <v>61206</v>
      </c>
      <c r="J626" s="27">
        <f t="shared" si="597"/>
        <v>61206</v>
      </c>
      <c r="K626" s="27">
        <f t="shared" si="597"/>
        <v>61206</v>
      </c>
      <c r="L626" s="27">
        <f t="shared" si="597"/>
        <v>61206</v>
      </c>
      <c r="M626" s="27">
        <f>M630+M633+M636+M639+M642+M645+M627</f>
        <v>69322.7</v>
      </c>
      <c r="N626" s="27">
        <f>N630+N633+N636+N639+N642+N645+N627</f>
        <v>55080.200000000004</v>
      </c>
      <c r="O626" s="27">
        <f t="shared" si="566"/>
        <v>79.454781767011397</v>
      </c>
    </row>
    <row r="627" spans="1:15" ht="146.25" customHeight="1" x14ac:dyDescent="0.25">
      <c r="A627" s="26" t="s">
        <v>475</v>
      </c>
      <c r="B627" s="220">
        <v>906</v>
      </c>
      <c r="C627" s="218" t="s">
        <v>315</v>
      </c>
      <c r="D627" s="218" t="s">
        <v>169</v>
      </c>
      <c r="E627" s="218" t="s">
        <v>1007</v>
      </c>
      <c r="F627" s="218"/>
      <c r="G627" s="27"/>
      <c r="H627" s="27"/>
      <c r="I627" s="27"/>
      <c r="J627" s="27"/>
      <c r="K627" s="27"/>
      <c r="L627" s="27"/>
      <c r="M627" s="27">
        <f>M628</f>
        <v>124.4</v>
      </c>
      <c r="N627" s="27">
        <f>N628</f>
        <v>0</v>
      </c>
      <c r="O627" s="27">
        <f t="shared" si="566"/>
        <v>0</v>
      </c>
    </row>
    <row r="628" spans="1:15" ht="47.25" x14ac:dyDescent="0.25">
      <c r="A628" s="26" t="s">
        <v>323</v>
      </c>
      <c r="B628" s="220">
        <v>906</v>
      </c>
      <c r="C628" s="218" t="s">
        <v>315</v>
      </c>
      <c r="D628" s="218" t="s">
        <v>169</v>
      </c>
      <c r="E628" s="218" t="s">
        <v>1007</v>
      </c>
      <c r="F628" s="218" t="s">
        <v>324</v>
      </c>
      <c r="G628" s="27"/>
      <c r="H628" s="27"/>
      <c r="I628" s="27"/>
      <c r="J628" s="27"/>
      <c r="K628" s="27"/>
      <c r="L628" s="27"/>
      <c r="M628" s="27">
        <f>M629</f>
        <v>124.4</v>
      </c>
      <c r="N628" s="27">
        <f>N629</f>
        <v>0</v>
      </c>
      <c r="O628" s="27">
        <f t="shared" si="566"/>
        <v>0</v>
      </c>
    </row>
    <row r="629" spans="1:15" ht="15.75" x14ac:dyDescent="0.25">
      <c r="A629" s="26" t="s">
        <v>325</v>
      </c>
      <c r="B629" s="220">
        <v>906</v>
      </c>
      <c r="C629" s="218" t="s">
        <v>315</v>
      </c>
      <c r="D629" s="218" t="s">
        <v>169</v>
      </c>
      <c r="E629" s="218" t="s">
        <v>1007</v>
      </c>
      <c r="F629" s="218" t="s">
        <v>326</v>
      </c>
      <c r="G629" s="27"/>
      <c r="H629" s="27"/>
      <c r="I629" s="27"/>
      <c r="J629" s="27"/>
      <c r="K629" s="27"/>
      <c r="L629" s="27"/>
      <c r="M629" s="27">
        <v>124.4</v>
      </c>
      <c r="N629" s="27">
        <v>0</v>
      </c>
      <c r="O629" s="27">
        <f t="shared" si="566"/>
        <v>0</v>
      </c>
    </row>
    <row r="630" spans="1:15" ht="31.5" hidden="1" customHeight="1" x14ac:dyDescent="0.25">
      <c r="A630" s="26" t="s">
        <v>470</v>
      </c>
      <c r="B630" s="220">
        <v>906</v>
      </c>
      <c r="C630" s="218" t="s">
        <v>315</v>
      </c>
      <c r="D630" s="218" t="s">
        <v>169</v>
      </c>
      <c r="E630" s="218" t="s">
        <v>471</v>
      </c>
      <c r="F630" s="218"/>
      <c r="G630" s="27">
        <f t="shared" ref="G630:L631" si="598">G631</f>
        <v>0</v>
      </c>
      <c r="H630" s="27">
        <f t="shared" si="598"/>
        <v>0</v>
      </c>
      <c r="I630" s="27">
        <f t="shared" si="598"/>
        <v>0</v>
      </c>
      <c r="J630" s="27">
        <f t="shared" si="598"/>
        <v>0</v>
      </c>
      <c r="K630" s="27">
        <f t="shared" si="598"/>
        <v>0</v>
      </c>
      <c r="L630" s="27">
        <f t="shared" si="598"/>
        <v>0</v>
      </c>
      <c r="M630" s="27">
        <f t="shared" ref="M630:N631" si="599">M631</f>
        <v>0</v>
      </c>
      <c r="N630" s="27">
        <f t="shared" si="599"/>
        <v>0</v>
      </c>
      <c r="O630" s="27" t="e">
        <f t="shared" si="566"/>
        <v>#DIV/0!</v>
      </c>
    </row>
    <row r="631" spans="1:15" ht="47.25" hidden="1" customHeight="1" x14ac:dyDescent="0.25">
      <c r="A631" s="26" t="s">
        <v>323</v>
      </c>
      <c r="B631" s="220">
        <v>906</v>
      </c>
      <c r="C631" s="218" t="s">
        <v>315</v>
      </c>
      <c r="D631" s="218" t="s">
        <v>169</v>
      </c>
      <c r="E631" s="218" t="s">
        <v>471</v>
      </c>
      <c r="F631" s="218" t="s">
        <v>324</v>
      </c>
      <c r="G631" s="27">
        <f t="shared" si="598"/>
        <v>0</v>
      </c>
      <c r="H631" s="27">
        <f t="shared" si="598"/>
        <v>0</v>
      </c>
      <c r="I631" s="27">
        <f t="shared" si="598"/>
        <v>0</v>
      </c>
      <c r="J631" s="27">
        <f t="shared" si="598"/>
        <v>0</v>
      </c>
      <c r="K631" s="27">
        <f t="shared" si="598"/>
        <v>0</v>
      </c>
      <c r="L631" s="27">
        <f t="shared" si="598"/>
        <v>0</v>
      </c>
      <c r="M631" s="27">
        <f t="shared" si="599"/>
        <v>0</v>
      </c>
      <c r="N631" s="27">
        <f t="shared" si="599"/>
        <v>0</v>
      </c>
      <c r="O631" s="27" t="e">
        <f t="shared" si="566"/>
        <v>#DIV/0!</v>
      </c>
    </row>
    <row r="632" spans="1:15" ht="15.75" hidden="1" customHeight="1" x14ac:dyDescent="0.25">
      <c r="A632" s="26" t="s">
        <v>325</v>
      </c>
      <c r="B632" s="220">
        <v>906</v>
      </c>
      <c r="C632" s="218" t="s">
        <v>315</v>
      </c>
      <c r="D632" s="218" t="s">
        <v>169</v>
      </c>
      <c r="E632" s="218" t="s">
        <v>471</v>
      </c>
      <c r="F632" s="218" t="s">
        <v>326</v>
      </c>
      <c r="G632" s="27"/>
      <c r="H632" s="27"/>
      <c r="I632" s="27"/>
      <c r="J632" s="27"/>
      <c r="K632" s="27"/>
      <c r="L632" s="27"/>
      <c r="M632" s="27"/>
      <c r="N632" s="27"/>
      <c r="O632" s="27" t="e">
        <f t="shared" si="566"/>
        <v>#DIV/0!</v>
      </c>
    </row>
    <row r="633" spans="1:15" ht="63" x14ac:dyDescent="0.25">
      <c r="A633" s="33" t="s">
        <v>340</v>
      </c>
      <c r="B633" s="220">
        <v>906</v>
      </c>
      <c r="C633" s="218" t="s">
        <v>315</v>
      </c>
      <c r="D633" s="218" t="s">
        <v>169</v>
      </c>
      <c r="E633" s="218" t="s">
        <v>341</v>
      </c>
      <c r="F633" s="218"/>
      <c r="G633" s="27">
        <f>G634</f>
        <v>310.2</v>
      </c>
      <c r="H633" s="27">
        <f>H634</f>
        <v>307.10000000000002</v>
      </c>
      <c r="I633" s="27">
        <f t="shared" ref="I633:L633" si="600">I634</f>
        <v>310.2</v>
      </c>
      <c r="J633" s="27">
        <f t="shared" si="600"/>
        <v>310.2</v>
      </c>
      <c r="K633" s="27">
        <f t="shared" si="600"/>
        <v>310.2</v>
      </c>
      <c r="L633" s="27">
        <f t="shared" si="600"/>
        <v>310.2</v>
      </c>
      <c r="M633" s="27">
        <f t="shared" ref="M633:N634" si="601">M634</f>
        <v>310.2</v>
      </c>
      <c r="N633" s="27">
        <f t="shared" si="601"/>
        <v>276.5</v>
      </c>
      <c r="O633" s="27">
        <f t="shared" si="566"/>
        <v>89.136041263700832</v>
      </c>
    </row>
    <row r="634" spans="1:15" ht="47.25" x14ac:dyDescent="0.25">
      <c r="A634" s="26" t="s">
        <v>323</v>
      </c>
      <c r="B634" s="220">
        <v>906</v>
      </c>
      <c r="C634" s="218" t="s">
        <v>315</v>
      </c>
      <c r="D634" s="218" t="s">
        <v>169</v>
      </c>
      <c r="E634" s="218" t="s">
        <v>341</v>
      </c>
      <c r="F634" s="218" t="s">
        <v>324</v>
      </c>
      <c r="G634" s="27">
        <f t="shared" ref="G634:L634" si="602">G635</f>
        <v>310.2</v>
      </c>
      <c r="H634" s="27">
        <f t="shared" si="602"/>
        <v>307.10000000000002</v>
      </c>
      <c r="I634" s="27">
        <f t="shared" si="602"/>
        <v>310.2</v>
      </c>
      <c r="J634" s="27">
        <f t="shared" si="602"/>
        <v>310.2</v>
      </c>
      <c r="K634" s="27">
        <f t="shared" si="602"/>
        <v>310.2</v>
      </c>
      <c r="L634" s="27">
        <f t="shared" si="602"/>
        <v>310.2</v>
      </c>
      <c r="M634" s="27">
        <f t="shared" si="601"/>
        <v>310.2</v>
      </c>
      <c r="N634" s="27">
        <f t="shared" si="601"/>
        <v>276.5</v>
      </c>
      <c r="O634" s="27">
        <f t="shared" si="566"/>
        <v>89.136041263700832</v>
      </c>
    </row>
    <row r="635" spans="1:15" ht="15.75" x14ac:dyDescent="0.25">
      <c r="A635" s="26" t="s">
        <v>325</v>
      </c>
      <c r="B635" s="220">
        <v>906</v>
      </c>
      <c r="C635" s="218" t="s">
        <v>315</v>
      </c>
      <c r="D635" s="218" t="s">
        <v>169</v>
      </c>
      <c r="E635" s="218" t="s">
        <v>341</v>
      </c>
      <c r="F635" s="218" t="s">
        <v>326</v>
      </c>
      <c r="G635" s="27">
        <f>416.2-106</f>
        <v>310.2</v>
      </c>
      <c r="H635" s="27">
        <v>307.10000000000002</v>
      </c>
      <c r="I635" s="27">
        <f t="shared" ref="I635:L635" si="603">416.2-106</f>
        <v>310.2</v>
      </c>
      <c r="J635" s="27">
        <f t="shared" si="603"/>
        <v>310.2</v>
      </c>
      <c r="K635" s="27">
        <f t="shared" si="603"/>
        <v>310.2</v>
      </c>
      <c r="L635" s="27">
        <f t="shared" si="603"/>
        <v>310.2</v>
      </c>
      <c r="M635" s="27">
        <f t="shared" ref="M635" si="604">416.2-106</f>
        <v>310.2</v>
      </c>
      <c r="N635" s="27">
        <v>276.5</v>
      </c>
      <c r="O635" s="27">
        <f t="shared" si="566"/>
        <v>89.136041263700832</v>
      </c>
    </row>
    <row r="636" spans="1:15" ht="78.75" x14ac:dyDescent="0.25">
      <c r="A636" s="33" t="s">
        <v>472</v>
      </c>
      <c r="B636" s="220">
        <v>906</v>
      </c>
      <c r="C636" s="218" t="s">
        <v>315</v>
      </c>
      <c r="D636" s="218" t="s">
        <v>169</v>
      </c>
      <c r="E636" s="218" t="s">
        <v>343</v>
      </c>
      <c r="F636" s="218"/>
      <c r="G636" s="27">
        <f t="shared" ref="G636:L637" si="605">G637</f>
        <v>1696.8</v>
      </c>
      <c r="H636" s="27">
        <f t="shared" si="605"/>
        <v>1006.1</v>
      </c>
      <c r="I636" s="27">
        <f t="shared" si="605"/>
        <v>1696.8</v>
      </c>
      <c r="J636" s="27">
        <f t="shared" si="605"/>
        <v>1696.8</v>
      </c>
      <c r="K636" s="27">
        <f t="shared" si="605"/>
        <v>1696.8</v>
      </c>
      <c r="L636" s="27">
        <f t="shared" si="605"/>
        <v>1696.8</v>
      </c>
      <c r="M636" s="27">
        <f t="shared" ref="M636:N637" si="606">M637</f>
        <v>1755.8</v>
      </c>
      <c r="N636" s="27">
        <f t="shared" si="606"/>
        <v>1141.3</v>
      </c>
      <c r="O636" s="27">
        <f t="shared" si="566"/>
        <v>65.001708622849989</v>
      </c>
    </row>
    <row r="637" spans="1:15" ht="47.25" x14ac:dyDescent="0.25">
      <c r="A637" s="26" t="s">
        <v>323</v>
      </c>
      <c r="B637" s="220">
        <v>906</v>
      </c>
      <c r="C637" s="218" t="s">
        <v>315</v>
      </c>
      <c r="D637" s="218" t="s">
        <v>169</v>
      </c>
      <c r="E637" s="218" t="s">
        <v>343</v>
      </c>
      <c r="F637" s="218" t="s">
        <v>324</v>
      </c>
      <c r="G637" s="27">
        <f>G638</f>
        <v>1696.8</v>
      </c>
      <c r="H637" s="27">
        <f>H638</f>
        <v>1006.1</v>
      </c>
      <c r="I637" s="27">
        <f t="shared" si="605"/>
        <v>1696.8</v>
      </c>
      <c r="J637" s="27">
        <f t="shared" si="605"/>
        <v>1696.8</v>
      </c>
      <c r="K637" s="27">
        <f t="shared" si="605"/>
        <v>1696.8</v>
      </c>
      <c r="L637" s="27">
        <f t="shared" si="605"/>
        <v>1696.8</v>
      </c>
      <c r="M637" s="27">
        <f t="shared" si="606"/>
        <v>1755.8</v>
      </c>
      <c r="N637" s="27">
        <f t="shared" si="606"/>
        <v>1141.3</v>
      </c>
      <c r="O637" s="27">
        <f t="shared" si="566"/>
        <v>65.001708622849989</v>
      </c>
    </row>
    <row r="638" spans="1:15" ht="15.75" x14ac:dyDescent="0.25">
      <c r="A638" s="26" t="s">
        <v>325</v>
      </c>
      <c r="B638" s="220">
        <v>906</v>
      </c>
      <c r="C638" s="218" t="s">
        <v>315</v>
      </c>
      <c r="D638" s="218" t="s">
        <v>169</v>
      </c>
      <c r="E638" s="218" t="s">
        <v>343</v>
      </c>
      <c r="F638" s="218" t="s">
        <v>326</v>
      </c>
      <c r="G638" s="27">
        <f>1900-203.2</f>
        <v>1696.8</v>
      </c>
      <c r="H638" s="27">
        <v>1006.1</v>
      </c>
      <c r="I638" s="27">
        <f t="shared" ref="I638:L638" si="607">1900-203.2</f>
        <v>1696.8</v>
      </c>
      <c r="J638" s="27">
        <f t="shared" si="607"/>
        <v>1696.8</v>
      </c>
      <c r="K638" s="27">
        <f t="shared" si="607"/>
        <v>1696.8</v>
      </c>
      <c r="L638" s="27">
        <f t="shared" si="607"/>
        <v>1696.8</v>
      </c>
      <c r="M638" s="27">
        <f>1900-203.2+59</f>
        <v>1755.8</v>
      </c>
      <c r="N638" s="27">
        <v>1141.3</v>
      </c>
      <c r="O638" s="27">
        <f t="shared" si="566"/>
        <v>65.001708622849989</v>
      </c>
    </row>
    <row r="639" spans="1:15" ht="94.5" x14ac:dyDescent="0.25">
      <c r="A639" s="33" t="s">
        <v>473</v>
      </c>
      <c r="B639" s="220">
        <v>906</v>
      </c>
      <c r="C639" s="218" t="s">
        <v>315</v>
      </c>
      <c r="D639" s="218" t="s">
        <v>169</v>
      </c>
      <c r="E639" s="218" t="s">
        <v>474</v>
      </c>
      <c r="F639" s="218"/>
      <c r="G639" s="27">
        <f>G640</f>
        <v>56320</v>
      </c>
      <c r="H639" s="27">
        <f>H640</f>
        <v>46863</v>
      </c>
      <c r="I639" s="27">
        <f t="shared" ref="I639:L639" si="608">I640</f>
        <v>56320</v>
      </c>
      <c r="J639" s="27">
        <f t="shared" si="608"/>
        <v>56320</v>
      </c>
      <c r="K639" s="27">
        <f t="shared" si="608"/>
        <v>56320</v>
      </c>
      <c r="L639" s="27">
        <f t="shared" si="608"/>
        <v>56320</v>
      </c>
      <c r="M639" s="27">
        <f t="shared" ref="M639:N640" si="609">M640</f>
        <v>64302.3</v>
      </c>
      <c r="N639" s="27">
        <f t="shared" si="609"/>
        <v>51271</v>
      </c>
      <c r="O639" s="27">
        <f t="shared" si="566"/>
        <v>79.734317434990658</v>
      </c>
    </row>
    <row r="640" spans="1:15" ht="47.25" x14ac:dyDescent="0.25">
      <c r="A640" s="26" t="s">
        <v>323</v>
      </c>
      <c r="B640" s="220">
        <v>906</v>
      </c>
      <c r="C640" s="218" t="s">
        <v>315</v>
      </c>
      <c r="D640" s="218" t="s">
        <v>169</v>
      </c>
      <c r="E640" s="218" t="s">
        <v>474</v>
      </c>
      <c r="F640" s="218" t="s">
        <v>324</v>
      </c>
      <c r="G640" s="27">
        <f t="shared" ref="G640:L640" si="610">G641</f>
        <v>56320</v>
      </c>
      <c r="H640" s="27">
        <f t="shared" si="610"/>
        <v>46863</v>
      </c>
      <c r="I640" s="27">
        <f t="shared" si="610"/>
        <v>56320</v>
      </c>
      <c r="J640" s="27">
        <f t="shared" si="610"/>
        <v>56320</v>
      </c>
      <c r="K640" s="27">
        <f t="shared" si="610"/>
        <v>56320</v>
      </c>
      <c r="L640" s="27">
        <f t="shared" si="610"/>
        <v>56320</v>
      </c>
      <c r="M640" s="27">
        <f t="shared" si="609"/>
        <v>64302.3</v>
      </c>
      <c r="N640" s="27">
        <f t="shared" si="609"/>
        <v>51271</v>
      </c>
      <c r="O640" s="27">
        <f t="shared" si="566"/>
        <v>79.734317434990658</v>
      </c>
    </row>
    <row r="641" spans="1:15" ht="15.75" x14ac:dyDescent="0.25">
      <c r="A641" s="26" t="s">
        <v>325</v>
      </c>
      <c r="B641" s="220">
        <v>906</v>
      </c>
      <c r="C641" s="218" t="s">
        <v>315</v>
      </c>
      <c r="D641" s="218" t="s">
        <v>169</v>
      </c>
      <c r="E641" s="218" t="s">
        <v>474</v>
      </c>
      <c r="F641" s="218" t="s">
        <v>326</v>
      </c>
      <c r="G641" s="28">
        <f>66162.2-7643.6-2198.6</f>
        <v>56320</v>
      </c>
      <c r="H641" s="28">
        <v>46863</v>
      </c>
      <c r="I641" s="28">
        <f t="shared" ref="I641:L641" si="611">66162.2-7643.6-2198.6</f>
        <v>56320</v>
      </c>
      <c r="J641" s="28">
        <f t="shared" si="611"/>
        <v>56320</v>
      </c>
      <c r="K641" s="28">
        <f t="shared" si="611"/>
        <v>56320</v>
      </c>
      <c r="L641" s="28">
        <f t="shared" si="611"/>
        <v>56320</v>
      </c>
      <c r="M641" s="28">
        <v>64302.3</v>
      </c>
      <c r="N641" s="28">
        <v>51271</v>
      </c>
      <c r="O641" s="27">
        <f t="shared" si="566"/>
        <v>79.734317434990658</v>
      </c>
    </row>
    <row r="642" spans="1:15" ht="110.25" x14ac:dyDescent="0.25">
      <c r="A642" s="33" t="s">
        <v>344</v>
      </c>
      <c r="B642" s="220">
        <v>906</v>
      </c>
      <c r="C642" s="218" t="s">
        <v>315</v>
      </c>
      <c r="D642" s="218" t="s">
        <v>169</v>
      </c>
      <c r="E642" s="218" t="s">
        <v>345</v>
      </c>
      <c r="F642" s="218"/>
      <c r="G642" s="27">
        <f t="shared" ref="G642:L643" si="612">G643</f>
        <v>2879</v>
      </c>
      <c r="H642" s="27">
        <f t="shared" si="612"/>
        <v>2207.8000000000002</v>
      </c>
      <c r="I642" s="27">
        <f t="shared" si="612"/>
        <v>2879</v>
      </c>
      <c r="J642" s="27">
        <f t="shared" si="612"/>
        <v>2879</v>
      </c>
      <c r="K642" s="27">
        <f t="shared" si="612"/>
        <v>2879</v>
      </c>
      <c r="L642" s="27">
        <f t="shared" si="612"/>
        <v>2879</v>
      </c>
      <c r="M642" s="27">
        <f t="shared" ref="M642:N643" si="613">M643</f>
        <v>2830</v>
      </c>
      <c r="N642" s="27">
        <f t="shared" si="613"/>
        <v>2391.4</v>
      </c>
      <c r="O642" s="27">
        <f t="shared" si="566"/>
        <v>84.5017667844523</v>
      </c>
    </row>
    <row r="643" spans="1:15" ht="47.25" x14ac:dyDescent="0.25">
      <c r="A643" s="26" t="s">
        <v>323</v>
      </c>
      <c r="B643" s="220">
        <v>906</v>
      </c>
      <c r="C643" s="218" t="s">
        <v>315</v>
      </c>
      <c r="D643" s="218" t="s">
        <v>169</v>
      </c>
      <c r="E643" s="218" t="s">
        <v>345</v>
      </c>
      <c r="F643" s="218" t="s">
        <v>324</v>
      </c>
      <c r="G643" s="27">
        <f>G644</f>
        <v>2879</v>
      </c>
      <c r="H643" s="27">
        <f>H644</f>
        <v>2207.8000000000002</v>
      </c>
      <c r="I643" s="27">
        <f t="shared" si="612"/>
        <v>2879</v>
      </c>
      <c r="J643" s="27">
        <f t="shared" si="612"/>
        <v>2879</v>
      </c>
      <c r="K643" s="27">
        <f t="shared" si="612"/>
        <v>2879</v>
      </c>
      <c r="L643" s="27">
        <f t="shared" si="612"/>
        <v>2879</v>
      </c>
      <c r="M643" s="27">
        <f t="shared" si="613"/>
        <v>2830</v>
      </c>
      <c r="N643" s="27">
        <f t="shared" si="613"/>
        <v>2391.4</v>
      </c>
      <c r="O643" s="27">
        <f t="shared" si="566"/>
        <v>84.5017667844523</v>
      </c>
    </row>
    <row r="644" spans="1:15" ht="15.75" x14ac:dyDescent="0.25">
      <c r="A644" s="26" t="s">
        <v>325</v>
      </c>
      <c r="B644" s="220">
        <v>906</v>
      </c>
      <c r="C644" s="218" t="s">
        <v>315</v>
      </c>
      <c r="D644" s="218" t="s">
        <v>169</v>
      </c>
      <c r="E644" s="218" t="s">
        <v>345</v>
      </c>
      <c r="F644" s="218" t="s">
        <v>326</v>
      </c>
      <c r="G644" s="28">
        <f>2937.2-58.2</f>
        <v>2879</v>
      </c>
      <c r="H644" s="28">
        <v>2207.8000000000002</v>
      </c>
      <c r="I644" s="28">
        <f t="shared" ref="I644:L644" si="614">2937.2-58.2</f>
        <v>2879</v>
      </c>
      <c r="J644" s="28">
        <f t="shared" si="614"/>
        <v>2879</v>
      </c>
      <c r="K644" s="28">
        <f t="shared" si="614"/>
        <v>2879</v>
      </c>
      <c r="L644" s="28">
        <f t="shared" si="614"/>
        <v>2879</v>
      </c>
      <c r="M644" s="28">
        <f>2937.2-58.2-49</f>
        <v>2830</v>
      </c>
      <c r="N644" s="28">
        <v>2391.4</v>
      </c>
      <c r="O644" s="27">
        <f t="shared" si="566"/>
        <v>84.5017667844523</v>
      </c>
    </row>
    <row r="645" spans="1:15" ht="157.5" hidden="1" customHeight="1" x14ac:dyDescent="0.25">
      <c r="A645" s="26" t="s">
        <v>475</v>
      </c>
      <c r="B645" s="220">
        <v>906</v>
      </c>
      <c r="C645" s="218" t="s">
        <v>315</v>
      </c>
      <c r="D645" s="218" t="s">
        <v>169</v>
      </c>
      <c r="E645" s="218" t="s">
        <v>476</v>
      </c>
      <c r="F645" s="218"/>
      <c r="G645" s="28">
        <f t="shared" ref="G645:L646" si="615">G646</f>
        <v>0</v>
      </c>
      <c r="H645" s="28">
        <f t="shared" si="615"/>
        <v>0</v>
      </c>
      <c r="I645" s="28">
        <f t="shared" si="615"/>
        <v>0</v>
      </c>
      <c r="J645" s="28">
        <f t="shared" si="615"/>
        <v>0</v>
      </c>
      <c r="K645" s="28">
        <f t="shared" si="615"/>
        <v>0</v>
      </c>
      <c r="L645" s="28">
        <f t="shared" si="615"/>
        <v>0</v>
      </c>
      <c r="M645" s="28">
        <f t="shared" ref="M645:N646" si="616">M646</f>
        <v>0</v>
      </c>
      <c r="N645" s="28">
        <f t="shared" si="616"/>
        <v>0</v>
      </c>
      <c r="O645" s="27" t="e">
        <f t="shared" si="566"/>
        <v>#DIV/0!</v>
      </c>
    </row>
    <row r="646" spans="1:15" ht="47.25" hidden="1" customHeight="1" x14ac:dyDescent="0.25">
      <c r="A646" s="26" t="s">
        <v>323</v>
      </c>
      <c r="B646" s="220">
        <v>906</v>
      </c>
      <c r="C646" s="218" t="s">
        <v>315</v>
      </c>
      <c r="D646" s="218" t="s">
        <v>169</v>
      </c>
      <c r="E646" s="218" t="s">
        <v>476</v>
      </c>
      <c r="F646" s="218" t="s">
        <v>324</v>
      </c>
      <c r="G646" s="28">
        <f t="shared" si="615"/>
        <v>0</v>
      </c>
      <c r="H646" s="28">
        <f t="shared" si="615"/>
        <v>0</v>
      </c>
      <c r="I646" s="28">
        <f t="shared" si="615"/>
        <v>0</v>
      </c>
      <c r="J646" s="28">
        <f t="shared" si="615"/>
        <v>0</v>
      </c>
      <c r="K646" s="28">
        <f t="shared" si="615"/>
        <v>0</v>
      </c>
      <c r="L646" s="28">
        <f t="shared" si="615"/>
        <v>0</v>
      </c>
      <c r="M646" s="28">
        <f t="shared" si="616"/>
        <v>0</v>
      </c>
      <c r="N646" s="28">
        <f t="shared" si="616"/>
        <v>0</v>
      </c>
      <c r="O646" s="27" t="e">
        <f t="shared" si="566"/>
        <v>#DIV/0!</v>
      </c>
    </row>
    <row r="647" spans="1:15" ht="15.75" hidden="1" customHeight="1" x14ac:dyDescent="0.25">
      <c r="A647" s="26" t="s">
        <v>325</v>
      </c>
      <c r="B647" s="220">
        <v>906</v>
      </c>
      <c r="C647" s="218" t="s">
        <v>315</v>
      </c>
      <c r="D647" s="218" t="s">
        <v>169</v>
      </c>
      <c r="E647" s="218" t="s">
        <v>476</v>
      </c>
      <c r="F647" s="218" t="s">
        <v>326</v>
      </c>
      <c r="G647" s="28">
        <f>276.5-276.5</f>
        <v>0</v>
      </c>
      <c r="H647" s="28">
        <f>276.5-276.5</f>
        <v>0</v>
      </c>
      <c r="I647" s="28">
        <f t="shared" ref="I647:L647" si="617">276.5-276.5</f>
        <v>0</v>
      </c>
      <c r="J647" s="28">
        <f t="shared" si="617"/>
        <v>0</v>
      </c>
      <c r="K647" s="28">
        <f t="shared" si="617"/>
        <v>0</v>
      </c>
      <c r="L647" s="28">
        <f t="shared" si="617"/>
        <v>0</v>
      </c>
      <c r="M647" s="28">
        <f t="shared" ref="M647:N647" si="618">276.5-276.5</f>
        <v>0</v>
      </c>
      <c r="N647" s="28">
        <f t="shared" si="618"/>
        <v>0</v>
      </c>
      <c r="O647" s="27" t="e">
        <f t="shared" si="566"/>
        <v>#DIV/0!</v>
      </c>
    </row>
    <row r="648" spans="1:15" ht="15.75" x14ac:dyDescent="0.25">
      <c r="A648" s="24" t="s">
        <v>477</v>
      </c>
      <c r="B648" s="217">
        <v>906</v>
      </c>
      <c r="C648" s="219" t="s">
        <v>315</v>
      </c>
      <c r="D648" s="219" t="s">
        <v>264</v>
      </c>
      <c r="E648" s="219"/>
      <c r="F648" s="219"/>
      <c r="G648" s="22">
        <f>G649+G685</f>
        <v>130684.4</v>
      </c>
      <c r="H648" s="22">
        <f t="shared" ref="H648:L648" si="619">H649+H685</f>
        <v>101157.87999999999</v>
      </c>
      <c r="I648" s="22">
        <f t="shared" si="619"/>
        <v>129899.26666666666</v>
      </c>
      <c r="J648" s="22">
        <f t="shared" si="619"/>
        <v>135586.4</v>
      </c>
      <c r="K648" s="22">
        <f t="shared" si="619"/>
        <v>132510.29999999999</v>
      </c>
      <c r="L648" s="22">
        <f t="shared" si="619"/>
        <v>131125.70000000001</v>
      </c>
      <c r="M648" s="22">
        <f t="shared" ref="M648:N648" si="620">M649+M685</f>
        <v>136721.09999999998</v>
      </c>
      <c r="N648" s="22">
        <f t="shared" si="620"/>
        <v>108214.00000000003</v>
      </c>
      <c r="O648" s="22">
        <f t="shared" si="566"/>
        <v>79.149450962580062</v>
      </c>
    </row>
    <row r="649" spans="1:15" ht="47.25" x14ac:dyDescent="0.25">
      <c r="A649" s="26" t="s">
        <v>478</v>
      </c>
      <c r="B649" s="220">
        <v>906</v>
      </c>
      <c r="C649" s="218" t="s">
        <v>315</v>
      </c>
      <c r="D649" s="218" t="s">
        <v>264</v>
      </c>
      <c r="E649" s="218" t="s">
        <v>458</v>
      </c>
      <c r="F649" s="218"/>
      <c r="G649" s="27">
        <f>G650+G654</f>
        <v>40826.6</v>
      </c>
      <c r="H649" s="27">
        <f>H650+H654</f>
        <v>27971.7</v>
      </c>
      <c r="I649" s="27">
        <f t="shared" ref="I649:L649" si="621">I650+I654</f>
        <v>40041.466666666667</v>
      </c>
      <c r="J649" s="27">
        <f t="shared" si="621"/>
        <v>45728.6</v>
      </c>
      <c r="K649" s="27">
        <f t="shared" si="621"/>
        <v>42652.5</v>
      </c>
      <c r="L649" s="27">
        <f t="shared" si="621"/>
        <v>41267.9</v>
      </c>
      <c r="M649" s="27">
        <f t="shared" ref="M649:N649" si="622">M650+M654</f>
        <v>37506.199999999997</v>
      </c>
      <c r="N649" s="27">
        <f t="shared" si="622"/>
        <v>28536.6</v>
      </c>
      <c r="O649" s="27">
        <f t="shared" si="566"/>
        <v>76.08502060992582</v>
      </c>
    </row>
    <row r="650" spans="1:15" ht="37.5" customHeight="1" x14ac:dyDescent="0.25">
      <c r="A650" s="26" t="s">
        <v>459</v>
      </c>
      <c r="B650" s="220">
        <v>906</v>
      </c>
      <c r="C650" s="218" t="s">
        <v>315</v>
      </c>
      <c r="D650" s="218" t="s">
        <v>264</v>
      </c>
      <c r="E650" s="218" t="s">
        <v>460</v>
      </c>
      <c r="F650" s="218"/>
      <c r="G650" s="27">
        <f>G651</f>
        <v>34151.199999999997</v>
      </c>
      <c r="H650" s="27">
        <f>H651</f>
        <v>24800</v>
      </c>
      <c r="I650" s="27">
        <f t="shared" ref="I650:L650" si="623">I651</f>
        <v>33366.1</v>
      </c>
      <c r="J650" s="27">
        <f t="shared" si="623"/>
        <v>29080.799999999999</v>
      </c>
      <c r="K650" s="27">
        <f t="shared" si="623"/>
        <v>30905.8</v>
      </c>
      <c r="L650" s="27">
        <f t="shared" si="623"/>
        <v>32021.200000000001</v>
      </c>
      <c r="M650" s="27">
        <f t="shared" ref="M650:N652" si="624">M651</f>
        <v>30890.3</v>
      </c>
      <c r="N650" s="27">
        <f t="shared" si="624"/>
        <v>23114</v>
      </c>
      <c r="O650" s="27">
        <f t="shared" si="566"/>
        <v>74.826078089238365</v>
      </c>
    </row>
    <row r="651" spans="1:15" ht="47.25" x14ac:dyDescent="0.25">
      <c r="A651" s="26" t="s">
        <v>479</v>
      </c>
      <c r="B651" s="220">
        <v>906</v>
      </c>
      <c r="C651" s="218" t="s">
        <v>315</v>
      </c>
      <c r="D651" s="218" t="s">
        <v>264</v>
      </c>
      <c r="E651" s="218" t="s">
        <v>480</v>
      </c>
      <c r="F651" s="218"/>
      <c r="G651" s="27">
        <f t="shared" ref="G651:L652" si="625">G652</f>
        <v>34151.199999999997</v>
      </c>
      <c r="H651" s="27">
        <f t="shared" si="625"/>
        <v>24800</v>
      </c>
      <c r="I651" s="27">
        <f t="shared" si="625"/>
        <v>33366.1</v>
      </c>
      <c r="J651" s="27">
        <f t="shared" si="625"/>
        <v>29080.799999999999</v>
      </c>
      <c r="K651" s="27">
        <f t="shared" si="625"/>
        <v>30905.8</v>
      </c>
      <c r="L651" s="27">
        <f t="shared" si="625"/>
        <v>32021.200000000001</v>
      </c>
      <c r="M651" s="27">
        <f t="shared" si="624"/>
        <v>30890.3</v>
      </c>
      <c r="N651" s="27">
        <f t="shared" si="624"/>
        <v>23114</v>
      </c>
      <c r="O651" s="27">
        <f t="shared" si="566"/>
        <v>74.826078089238365</v>
      </c>
    </row>
    <row r="652" spans="1:15" ht="47.25" x14ac:dyDescent="0.25">
      <c r="A652" s="26" t="s">
        <v>323</v>
      </c>
      <c r="B652" s="220">
        <v>906</v>
      </c>
      <c r="C652" s="218" t="s">
        <v>315</v>
      </c>
      <c r="D652" s="218" t="s">
        <v>264</v>
      </c>
      <c r="E652" s="218" t="s">
        <v>480</v>
      </c>
      <c r="F652" s="218" t="s">
        <v>324</v>
      </c>
      <c r="G652" s="27">
        <f>G653</f>
        <v>34151.199999999997</v>
      </c>
      <c r="H652" s="27">
        <f>H653</f>
        <v>24800</v>
      </c>
      <c r="I652" s="27">
        <f t="shared" si="625"/>
        <v>33366.1</v>
      </c>
      <c r="J652" s="27">
        <f t="shared" si="625"/>
        <v>29080.799999999999</v>
      </c>
      <c r="K652" s="27">
        <f t="shared" si="625"/>
        <v>30905.8</v>
      </c>
      <c r="L652" s="27">
        <f t="shared" si="625"/>
        <v>32021.200000000001</v>
      </c>
      <c r="M652" s="27">
        <f t="shared" si="624"/>
        <v>30890.3</v>
      </c>
      <c r="N652" s="27">
        <f t="shared" si="624"/>
        <v>23114</v>
      </c>
      <c r="O652" s="27">
        <f t="shared" ref="O652:O715" si="626">N652/M652*100</f>
        <v>74.826078089238365</v>
      </c>
    </row>
    <row r="653" spans="1:15" ht="15.75" x14ac:dyDescent="0.25">
      <c r="A653" s="26" t="s">
        <v>325</v>
      </c>
      <c r="B653" s="220">
        <v>906</v>
      </c>
      <c r="C653" s="218" t="s">
        <v>315</v>
      </c>
      <c r="D653" s="218" t="s">
        <v>264</v>
      </c>
      <c r="E653" s="218" t="s">
        <v>480</v>
      </c>
      <c r="F653" s="218" t="s">
        <v>326</v>
      </c>
      <c r="G653" s="28">
        <f>21817.5+13206.2-481.7+562.6-953.4</f>
        <v>34151.199999999997</v>
      </c>
      <c r="H653" s="28">
        <v>24800</v>
      </c>
      <c r="I653" s="28">
        <v>33366.1</v>
      </c>
      <c r="J653" s="28">
        <v>29080.799999999999</v>
      </c>
      <c r="K653" s="28">
        <v>30905.8</v>
      </c>
      <c r="L653" s="28">
        <v>32021.200000000001</v>
      </c>
      <c r="M653" s="28">
        <f>31613.6-723.3-107-107+107+107</f>
        <v>30890.3</v>
      </c>
      <c r="N653" s="28">
        <v>23114</v>
      </c>
      <c r="O653" s="27">
        <f t="shared" si="626"/>
        <v>74.826078089238365</v>
      </c>
    </row>
    <row r="654" spans="1:15" ht="36" customHeight="1" x14ac:dyDescent="0.25">
      <c r="A654" s="26" t="s">
        <v>482</v>
      </c>
      <c r="B654" s="220">
        <v>906</v>
      </c>
      <c r="C654" s="218" t="s">
        <v>315</v>
      </c>
      <c r="D654" s="218" t="s">
        <v>264</v>
      </c>
      <c r="E654" s="218" t="s">
        <v>483</v>
      </c>
      <c r="F654" s="218"/>
      <c r="G654" s="27">
        <f>G660+G676+G673+G679+G670+G655+G661+G664+G667+G682</f>
        <v>6675.4</v>
      </c>
      <c r="H654" s="27">
        <f t="shared" ref="H654:L654" si="627">H660+H676+H673+H679+H670+H655+H661+H664+H667+H682</f>
        <v>3171.7</v>
      </c>
      <c r="I654" s="27">
        <f t="shared" si="627"/>
        <v>6675.3666666666668</v>
      </c>
      <c r="J654" s="27">
        <f t="shared" si="627"/>
        <v>16647.8</v>
      </c>
      <c r="K654" s="27">
        <f t="shared" si="627"/>
        <v>11746.7</v>
      </c>
      <c r="L654" s="27">
        <f t="shared" si="627"/>
        <v>9246.7000000000007</v>
      </c>
      <c r="M654" s="27">
        <f>M660+M676+M673+M679+M670+M655+M661+M664+M667+M682</f>
        <v>6615.9</v>
      </c>
      <c r="N654" s="27">
        <f>N660+N676+N673+N679+N670+N655+N661+N664+N667+N682</f>
        <v>5422.6</v>
      </c>
      <c r="O654" s="27">
        <f t="shared" si="626"/>
        <v>81.963149382548124</v>
      </c>
    </row>
    <row r="655" spans="1:15" ht="63" hidden="1" customHeight="1" x14ac:dyDescent="0.25">
      <c r="A655" s="26" t="s">
        <v>484</v>
      </c>
      <c r="B655" s="220">
        <v>906</v>
      </c>
      <c r="C655" s="218" t="s">
        <v>315</v>
      </c>
      <c r="D655" s="218" t="s">
        <v>264</v>
      </c>
      <c r="E655" s="218" t="s">
        <v>485</v>
      </c>
      <c r="F655" s="218"/>
      <c r="G655" s="27">
        <f t="shared" ref="G655:L656" si="628">G656</f>
        <v>0</v>
      </c>
      <c r="H655" s="27"/>
      <c r="I655" s="27">
        <f t="shared" si="628"/>
        <v>0</v>
      </c>
      <c r="J655" s="27">
        <f t="shared" si="628"/>
        <v>0</v>
      </c>
      <c r="K655" s="27">
        <f t="shared" si="628"/>
        <v>0</v>
      </c>
      <c r="L655" s="27">
        <f t="shared" si="628"/>
        <v>0</v>
      </c>
      <c r="M655" s="27">
        <f t="shared" ref="M655:N656" si="629">M656</f>
        <v>0</v>
      </c>
      <c r="N655" s="27">
        <f t="shared" si="629"/>
        <v>0</v>
      </c>
      <c r="O655" s="27" t="e">
        <f t="shared" si="626"/>
        <v>#DIV/0!</v>
      </c>
    </row>
    <row r="656" spans="1:15" ht="47.25" hidden="1" customHeight="1" x14ac:dyDescent="0.25">
      <c r="A656" s="26" t="s">
        <v>323</v>
      </c>
      <c r="B656" s="220">
        <v>906</v>
      </c>
      <c r="C656" s="218" t="s">
        <v>315</v>
      </c>
      <c r="D656" s="218" t="s">
        <v>264</v>
      </c>
      <c r="E656" s="218" t="s">
        <v>485</v>
      </c>
      <c r="F656" s="218" t="s">
        <v>324</v>
      </c>
      <c r="G656" s="27">
        <f t="shared" si="628"/>
        <v>0</v>
      </c>
      <c r="H656" s="27"/>
      <c r="I656" s="27">
        <f t="shared" si="628"/>
        <v>0</v>
      </c>
      <c r="J656" s="27">
        <f t="shared" si="628"/>
        <v>0</v>
      </c>
      <c r="K656" s="27">
        <f t="shared" si="628"/>
        <v>0</v>
      </c>
      <c r="L656" s="27">
        <f t="shared" si="628"/>
        <v>0</v>
      </c>
      <c r="M656" s="27">
        <f t="shared" si="629"/>
        <v>0</v>
      </c>
      <c r="N656" s="27">
        <f t="shared" si="629"/>
        <v>0</v>
      </c>
      <c r="O656" s="27" t="e">
        <f t="shared" si="626"/>
        <v>#DIV/0!</v>
      </c>
    </row>
    <row r="657" spans="1:15" ht="15.75" hidden="1" customHeight="1" x14ac:dyDescent="0.25">
      <c r="A657" s="26" t="s">
        <v>325</v>
      </c>
      <c r="B657" s="220">
        <v>906</v>
      </c>
      <c r="C657" s="218" t="s">
        <v>315</v>
      </c>
      <c r="D657" s="218" t="s">
        <v>264</v>
      </c>
      <c r="E657" s="218" t="s">
        <v>485</v>
      </c>
      <c r="F657" s="218" t="s">
        <v>326</v>
      </c>
      <c r="G657" s="27">
        <v>0</v>
      </c>
      <c r="H657" s="27"/>
      <c r="I657" s="27">
        <v>0</v>
      </c>
      <c r="J657" s="27">
        <v>0</v>
      </c>
      <c r="K657" s="27">
        <v>0</v>
      </c>
      <c r="L657" s="27">
        <v>0</v>
      </c>
      <c r="M657" s="27">
        <v>0</v>
      </c>
      <c r="N657" s="27">
        <v>0</v>
      </c>
      <c r="O657" s="27" t="e">
        <f t="shared" si="626"/>
        <v>#DIV/0!</v>
      </c>
    </row>
    <row r="658" spans="1:15" ht="48.75" hidden="1" customHeight="1" x14ac:dyDescent="0.25">
      <c r="A658" s="26" t="s">
        <v>486</v>
      </c>
      <c r="B658" s="220">
        <v>906</v>
      </c>
      <c r="C658" s="218" t="s">
        <v>315</v>
      </c>
      <c r="D658" s="218" t="s">
        <v>264</v>
      </c>
      <c r="E658" s="218" t="s">
        <v>487</v>
      </c>
      <c r="F658" s="218"/>
      <c r="G658" s="27">
        <f t="shared" ref="G658:L659" si="630">G659</f>
        <v>0</v>
      </c>
      <c r="H658" s="27"/>
      <c r="I658" s="27">
        <f t="shared" si="630"/>
        <v>0</v>
      </c>
      <c r="J658" s="27">
        <f t="shared" si="630"/>
        <v>0</v>
      </c>
      <c r="K658" s="27">
        <f t="shared" si="630"/>
        <v>0</v>
      </c>
      <c r="L658" s="27">
        <f t="shared" si="630"/>
        <v>0</v>
      </c>
      <c r="M658" s="27">
        <f t="shared" ref="M658:N659" si="631">M659</f>
        <v>0</v>
      </c>
      <c r="N658" s="27">
        <f t="shared" si="631"/>
        <v>0</v>
      </c>
      <c r="O658" s="27" t="e">
        <f t="shared" si="626"/>
        <v>#DIV/0!</v>
      </c>
    </row>
    <row r="659" spans="1:15" ht="47.25" hidden="1" customHeight="1" x14ac:dyDescent="0.25">
      <c r="A659" s="26" t="s">
        <v>323</v>
      </c>
      <c r="B659" s="220">
        <v>906</v>
      </c>
      <c r="C659" s="218" t="s">
        <v>315</v>
      </c>
      <c r="D659" s="218" t="s">
        <v>264</v>
      </c>
      <c r="E659" s="218" t="s">
        <v>487</v>
      </c>
      <c r="F659" s="218" t="s">
        <v>324</v>
      </c>
      <c r="G659" s="27">
        <f t="shared" si="630"/>
        <v>0</v>
      </c>
      <c r="H659" s="27"/>
      <c r="I659" s="27">
        <f t="shared" si="630"/>
        <v>0</v>
      </c>
      <c r="J659" s="27">
        <f t="shared" si="630"/>
        <v>0</v>
      </c>
      <c r="K659" s="27">
        <f t="shared" si="630"/>
        <v>0</v>
      </c>
      <c r="L659" s="27">
        <f t="shared" si="630"/>
        <v>0</v>
      </c>
      <c r="M659" s="27">
        <f t="shared" si="631"/>
        <v>0</v>
      </c>
      <c r="N659" s="27">
        <f t="shared" si="631"/>
        <v>0</v>
      </c>
      <c r="O659" s="27" t="e">
        <f t="shared" si="626"/>
        <v>#DIV/0!</v>
      </c>
    </row>
    <row r="660" spans="1:15" ht="15.75" hidden="1" customHeight="1" x14ac:dyDescent="0.25">
      <c r="A660" s="26" t="s">
        <v>325</v>
      </c>
      <c r="B660" s="220">
        <v>906</v>
      </c>
      <c r="C660" s="218" t="s">
        <v>315</v>
      </c>
      <c r="D660" s="218" t="s">
        <v>264</v>
      </c>
      <c r="E660" s="218" t="s">
        <v>487</v>
      </c>
      <c r="F660" s="218" t="s">
        <v>326</v>
      </c>
      <c r="G660" s="27">
        <v>0</v>
      </c>
      <c r="H660" s="27"/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 t="e">
        <f t="shared" si="626"/>
        <v>#DIV/0!</v>
      </c>
    </row>
    <row r="661" spans="1:15" ht="50.25" customHeight="1" x14ac:dyDescent="0.25">
      <c r="A661" s="26" t="s">
        <v>488</v>
      </c>
      <c r="B661" s="220">
        <v>906</v>
      </c>
      <c r="C661" s="218" t="s">
        <v>315</v>
      </c>
      <c r="D661" s="218" t="s">
        <v>264</v>
      </c>
      <c r="E661" s="218" t="s">
        <v>489</v>
      </c>
      <c r="F661" s="218"/>
      <c r="G661" s="27">
        <f>G662</f>
        <v>2690</v>
      </c>
      <c r="H661" s="27">
        <f>H662</f>
        <v>1655</v>
      </c>
      <c r="I661" s="27">
        <f t="shared" ref="I661:L661" si="632">I662</f>
        <v>2206.6666666666665</v>
      </c>
      <c r="J661" s="27">
        <f t="shared" si="632"/>
        <v>2967.9</v>
      </c>
      <c r="K661" s="27">
        <f t="shared" si="632"/>
        <v>2967.9</v>
      </c>
      <c r="L661" s="27">
        <f t="shared" si="632"/>
        <v>2967.9</v>
      </c>
      <c r="M661" s="27">
        <f t="shared" ref="M661:N662" si="633">M662</f>
        <v>2967.9</v>
      </c>
      <c r="N661" s="27">
        <f t="shared" si="633"/>
        <v>1918.6</v>
      </c>
      <c r="O661" s="27">
        <f t="shared" si="626"/>
        <v>64.64503521008119</v>
      </c>
    </row>
    <row r="662" spans="1:15" ht="47.25" x14ac:dyDescent="0.25">
      <c r="A662" s="26" t="s">
        <v>323</v>
      </c>
      <c r="B662" s="220">
        <v>906</v>
      </c>
      <c r="C662" s="218" t="s">
        <v>315</v>
      </c>
      <c r="D662" s="218" t="s">
        <v>264</v>
      </c>
      <c r="E662" s="218" t="s">
        <v>489</v>
      </c>
      <c r="F662" s="218" t="s">
        <v>324</v>
      </c>
      <c r="G662" s="27">
        <f t="shared" ref="G662:L662" si="634">G663</f>
        <v>2690</v>
      </c>
      <c r="H662" s="27">
        <f t="shared" si="634"/>
        <v>1655</v>
      </c>
      <c r="I662" s="27">
        <f t="shared" si="634"/>
        <v>2206.6666666666665</v>
      </c>
      <c r="J662" s="27">
        <f t="shared" si="634"/>
        <v>2967.9</v>
      </c>
      <c r="K662" s="27">
        <f t="shared" si="634"/>
        <v>2967.9</v>
      </c>
      <c r="L662" s="27">
        <f t="shared" si="634"/>
        <v>2967.9</v>
      </c>
      <c r="M662" s="27">
        <f t="shared" si="633"/>
        <v>2967.9</v>
      </c>
      <c r="N662" s="27">
        <f t="shared" si="633"/>
        <v>1918.6</v>
      </c>
      <c r="O662" s="27">
        <f t="shared" si="626"/>
        <v>64.64503521008119</v>
      </c>
    </row>
    <row r="663" spans="1:15" ht="15.75" x14ac:dyDescent="0.25">
      <c r="A663" s="26" t="s">
        <v>325</v>
      </c>
      <c r="B663" s="220">
        <v>906</v>
      </c>
      <c r="C663" s="218" t="s">
        <v>315</v>
      </c>
      <c r="D663" s="218" t="s">
        <v>264</v>
      </c>
      <c r="E663" s="218" t="s">
        <v>489</v>
      </c>
      <c r="F663" s="218" t="s">
        <v>326</v>
      </c>
      <c r="G663" s="28">
        <f>3010-320</f>
        <v>2690</v>
      </c>
      <c r="H663" s="28">
        <v>1655</v>
      </c>
      <c r="I663" s="28">
        <f>H663/9*12</f>
        <v>2206.6666666666665</v>
      </c>
      <c r="J663" s="28">
        <f>3287.9-J666</f>
        <v>2967.9</v>
      </c>
      <c r="K663" s="28">
        <f>J663</f>
        <v>2967.9</v>
      </c>
      <c r="L663" s="28">
        <f>K663</f>
        <v>2967.9</v>
      </c>
      <c r="M663" s="28">
        <v>2967.9</v>
      </c>
      <c r="N663" s="28">
        <v>1918.6</v>
      </c>
      <c r="O663" s="27">
        <f t="shared" si="626"/>
        <v>64.64503521008119</v>
      </c>
    </row>
    <row r="664" spans="1:15" ht="63" x14ac:dyDescent="0.25">
      <c r="A664" s="26" t="s">
        <v>490</v>
      </c>
      <c r="B664" s="220">
        <v>906</v>
      </c>
      <c r="C664" s="218" t="s">
        <v>315</v>
      </c>
      <c r="D664" s="218" t="s">
        <v>264</v>
      </c>
      <c r="E664" s="218" t="s">
        <v>491</v>
      </c>
      <c r="F664" s="218"/>
      <c r="G664" s="27">
        <f t="shared" ref="G664:L665" si="635">G665</f>
        <v>320</v>
      </c>
      <c r="H664" s="27">
        <f t="shared" si="635"/>
        <v>320</v>
      </c>
      <c r="I664" s="27">
        <f t="shared" si="635"/>
        <v>803.3</v>
      </c>
      <c r="J664" s="27">
        <f t="shared" si="635"/>
        <v>320</v>
      </c>
      <c r="K664" s="27">
        <f t="shared" si="635"/>
        <v>320</v>
      </c>
      <c r="L664" s="27">
        <f t="shared" si="635"/>
        <v>320</v>
      </c>
      <c r="M664" s="27">
        <f t="shared" ref="M664:N665" si="636">M665</f>
        <v>320</v>
      </c>
      <c r="N664" s="27">
        <f t="shared" si="636"/>
        <v>285.3</v>
      </c>
      <c r="O664" s="27">
        <f t="shared" si="626"/>
        <v>89.15625</v>
      </c>
    </row>
    <row r="665" spans="1:15" ht="47.25" x14ac:dyDescent="0.25">
      <c r="A665" s="26" t="s">
        <v>323</v>
      </c>
      <c r="B665" s="220">
        <v>906</v>
      </c>
      <c r="C665" s="218" t="s">
        <v>315</v>
      </c>
      <c r="D665" s="218" t="s">
        <v>264</v>
      </c>
      <c r="E665" s="218" t="s">
        <v>491</v>
      </c>
      <c r="F665" s="218" t="s">
        <v>324</v>
      </c>
      <c r="G665" s="27">
        <f>G666</f>
        <v>320</v>
      </c>
      <c r="H665" s="27">
        <f>H666</f>
        <v>320</v>
      </c>
      <c r="I665" s="27">
        <f t="shared" si="635"/>
        <v>803.3</v>
      </c>
      <c r="J665" s="27">
        <f t="shared" si="635"/>
        <v>320</v>
      </c>
      <c r="K665" s="27">
        <f t="shared" si="635"/>
        <v>320</v>
      </c>
      <c r="L665" s="27">
        <f t="shared" si="635"/>
        <v>320</v>
      </c>
      <c r="M665" s="27">
        <f t="shared" si="636"/>
        <v>320</v>
      </c>
      <c r="N665" s="27">
        <f t="shared" si="636"/>
        <v>285.3</v>
      </c>
      <c r="O665" s="27">
        <f t="shared" si="626"/>
        <v>89.15625</v>
      </c>
    </row>
    <row r="666" spans="1:15" ht="15.75" x14ac:dyDescent="0.25">
      <c r="A666" s="26" t="s">
        <v>325</v>
      </c>
      <c r="B666" s="220">
        <v>906</v>
      </c>
      <c r="C666" s="218" t="s">
        <v>315</v>
      </c>
      <c r="D666" s="218" t="s">
        <v>264</v>
      </c>
      <c r="E666" s="218" t="s">
        <v>491</v>
      </c>
      <c r="F666" s="218" t="s">
        <v>326</v>
      </c>
      <c r="G666" s="27">
        <v>320</v>
      </c>
      <c r="H666" s="27">
        <v>320</v>
      </c>
      <c r="I666" s="27">
        <f>320+483.3</f>
        <v>803.3</v>
      </c>
      <c r="J666" s="27">
        <v>320</v>
      </c>
      <c r="K666" s="27">
        <v>320</v>
      </c>
      <c r="L666" s="27">
        <v>320</v>
      </c>
      <c r="M666" s="27">
        <v>320</v>
      </c>
      <c r="N666" s="27">
        <v>285.3</v>
      </c>
      <c r="O666" s="27">
        <f t="shared" si="626"/>
        <v>89.15625</v>
      </c>
    </row>
    <row r="667" spans="1:15" ht="47.25" customHeight="1" x14ac:dyDescent="0.25">
      <c r="A667" s="26" t="s">
        <v>492</v>
      </c>
      <c r="B667" s="220">
        <v>906</v>
      </c>
      <c r="C667" s="218" t="s">
        <v>315</v>
      </c>
      <c r="D667" s="218" t="s">
        <v>264</v>
      </c>
      <c r="E667" s="218" t="s">
        <v>493</v>
      </c>
      <c r="F667" s="218"/>
      <c r="G667" s="27">
        <f t="shared" ref="G667:L668" si="637">G668</f>
        <v>0</v>
      </c>
      <c r="H667" s="27">
        <f t="shared" si="637"/>
        <v>0</v>
      </c>
      <c r="I667" s="27">
        <f t="shared" si="637"/>
        <v>0</v>
      </c>
      <c r="J667" s="27">
        <f t="shared" si="637"/>
        <v>0</v>
      </c>
      <c r="K667" s="27">
        <f t="shared" si="637"/>
        <v>0</v>
      </c>
      <c r="L667" s="27">
        <f t="shared" si="637"/>
        <v>0</v>
      </c>
      <c r="M667" s="27">
        <f>M668</f>
        <v>107</v>
      </c>
      <c r="N667" s="27">
        <f>N668</f>
        <v>107</v>
      </c>
      <c r="O667" s="27">
        <f t="shared" si="626"/>
        <v>100</v>
      </c>
    </row>
    <row r="668" spans="1:15" ht="47.25" customHeight="1" x14ac:dyDescent="0.25">
      <c r="A668" s="26" t="s">
        <v>323</v>
      </c>
      <c r="B668" s="220">
        <v>906</v>
      </c>
      <c r="C668" s="218" t="s">
        <v>315</v>
      </c>
      <c r="D668" s="218" t="s">
        <v>264</v>
      </c>
      <c r="E668" s="218" t="s">
        <v>493</v>
      </c>
      <c r="F668" s="218" t="s">
        <v>324</v>
      </c>
      <c r="G668" s="27">
        <f t="shared" si="637"/>
        <v>0</v>
      </c>
      <c r="H668" s="27">
        <f t="shared" si="637"/>
        <v>0</v>
      </c>
      <c r="I668" s="27">
        <f t="shared" si="637"/>
        <v>0</v>
      </c>
      <c r="J668" s="27">
        <f t="shared" si="637"/>
        <v>0</v>
      </c>
      <c r="K668" s="27">
        <f t="shared" si="637"/>
        <v>0</v>
      </c>
      <c r="L668" s="27">
        <f t="shared" si="637"/>
        <v>0</v>
      </c>
      <c r="M668" s="27">
        <f>M669</f>
        <v>107</v>
      </c>
      <c r="N668" s="27">
        <f>N669</f>
        <v>107</v>
      </c>
      <c r="O668" s="27">
        <f t="shared" si="626"/>
        <v>100</v>
      </c>
    </row>
    <row r="669" spans="1:15" ht="15.75" customHeight="1" x14ac:dyDescent="0.25">
      <c r="A669" s="26" t="s">
        <v>325</v>
      </c>
      <c r="B669" s="220">
        <v>906</v>
      </c>
      <c r="C669" s="218" t="s">
        <v>315</v>
      </c>
      <c r="D669" s="218" t="s">
        <v>264</v>
      </c>
      <c r="E669" s="218" t="s">
        <v>493</v>
      </c>
      <c r="F669" s="218" t="s">
        <v>326</v>
      </c>
      <c r="G669" s="27">
        <v>0</v>
      </c>
      <c r="H669" s="27">
        <v>0</v>
      </c>
      <c r="I669" s="27">
        <v>0</v>
      </c>
      <c r="J669" s="27">
        <v>0</v>
      </c>
      <c r="K669" s="27">
        <v>0</v>
      </c>
      <c r="L669" s="27">
        <v>0</v>
      </c>
      <c r="M669" s="27">
        <f>72+35+107+107-107-107</f>
        <v>107</v>
      </c>
      <c r="N669" s="27">
        <v>107</v>
      </c>
      <c r="O669" s="27">
        <f t="shared" si="626"/>
        <v>100</v>
      </c>
    </row>
    <row r="670" spans="1:15" ht="47.25" x14ac:dyDescent="0.25">
      <c r="A670" s="26" t="s">
        <v>329</v>
      </c>
      <c r="B670" s="220">
        <v>906</v>
      </c>
      <c r="C670" s="218" t="s">
        <v>315</v>
      </c>
      <c r="D670" s="218" t="s">
        <v>264</v>
      </c>
      <c r="E670" s="218" t="s">
        <v>494</v>
      </c>
      <c r="F670" s="218"/>
      <c r="G670" s="27">
        <f t="shared" ref="G670:L671" si="638">G671</f>
        <v>3309</v>
      </c>
      <c r="H670" s="27">
        <f t="shared" si="638"/>
        <v>841</v>
      </c>
      <c r="I670" s="27">
        <f t="shared" si="638"/>
        <v>3309</v>
      </c>
      <c r="J670" s="27">
        <f t="shared" si="638"/>
        <v>8601.1</v>
      </c>
      <c r="K670" s="27">
        <f t="shared" si="638"/>
        <v>4500</v>
      </c>
      <c r="L670" s="27">
        <f t="shared" si="638"/>
        <v>2000</v>
      </c>
      <c r="M670" s="27">
        <f t="shared" ref="M670:N671" si="639">M671</f>
        <v>300</v>
      </c>
      <c r="N670" s="27">
        <f t="shared" si="639"/>
        <v>200</v>
      </c>
      <c r="O670" s="27">
        <f t="shared" si="626"/>
        <v>66.666666666666657</v>
      </c>
    </row>
    <row r="671" spans="1:15" ht="47.25" x14ac:dyDescent="0.25">
      <c r="A671" s="26" t="s">
        <v>323</v>
      </c>
      <c r="B671" s="220">
        <v>906</v>
      </c>
      <c r="C671" s="218" t="s">
        <v>315</v>
      </c>
      <c r="D671" s="218" t="s">
        <v>264</v>
      </c>
      <c r="E671" s="218" t="s">
        <v>494</v>
      </c>
      <c r="F671" s="218" t="s">
        <v>324</v>
      </c>
      <c r="G671" s="27">
        <f t="shared" si="638"/>
        <v>3309</v>
      </c>
      <c r="H671" s="27">
        <f t="shared" si="638"/>
        <v>841</v>
      </c>
      <c r="I671" s="27">
        <f t="shared" si="638"/>
        <v>3309</v>
      </c>
      <c r="J671" s="27">
        <f t="shared" si="638"/>
        <v>8601.1</v>
      </c>
      <c r="K671" s="27">
        <f t="shared" si="638"/>
        <v>4500</v>
      </c>
      <c r="L671" s="27">
        <f t="shared" si="638"/>
        <v>2000</v>
      </c>
      <c r="M671" s="27">
        <f t="shared" si="639"/>
        <v>300</v>
      </c>
      <c r="N671" s="27">
        <f t="shared" si="639"/>
        <v>200</v>
      </c>
      <c r="O671" s="27">
        <f t="shared" si="626"/>
        <v>66.666666666666657</v>
      </c>
    </row>
    <row r="672" spans="1:15" ht="15.75" x14ac:dyDescent="0.25">
      <c r="A672" s="26" t="s">
        <v>325</v>
      </c>
      <c r="B672" s="220">
        <v>906</v>
      </c>
      <c r="C672" s="218" t="s">
        <v>315</v>
      </c>
      <c r="D672" s="218" t="s">
        <v>264</v>
      </c>
      <c r="E672" s="218" t="s">
        <v>494</v>
      </c>
      <c r="F672" s="218" t="s">
        <v>326</v>
      </c>
      <c r="G672" s="27">
        <f>341+2968</f>
        <v>3309</v>
      </c>
      <c r="H672" s="27">
        <v>841</v>
      </c>
      <c r="I672" s="27">
        <f t="shared" ref="I672" si="640">341+2968</f>
        <v>3309</v>
      </c>
      <c r="J672" s="27">
        <v>8601.1</v>
      </c>
      <c r="K672" s="27">
        <v>4500</v>
      </c>
      <c r="L672" s="27">
        <v>2000</v>
      </c>
      <c r="M672" s="27">
        <f>300+100-100</f>
        <v>300</v>
      </c>
      <c r="N672" s="27">
        <v>200</v>
      </c>
      <c r="O672" s="27">
        <f t="shared" si="626"/>
        <v>66.666666666666657</v>
      </c>
    </row>
    <row r="673" spans="1:15" ht="31.5" hidden="1" customHeight="1" x14ac:dyDescent="0.25">
      <c r="A673" s="26" t="s">
        <v>331</v>
      </c>
      <c r="B673" s="220">
        <v>906</v>
      </c>
      <c r="C673" s="218" t="s">
        <v>315</v>
      </c>
      <c r="D673" s="218" t="s">
        <v>264</v>
      </c>
      <c r="E673" s="218" t="s">
        <v>495</v>
      </c>
      <c r="F673" s="218"/>
      <c r="G673" s="27">
        <f t="shared" ref="G673:L674" si="641">G674</f>
        <v>0</v>
      </c>
      <c r="H673" s="27">
        <v>0</v>
      </c>
      <c r="I673" s="27">
        <f t="shared" si="641"/>
        <v>0</v>
      </c>
      <c r="J673" s="27">
        <f t="shared" si="641"/>
        <v>1000</v>
      </c>
      <c r="K673" s="27">
        <f t="shared" si="641"/>
        <v>700</v>
      </c>
      <c r="L673" s="27">
        <f t="shared" si="641"/>
        <v>700</v>
      </c>
      <c r="M673" s="27">
        <f t="shared" ref="M673:N674" si="642">M674</f>
        <v>0</v>
      </c>
      <c r="N673" s="27">
        <f t="shared" si="642"/>
        <v>0</v>
      </c>
      <c r="O673" s="27" t="e">
        <f t="shared" si="626"/>
        <v>#DIV/0!</v>
      </c>
    </row>
    <row r="674" spans="1:15" ht="47.25" hidden="1" customHeight="1" x14ac:dyDescent="0.25">
      <c r="A674" s="26" t="s">
        <v>323</v>
      </c>
      <c r="B674" s="220">
        <v>906</v>
      </c>
      <c r="C674" s="218" t="s">
        <v>315</v>
      </c>
      <c r="D674" s="218" t="s">
        <v>264</v>
      </c>
      <c r="E674" s="218" t="s">
        <v>495</v>
      </c>
      <c r="F674" s="218" t="s">
        <v>324</v>
      </c>
      <c r="G674" s="27">
        <f t="shared" si="641"/>
        <v>0</v>
      </c>
      <c r="H674" s="27">
        <v>0</v>
      </c>
      <c r="I674" s="27">
        <f t="shared" si="641"/>
        <v>0</v>
      </c>
      <c r="J674" s="27">
        <f t="shared" si="641"/>
        <v>1000</v>
      </c>
      <c r="K674" s="27">
        <f t="shared" si="641"/>
        <v>700</v>
      </c>
      <c r="L674" s="27">
        <f t="shared" si="641"/>
        <v>700</v>
      </c>
      <c r="M674" s="27">
        <f t="shared" si="642"/>
        <v>0</v>
      </c>
      <c r="N674" s="27">
        <f t="shared" si="642"/>
        <v>0</v>
      </c>
      <c r="O674" s="27" t="e">
        <f t="shared" si="626"/>
        <v>#DIV/0!</v>
      </c>
    </row>
    <row r="675" spans="1:15" ht="15.75" hidden="1" customHeight="1" x14ac:dyDescent="0.25">
      <c r="A675" s="26" t="s">
        <v>325</v>
      </c>
      <c r="B675" s="220">
        <v>906</v>
      </c>
      <c r="C675" s="218" t="s">
        <v>315</v>
      </c>
      <c r="D675" s="218" t="s">
        <v>264</v>
      </c>
      <c r="E675" s="218" t="s">
        <v>495</v>
      </c>
      <c r="F675" s="218" t="s">
        <v>326</v>
      </c>
      <c r="G675" s="27">
        <v>0</v>
      </c>
      <c r="H675" s="27">
        <v>0</v>
      </c>
      <c r="I675" s="27">
        <v>0</v>
      </c>
      <c r="J675" s="27">
        <v>1000</v>
      </c>
      <c r="K675" s="27">
        <v>700</v>
      </c>
      <c r="L675" s="27">
        <v>700</v>
      </c>
      <c r="M675" s="27">
        <v>0</v>
      </c>
      <c r="N675" s="27">
        <v>0</v>
      </c>
      <c r="O675" s="27" t="e">
        <f t="shared" si="626"/>
        <v>#DIV/0!</v>
      </c>
    </row>
    <row r="676" spans="1:15" ht="47.25" x14ac:dyDescent="0.25">
      <c r="A676" s="26" t="s">
        <v>333</v>
      </c>
      <c r="B676" s="220">
        <v>906</v>
      </c>
      <c r="C676" s="218" t="s">
        <v>315</v>
      </c>
      <c r="D676" s="218" t="s">
        <v>264</v>
      </c>
      <c r="E676" s="218" t="s">
        <v>496</v>
      </c>
      <c r="F676" s="218"/>
      <c r="G676" s="27">
        <f>G677</f>
        <v>127</v>
      </c>
      <c r="H676" s="27">
        <f>H677</f>
        <v>126.3</v>
      </c>
      <c r="I676" s="27">
        <f t="shared" ref="I676:L676" si="643">I677</f>
        <v>127</v>
      </c>
      <c r="J676" s="27">
        <f t="shared" si="643"/>
        <v>214.8</v>
      </c>
      <c r="K676" s="27">
        <f t="shared" si="643"/>
        <v>214.8</v>
      </c>
      <c r="L676" s="27">
        <f t="shared" si="643"/>
        <v>214.8</v>
      </c>
      <c r="M676" s="27">
        <f t="shared" ref="M676:N677" si="644">M677</f>
        <v>127</v>
      </c>
      <c r="N676" s="27">
        <f t="shared" si="644"/>
        <v>117.7</v>
      </c>
      <c r="O676" s="27">
        <f t="shared" si="626"/>
        <v>92.677165354330711</v>
      </c>
    </row>
    <row r="677" spans="1:15" ht="47.25" x14ac:dyDescent="0.25">
      <c r="A677" s="26" t="s">
        <v>323</v>
      </c>
      <c r="B677" s="220">
        <v>906</v>
      </c>
      <c r="C677" s="218" t="s">
        <v>315</v>
      </c>
      <c r="D677" s="218" t="s">
        <v>264</v>
      </c>
      <c r="E677" s="218" t="s">
        <v>496</v>
      </c>
      <c r="F677" s="218" t="s">
        <v>324</v>
      </c>
      <c r="G677" s="27">
        <f t="shared" ref="G677:L677" si="645">G678</f>
        <v>127</v>
      </c>
      <c r="H677" s="27">
        <f t="shared" si="645"/>
        <v>126.3</v>
      </c>
      <c r="I677" s="27">
        <f t="shared" si="645"/>
        <v>127</v>
      </c>
      <c r="J677" s="27">
        <f t="shared" si="645"/>
        <v>214.8</v>
      </c>
      <c r="K677" s="27">
        <f t="shared" si="645"/>
        <v>214.8</v>
      </c>
      <c r="L677" s="27">
        <f t="shared" si="645"/>
        <v>214.8</v>
      </c>
      <c r="M677" s="27">
        <f t="shared" si="644"/>
        <v>127</v>
      </c>
      <c r="N677" s="27">
        <f t="shared" si="644"/>
        <v>117.7</v>
      </c>
      <c r="O677" s="27">
        <f t="shared" si="626"/>
        <v>92.677165354330711</v>
      </c>
    </row>
    <row r="678" spans="1:15" ht="15.75" x14ac:dyDescent="0.25">
      <c r="A678" s="26" t="s">
        <v>325</v>
      </c>
      <c r="B678" s="220">
        <v>906</v>
      </c>
      <c r="C678" s="218" t="s">
        <v>315</v>
      </c>
      <c r="D678" s="218" t="s">
        <v>264</v>
      </c>
      <c r="E678" s="218" t="s">
        <v>496</v>
      </c>
      <c r="F678" s="218" t="s">
        <v>326</v>
      </c>
      <c r="G678" s="27">
        <v>127</v>
      </c>
      <c r="H678" s="27">
        <v>126.3</v>
      </c>
      <c r="I678" s="27">
        <v>127</v>
      </c>
      <c r="J678" s="27">
        <v>214.8</v>
      </c>
      <c r="K678" s="27">
        <v>214.8</v>
      </c>
      <c r="L678" s="27">
        <v>214.8</v>
      </c>
      <c r="M678" s="27">
        <f>127-72+72</f>
        <v>127</v>
      </c>
      <c r="N678" s="27">
        <v>117.7</v>
      </c>
      <c r="O678" s="27">
        <f t="shared" si="626"/>
        <v>92.677165354330711</v>
      </c>
    </row>
    <row r="679" spans="1:15" ht="31.5" hidden="1" x14ac:dyDescent="0.25">
      <c r="A679" s="26" t="s">
        <v>335</v>
      </c>
      <c r="B679" s="220">
        <v>906</v>
      </c>
      <c r="C679" s="218" t="s">
        <v>315</v>
      </c>
      <c r="D679" s="218" t="s">
        <v>264</v>
      </c>
      <c r="E679" s="218" t="s">
        <v>497</v>
      </c>
      <c r="F679" s="218"/>
      <c r="G679" s="27">
        <f t="shared" ref="G679:L680" si="646">G680</f>
        <v>229.4</v>
      </c>
      <c r="H679" s="27">
        <f t="shared" si="646"/>
        <v>229.4</v>
      </c>
      <c r="I679" s="27">
        <f t="shared" si="646"/>
        <v>229.4</v>
      </c>
      <c r="J679" s="27">
        <f t="shared" si="646"/>
        <v>750</v>
      </c>
      <c r="K679" s="27">
        <f t="shared" si="646"/>
        <v>250</v>
      </c>
      <c r="L679" s="27">
        <f t="shared" si="646"/>
        <v>250</v>
      </c>
      <c r="M679" s="27">
        <f t="shared" ref="M679:N680" si="647">M680</f>
        <v>0</v>
      </c>
      <c r="N679" s="27">
        <f t="shared" si="647"/>
        <v>0</v>
      </c>
      <c r="O679" s="27" t="e">
        <f t="shared" si="626"/>
        <v>#DIV/0!</v>
      </c>
    </row>
    <row r="680" spans="1:15" ht="47.25" hidden="1" x14ac:dyDescent="0.25">
      <c r="A680" s="26" t="s">
        <v>323</v>
      </c>
      <c r="B680" s="220">
        <v>906</v>
      </c>
      <c r="C680" s="218" t="s">
        <v>315</v>
      </c>
      <c r="D680" s="218" t="s">
        <v>264</v>
      </c>
      <c r="E680" s="218" t="s">
        <v>497</v>
      </c>
      <c r="F680" s="218" t="s">
        <v>324</v>
      </c>
      <c r="G680" s="27">
        <f t="shared" si="646"/>
        <v>229.4</v>
      </c>
      <c r="H680" s="27">
        <f t="shared" si="646"/>
        <v>229.4</v>
      </c>
      <c r="I680" s="27">
        <f t="shared" si="646"/>
        <v>229.4</v>
      </c>
      <c r="J680" s="27">
        <f t="shared" si="646"/>
        <v>750</v>
      </c>
      <c r="K680" s="27">
        <f t="shared" si="646"/>
        <v>250</v>
      </c>
      <c r="L680" s="27">
        <f t="shared" si="646"/>
        <v>250</v>
      </c>
      <c r="M680" s="27">
        <f t="shared" si="647"/>
        <v>0</v>
      </c>
      <c r="N680" s="27">
        <f t="shared" si="647"/>
        <v>0</v>
      </c>
      <c r="O680" s="27" t="e">
        <f t="shared" si="626"/>
        <v>#DIV/0!</v>
      </c>
    </row>
    <row r="681" spans="1:15" ht="15.75" hidden="1" x14ac:dyDescent="0.25">
      <c r="A681" s="26" t="s">
        <v>325</v>
      </c>
      <c r="B681" s="220">
        <v>906</v>
      </c>
      <c r="C681" s="218" t="s">
        <v>315</v>
      </c>
      <c r="D681" s="218" t="s">
        <v>264</v>
      </c>
      <c r="E681" s="218" t="s">
        <v>497</v>
      </c>
      <c r="F681" s="218" t="s">
        <v>326</v>
      </c>
      <c r="G681" s="27">
        <v>229.4</v>
      </c>
      <c r="H681" s="27">
        <v>229.4</v>
      </c>
      <c r="I681" s="27">
        <v>229.4</v>
      </c>
      <c r="J681" s="27">
        <v>750</v>
      </c>
      <c r="K681" s="27">
        <v>250</v>
      </c>
      <c r="L681" s="27">
        <v>250</v>
      </c>
      <c r="M681" s="27">
        <v>0</v>
      </c>
      <c r="N681" s="27">
        <v>0</v>
      </c>
      <c r="O681" s="27" t="e">
        <f t="shared" si="626"/>
        <v>#DIV/0!</v>
      </c>
    </row>
    <row r="682" spans="1:15" ht="47.25" x14ac:dyDescent="0.25">
      <c r="A682" s="70" t="s">
        <v>861</v>
      </c>
      <c r="B682" s="220">
        <v>906</v>
      </c>
      <c r="C682" s="218" t="s">
        <v>315</v>
      </c>
      <c r="D682" s="218" t="s">
        <v>264</v>
      </c>
      <c r="E682" s="218" t="s">
        <v>863</v>
      </c>
      <c r="F682" s="218"/>
      <c r="G682" s="27">
        <f>G683</f>
        <v>0</v>
      </c>
      <c r="H682" s="27">
        <v>0</v>
      </c>
      <c r="I682" s="27">
        <f t="shared" ref="I682:L683" si="648">I683</f>
        <v>0</v>
      </c>
      <c r="J682" s="27">
        <f t="shared" si="648"/>
        <v>2794</v>
      </c>
      <c r="K682" s="27">
        <f t="shared" si="648"/>
        <v>2794</v>
      </c>
      <c r="L682" s="27">
        <f t="shared" si="648"/>
        <v>2794</v>
      </c>
      <c r="M682" s="27">
        <f t="shared" ref="M682:N683" si="649">M683</f>
        <v>2794</v>
      </c>
      <c r="N682" s="27">
        <f t="shared" si="649"/>
        <v>2794</v>
      </c>
      <c r="O682" s="27">
        <f t="shared" si="626"/>
        <v>100</v>
      </c>
    </row>
    <row r="683" spans="1:15" ht="47.25" x14ac:dyDescent="0.25">
      <c r="A683" s="31" t="s">
        <v>323</v>
      </c>
      <c r="B683" s="220">
        <v>906</v>
      </c>
      <c r="C683" s="218" t="s">
        <v>315</v>
      </c>
      <c r="D683" s="218" t="s">
        <v>264</v>
      </c>
      <c r="E683" s="218" t="s">
        <v>863</v>
      </c>
      <c r="F683" s="218" t="s">
        <v>324</v>
      </c>
      <c r="G683" s="27">
        <f>G684</f>
        <v>0</v>
      </c>
      <c r="H683" s="27">
        <v>0</v>
      </c>
      <c r="I683" s="27">
        <f t="shared" si="648"/>
        <v>0</v>
      </c>
      <c r="J683" s="27">
        <f t="shared" si="648"/>
        <v>2794</v>
      </c>
      <c r="K683" s="27">
        <f t="shared" si="648"/>
        <v>2794</v>
      </c>
      <c r="L683" s="27">
        <f t="shared" si="648"/>
        <v>2794</v>
      </c>
      <c r="M683" s="27">
        <f t="shared" si="649"/>
        <v>2794</v>
      </c>
      <c r="N683" s="27">
        <f t="shared" si="649"/>
        <v>2794</v>
      </c>
      <c r="O683" s="27">
        <f t="shared" si="626"/>
        <v>100</v>
      </c>
    </row>
    <row r="684" spans="1:15" ht="15.75" x14ac:dyDescent="0.25">
      <c r="A684" s="262" t="s">
        <v>325</v>
      </c>
      <c r="B684" s="220">
        <v>906</v>
      </c>
      <c r="C684" s="218" t="s">
        <v>315</v>
      </c>
      <c r="D684" s="218" t="s">
        <v>264</v>
      </c>
      <c r="E684" s="218" t="s">
        <v>863</v>
      </c>
      <c r="F684" s="218" t="s">
        <v>326</v>
      </c>
      <c r="G684" s="27">
        <v>0</v>
      </c>
      <c r="H684" s="27">
        <v>0</v>
      </c>
      <c r="I684" s="27">
        <v>0</v>
      </c>
      <c r="J684" s="27">
        <v>2794</v>
      </c>
      <c r="K684" s="27">
        <v>2794</v>
      </c>
      <c r="L684" s="27">
        <v>2794</v>
      </c>
      <c r="M684" s="27">
        <f>2794-100+100</f>
        <v>2794</v>
      </c>
      <c r="N684" s="27">
        <v>2794</v>
      </c>
      <c r="O684" s="27">
        <f t="shared" si="626"/>
        <v>100</v>
      </c>
    </row>
    <row r="685" spans="1:15" ht="15.75" x14ac:dyDescent="0.25">
      <c r="A685" s="26" t="s">
        <v>172</v>
      </c>
      <c r="B685" s="220">
        <v>906</v>
      </c>
      <c r="C685" s="218" t="s">
        <v>315</v>
      </c>
      <c r="D685" s="218" t="s">
        <v>264</v>
      </c>
      <c r="E685" s="218" t="s">
        <v>173</v>
      </c>
      <c r="F685" s="218"/>
      <c r="G685" s="27">
        <f t="shared" ref="G685:L685" si="650">G686</f>
        <v>89857.8</v>
      </c>
      <c r="H685" s="27">
        <f t="shared" si="650"/>
        <v>73186.179999999993</v>
      </c>
      <c r="I685" s="27">
        <f t="shared" si="650"/>
        <v>89857.8</v>
      </c>
      <c r="J685" s="27">
        <f t="shared" si="650"/>
        <v>89857.8</v>
      </c>
      <c r="K685" s="27">
        <f t="shared" si="650"/>
        <v>89857.8</v>
      </c>
      <c r="L685" s="27">
        <f t="shared" si="650"/>
        <v>89857.8</v>
      </c>
      <c r="M685" s="27">
        <f t="shared" ref="M685:N685" si="651">M686</f>
        <v>99214.9</v>
      </c>
      <c r="N685" s="27">
        <f t="shared" si="651"/>
        <v>79677.400000000023</v>
      </c>
      <c r="O685" s="27">
        <f t="shared" si="626"/>
        <v>80.307897301715798</v>
      </c>
    </row>
    <row r="686" spans="1:15" ht="31.5" x14ac:dyDescent="0.25">
      <c r="A686" s="26" t="s">
        <v>236</v>
      </c>
      <c r="B686" s="220">
        <v>906</v>
      </c>
      <c r="C686" s="218" t="s">
        <v>315</v>
      </c>
      <c r="D686" s="218" t="s">
        <v>264</v>
      </c>
      <c r="E686" s="218" t="s">
        <v>237</v>
      </c>
      <c r="F686" s="218"/>
      <c r="G686" s="27">
        <f>G693+G696+G702+G705+G708+G711+G687+G690+G714+G699</f>
        <v>89857.8</v>
      </c>
      <c r="H686" s="27">
        <f>H693+H696+H702+H705+H708+H711+H687+H690+H714+H699</f>
        <v>73186.179999999993</v>
      </c>
      <c r="I686" s="27">
        <f t="shared" ref="I686:L686" si="652">I693+I696+I702+I705+I708+I711+I687+I690+I714+I699</f>
        <v>89857.8</v>
      </c>
      <c r="J686" s="27">
        <f t="shared" si="652"/>
        <v>89857.8</v>
      </c>
      <c r="K686" s="27">
        <f t="shared" si="652"/>
        <v>89857.8</v>
      </c>
      <c r="L686" s="27">
        <f t="shared" si="652"/>
        <v>89857.8</v>
      </c>
      <c r="M686" s="27">
        <f t="shared" ref="M686:N686" si="653">M693+M696+M702+M705+M708+M711+M687+M690+M714+M699</f>
        <v>99214.9</v>
      </c>
      <c r="N686" s="27">
        <f t="shared" si="653"/>
        <v>79677.400000000023</v>
      </c>
      <c r="O686" s="27">
        <f t="shared" si="626"/>
        <v>80.307897301715798</v>
      </c>
    </row>
    <row r="687" spans="1:15" ht="47.25" hidden="1" customHeight="1" x14ac:dyDescent="0.25">
      <c r="A687" s="26" t="s">
        <v>502</v>
      </c>
      <c r="B687" s="220">
        <v>906</v>
      </c>
      <c r="C687" s="218" t="s">
        <v>315</v>
      </c>
      <c r="D687" s="218" t="s">
        <v>264</v>
      </c>
      <c r="E687" s="218" t="s">
        <v>503</v>
      </c>
      <c r="F687" s="218"/>
      <c r="G687" s="27">
        <f t="shared" ref="G687:L688" si="654">G688</f>
        <v>0</v>
      </c>
      <c r="H687" s="27">
        <f t="shared" si="654"/>
        <v>0</v>
      </c>
      <c r="I687" s="27">
        <f t="shared" si="654"/>
        <v>0</v>
      </c>
      <c r="J687" s="27">
        <f t="shared" si="654"/>
        <v>0</v>
      </c>
      <c r="K687" s="27">
        <f t="shared" si="654"/>
        <v>0</v>
      </c>
      <c r="L687" s="27">
        <f t="shared" si="654"/>
        <v>0</v>
      </c>
      <c r="M687" s="27">
        <f t="shared" ref="M687:N688" si="655">M688</f>
        <v>0</v>
      </c>
      <c r="N687" s="27">
        <f t="shared" si="655"/>
        <v>0</v>
      </c>
      <c r="O687" s="27" t="e">
        <f t="shared" si="626"/>
        <v>#DIV/0!</v>
      </c>
    </row>
    <row r="688" spans="1:15" ht="47.25" hidden="1" customHeight="1" x14ac:dyDescent="0.25">
      <c r="A688" s="26" t="s">
        <v>323</v>
      </c>
      <c r="B688" s="220">
        <v>906</v>
      </c>
      <c r="C688" s="218" t="s">
        <v>315</v>
      </c>
      <c r="D688" s="218" t="s">
        <v>264</v>
      </c>
      <c r="E688" s="218" t="s">
        <v>503</v>
      </c>
      <c r="F688" s="218" t="s">
        <v>324</v>
      </c>
      <c r="G688" s="27">
        <f t="shared" si="654"/>
        <v>0</v>
      </c>
      <c r="H688" s="27">
        <f t="shared" si="654"/>
        <v>0</v>
      </c>
      <c r="I688" s="27">
        <f t="shared" si="654"/>
        <v>0</v>
      </c>
      <c r="J688" s="27">
        <f t="shared" si="654"/>
        <v>0</v>
      </c>
      <c r="K688" s="27">
        <f t="shared" si="654"/>
        <v>0</v>
      </c>
      <c r="L688" s="27">
        <f t="shared" si="654"/>
        <v>0</v>
      </c>
      <c r="M688" s="27">
        <f t="shared" si="655"/>
        <v>0</v>
      </c>
      <c r="N688" s="27">
        <f t="shared" si="655"/>
        <v>0</v>
      </c>
      <c r="O688" s="27" t="e">
        <f t="shared" si="626"/>
        <v>#DIV/0!</v>
      </c>
    </row>
    <row r="689" spans="1:15" ht="15.75" hidden="1" customHeight="1" x14ac:dyDescent="0.25">
      <c r="A689" s="26" t="s">
        <v>325</v>
      </c>
      <c r="B689" s="220">
        <v>906</v>
      </c>
      <c r="C689" s="218" t="s">
        <v>315</v>
      </c>
      <c r="D689" s="218" t="s">
        <v>264</v>
      </c>
      <c r="E689" s="218" t="s">
        <v>503</v>
      </c>
      <c r="F689" s="218" t="s">
        <v>326</v>
      </c>
      <c r="G689" s="27">
        <v>0</v>
      </c>
      <c r="H689" s="27">
        <v>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 t="e">
        <f t="shared" si="626"/>
        <v>#DIV/0!</v>
      </c>
    </row>
    <row r="690" spans="1:15" ht="15.75" hidden="1" customHeight="1" x14ac:dyDescent="0.25">
      <c r="A690" s="26" t="s">
        <v>504</v>
      </c>
      <c r="B690" s="220">
        <v>906</v>
      </c>
      <c r="C690" s="218" t="s">
        <v>315</v>
      </c>
      <c r="D690" s="218" t="s">
        <v>264</v>
      </c>
      <c r="E690" s="218" t="s">
        <v>505</v>
      </c>
      <c r="F690" s="218"/>
      <c r="G690" s="27">
        <f t="shared" ref="G690:L691" si="656">G691</f>
        <v>0</v>
      </c>
      <c r="H690" s="27">
        <f t="shared" si="656"/>
        <v>0</v>
      </c>
      <c r="I690" s="27">
        <f t="shared" si="656"/>
        <v>0</v>
      </c>
      <c r="J690" s="27">
        <f t="shared" si="656"/>
        <v>0</v>
      </c>
      <c r="K690" s="27">
        <f t="shared" si="656"/>
        <v>0</v>
      </c>
      <c r="L690" s="27">
        <f t="shared" si="656"/>
        <v>0</v>
      </c>
      <c r="M690" s="27">
        <f t="shared" ref="M690:N691" si="657">M691</f>
        <v>0</v>
      </c>
      <c r="N690" s="27">
        <f t="shared" si="657"/>
        <v>0</v>
      </c>
      <c r="O690" s="27" t="e">
        <f t="shared" si="626"/>
        <v>#DIV/0!</v>
      </c>
    </row>
    <row r="691" spans="1:15" ht="47.25" hidden="1" customHeight="1" x14ac:dyDescent="0.25">
      <c r="A691" s="26" t="s">
        <v>323</v>
      </c>
      <c r="B691" s="220">
        <v>906</v>
      </c>
      <c r="C691" s="218" t="s">
        <v>315</v>
      </c>
      <c r="D691" s="218" t="s">
        <v>264</v>
      </c>
      <c r="E691" s="218" t="s">
        <v>505</v>
      </c>
      <c r="F691" s="218" t="s">
        <v>324</v>
      </c>
      <c r="G691" s="27">
        <f t="shared" si="656"/>
        <v>0</v>
      </c>
      <c r="H691" s="27">
        <f t="shared" si="656"/>
        <v>0</v>
      </c>
      <c r="I691" s="27">
        <f t="shared" si="656"/>
        <v>0</v>
      </c>
      <c r="J691" s="27">
        <f t="shared" si="656"/>
        <v>0</v>
      </c>
      <c r="K691" s="27">
        <f t="shared" si="656"/>
        <v>0</v>
      </c>
      <c r="L691" s="27">
        <f t="shared" si="656"/>
        <v>0</v>
      </c>
      <c r="M691" s="27">
        <f t="shared" si="657"/>
        <v>0</v>
      </c>
      <c r="N691" s="27">
        <f t="shared" si="657"/>
        <v>0</v>
      </c>
      <c r="O691" s="27" t="e">
        <f t="shared" si="626"/>
        <v>#DIV/0!</v>
      </c>
    </row>
    <row r="692" spans="1:15" ht="15.75" hidden="1" customHeight="1" x14ac:dyDescent="0.25">
      <c r="A692" s="26" t="s">
        <v>325</v>
      </c>
      <c r="B692" s="220">
        <v>906</v>
      </c>
      <c r="C692" s="218" t="s">
        <v>315</v>
      </c>
      <c r="D692" s="218" t="s">
        <v>264</v>
      </c>
      <c r="E692" s="218" t="s">
        <v>505</v>
      </c>
      <c r="F692" s="218" t="s">
        <v>326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7" t="e">
        <f t="shared" si="626"/>
        <v>#DIV/0!</v>
      </c>
    </row>
    <row r="693" spans="1:15" ht="31.5" hidden="1" customHeight="1" x14ac:dyDescent="0.25">
      <c r="A693" s="26" t="s">
        <v>506</v>
      </c>
      <c r="B693" s="220">
        <v>906</v>
      </c>
      <c r="C693" s="218" t="s">
        <v>315</v>
      </c>
      <c r="D693" s="218" t="s">
        <v>264</v>
      </c>
      <c r="E693" s="218" t="s">
        <v>507</v>
      </c>
      <c r="F693" s="218"/>
      <c r="G693" s="27">
        <f t="shared" ref="G693:L694" si="658">G694</f>
        <v>0</v>
      </c>
      <c r="H693" s="27">
        <f t="shared" si="658"/>
        <v>0</v>
      </c>
      <c r="I693" s="27">
        <f t="shared" si="658"/>
        <v>0</v>
      </c>
      <c r="J693" s="27">
        <f t="shared" si="658"/>
        <v>0</v>
      </c>
      <c r="K693" s="27">
        <f t="shared" si="658"/>
        <v>0</v>
      </c>
      <c r="L693" s="27">
        <f t="shared" si="658"/>
        <v>0</v>
      </c>
      <c r="M693" s="27">
        <f t="shared" ref="M693:N694" si="659">M694</f>
        <v>0</v>
      </c>
      <c r="N693" s="27">
        <f t="shared" si="659"/>
        <v>0</v>
      </c>
      <c r="O693" s="27" t="e">
        <f t="shared" si="626"/>
        <v>#DIV/0!</v>
      </c>
    </row>
    <row r="694" spans="1:15" ht="47.25" hidden="1" customHeight="1" x14ac:dyDescent="0.25">
      <c r="A694" s="26" t="s">
        <v>323</v>
      </c>
      <c r="B694" s="220">
        <v>906</v>
      </c>
      <c r="C694" s="218" t="s">
        <v>315</v>
      </c>
      <c r="D694" s="218" t="s">
        <v>264</v>
      </c>
      <c r="E694" s="218" t="s">
        <v>507</v>
      </c>
      <c r="F694" s="218" t="s">
        <v>324</v>
      </c>
      <c r="G694" s="27">
        <f t="shared" si="658"/>
        <v>0</v>
      </c>
      <c r="H694" s="27">
        <f t="shared" si="658"/>
        <v>0</v>
      </c>
      <c r="I694" s="27">
        <f t="shared" si="658"/>
        <v>0</v>
      </c>
      <c r="J694" s="27">
        <f t="shared" si="658"/>
        <v>0</v>
      </c>
      <c r="K694" s="27">
        <f t="shared" si="658"/>
        <v>0</v>
      </c>
      <c r="L694" s="27">
        <f t="shared" si="658"/>
        <v>0</v>
      </c>
      <c r="M694" s="27">
        <f t="shared" si="659"/>
        <v>0</v>
      </c>
      <c r="N694" s="27">
        <f t="shared" si="659"/>
        <v>0</v>
      </c>
      <c r="O694" s="27" t="e">
        <f t="shared" si="626"/>
        <v>#DIV/0!</v>
      </c>
    </row>
    <row r="695" spans="1:15" ht="15.75" hidden="1" customHeight="1" x14ac:dyDescent="0.25">
      <c r="A695" s="26" t="s">
        <v>325</v>
      </c>
      <c r="B695" s="220">
        <v>906</v>
      </c>
      <c r="C695" s="218" t="s">
        <v>315</v>
      </c>
      <c r="D695" s="218" t="s">
        <v>264</v>
      </c>
      <c r="E695" s="218" t="s">
        <v>507</v>
      </c>
      <c r="F695" s="218" t="s">
        <v>326</v>
      </c>
      <c r="G695" s="27">
        <f>157.3-157.3</f>
        <v>0</v>
      </c>
      <c r="H695" s="27">
        <f>157.3-157.3</f>
        <v>0</v>
      </c>
      <c r="I695" s="27">
        <f t="shared" ref="I695:L695" si="660">157.3-157.3</f>
        <v>0</v>
      </c>
      <c r="J695" s="27">
        <f t="shared" si="660"/>
        <v>0</v>
      </c>
      <c r="K695" s="27">
        <f t="shared" si="660"/>
        <v>0</v>
      </c>
      <c r="L695" s="27">
        <f t="shared" si="660"/>
        <v>0</v>
      </c>
      <c r="M695" s="27">
        <f t="shared" ref="M695:N695" si="661">157.3-157.3</f>
        <v>0</v>
      </c>
      <c r="N695" s="27">
        <f t="shared" si="661"/>
        <v>0</v>
      </c>
      <c r="O695" s="27" t="e">
        <f t="shared" si="626"/>
        <v>#DIV/0!</v>
      </c>
    </row>
    <row r="696" spans="1:15" ht="31.5" x14ac:dyDescent="0.25">
      <c r="A696" s="26" t="s">
        <v>508</v>
      </c>
      <c r="B696" s="220">
        <v>906</v>
      </c>
      <c r="C696" s="218" t="s">
        <v>315</v>
      </c>
      <c r="D696" s="218" t="s">
        <v>264</v>
      </c>
      <c r="E696" s="218" t="s">
        <v>509</v>
      </c>
      <c r="F696" s="218"/>
      <c r="G696" s="27">
        <f t="shared" ref="G696:L697" si="662">G697</f>
        <v>1293.5999999999999</v>
      </c>
      <c r="H696" s="27">
        <f t="shared" si="662"/>
        <v>580</v>
      </c>
      <c r="I696" s="27">
        <f t="shared" si="662"/>
        <v>1293.5999999999999</v>
      </c>
      <c r="J696" s="27">
        <f t="shared" si="662"/>
        <v>1293.5999999999999</v>
      </c>
      <c r="K696" s="27">
        <f t="shared" si="662"/>
        <v>1293.5999999999999</v>
      </c>
      <c r="L696" s="27">
        <f t="shared" si="662"/>
        <v>1293.5999999999999</v>
      </c>
      <c r="M696" s="27">
        <f t="shared" ref="M696:N697" si="663">M697</f>
        <v>1293.5999999999999</v>
      </c>
      <c r="N696" s="27">
        <f t="shared" si="663"/>
        <v>813.6</v>
      </c>
      <c r="O696" s="27">
        <f t="shared" si="626"/>
        <v>62.894248608534333</v>
      </c>
    </row>
    <row r="697" spans="1:15" ht="47.25" x14ac:dyDescent="0.25">
      <c r="A697" s="26" t="s">
        <v>323</v>
      </c>
      <c r="B697" s="220">
        <v>906</v>
      </c>
      <c r="C697" s="218" t="s">
        <v>315</v>
      </c>
      <c r="D697" s="218" t="s">
        <v>264</v>
      </c>
      <c r="E697" s="218" t="s">
        <v>509</v>
      </c>
      <c r="F697" s="218" t="s">
        <v>324</v>
      </c>
      <c r="G697" s="27">
        <f>G698</f>
        <v>1293.5999999999999</v>
      </c>
      <c r="H697" s="27">
        <f>H698</f>
        <v>580</v>
      </c>
      <c r="I697" s="27">
        <f t="shared" si="662"/>
        <v>1293.5999999999999</v>
      </c>
      <c r="J697" s="27">
        <f t="shared" si="662"/>
        <v>1293.5999999999999</v>
      </c>
      <c r="K697" s="27">
        <f t="shared" si="662"/>
        <v>1293.5999999999999</v>
      </c>
      <c r="L697" s="27">
        <f t="shared" si="662"/>
        <v>1293.5999999999999</v>
      </c>
      <c r="M697" s="27">
        <f t="shared" si="663"/>
        <v>1293.5999999999999</v>
      </c>
      <c r="N697" s="27">
        <f t="shared" si="663"/>
        <v>813.6</v>
      </c>
      <c r="O697" s="27">
        <f t="shared" si="626"/>
        <v>62.894248608534333</v>
      </c>
    </row>
    <row r="698" spans="1:15" ht="15.75" x14ac:dyDescent="0.25">
      <c r="A698" s="26" t="s">
        <v>325</v>
      </c>
      <c r="B698" s="220">
        <v>906</v>
      </c>
      <c r="C698" s="218" t="s">
        <v>315</v>
      </c>
      <c r="D698" s="218" t="s">
        <v>264</v>
      </c>
      <c r="E698" s="218" t="s">
        <v>509</v>
      </c>
      <c r="F698" s="218" t="s">
        <v>326</v>
      </c>
      <c r="G698" s="28">
        <f>1572.5-278.9</f>
        <v>1293.5999999999999</v>
      </c>
      <c r="H698" s="28">
        <v>580</v>
      </c>
      <c r="I698" s="28">
        <f t="shared" ref="I698:L698" si="664">1572.5-278.9</f>
        <v>1293.5999999999999</v>
      </c>
      <c r="J698" s="28">
        <f t="shared" si="664"/>
        <v>1293.5999999999999</v>
      </c>
      <c r="K698" s="28">
        <f t="shared" si="664"/>
        <v>1293.5999999999999</v>
      </c>
      <c r="L698" s="28">
        <f t="shared" si="664"/>
        <v>1293.5999999999999</v>
      </c>
      <c r="M698" s="28">
        <f t="shared" ref="M698" si="665">1572.5-278.9</f>
        <v>1293.5999999999999</v>
      </c>
      <c r="N698" s="28">
        <v>813.6</v>
      </c>
      <c r="O698" s="27">
        <f t="shared" si="626"/>
        <v>62.894248608534333</v>
      </c>
    </row>
    <row r="699" spans="1:15" ht="47.25" x14ac:dyDescent="0.25">
      <c r="A699" s="26" t="s">
        <v>510</v>
      </c>
      <c r="B699" s="220">
        <v>906</v>
      </c>
      <c r="C699" s="218" t="s">
        <v>315</v>
      </c>
      <c r="D699" s="218" t="s">
        <v>264</v>
      </c>
      <c r="E699" s="218" t="s">
        <v>511</v>
      </c>
      <c r="F699" s="218"/>
      <c r="G699" s="28">
        <f>G700</f>
        <v>488.7</v>
      </c>
      <c r="H699" s="28">
        <f>H700</f>
        <v>288.3</v>
      </c>
      <c r="I699" s="28">
        <f t="shared" ref="I699:L699" si="666">I700</f>
        <v>488.7</v>
      </c>
      <c r="J699" s="28">
        <f t="shared" si="666"/>
        <v>488.7</v>
      </c>
      <c r="K699" s="28">
        <f t="shared" si="666"/>
        <v>488.7</v>
      </c>
      <c r="L699" s="28">
        <f t="shared" si="666"/>
        <v>488.7</v>
      </c>
      <c r="M699" s="28">
        <f t="shared" ref="M699:N700" si="667">M700</f>
        <v>488.7</v>
      </c>
      <c r="N699" s="28">
        <f t="shared" si="667"/>
        <v>352.3</v>
      </c>
      <c r="O699" s="27">
        <f t="shared" si="626"/>
        <v>72.089216288111331</v>
      </c>
    </row>
    <row r="700" spans="1:15" ht="47.25" x14ac:dyDescent="0.25">
      <c r="A700" s="26" t="s">
        <v>323</v>
      </c>
      <c r="B700" s="220">
        <v>906</v>
      </c>
      <c r="C700" s="218" t="s">
        <v>315</v>
      </c>
      <c r="D700" s="218" t="s">
        <v>264</v>
      </c>
      <c r="E700" s="218" t="s">
        <v>511</v>
      </c>
      <c r="F700" s="218" t="s">
        <v>324</v>
      </c>
      <c r="G700" s="28">
        <f t="shared" ref="G700:L700" si="668">G701</f>
        <v>488.7</v>
      </c>
      <c r="H700" s="28">
        <f t="shared" si="668"/>
        <v>288.3</v>
      </c>
      <c r="I700" s="28">
        <f t="shared" si="668"/>
        <v>488.7</v>
      </c>
      <c r="J700" s="28">
        <f t="shared" si="668"/>
        <v>488.7</v>
      </c>
      <c r="K700" s="28">
        <f t="shared" si="668"/>
        <v>488.7</v>
      </c>
      <c r="L700" s="28">
        <f t="shared" si="668"/>
        <v>488.7</v>
      </c>
      <c r="M700" s="28">
        <f t="shared" si="667"/>
        <v>488.7</v>
      </c>
      <c r="N700" s="28">
        <f t="shared" si="667"/>
        <v>352.3</v>
      </c>
      <c r="O700" s="27">
        <f t="shared" si="626"/>
        <v>72.089216288111331</v>
      </c>
    </row>
    <row r="701" spans="1:15" ht="15.75" x14ac:dyDescent="0.25">
      <c r="A701" s="26" t="s">
        <v>325</v>
      </c>
      <c r="B701" s="220">
        <v>906</v>
      </c>
      <c r="C701" s="218" t="s">
        <v>315</v>
      </c>
      <c r="D701" s="218" t="s">
        <v>264</v>
      </c>
      <c r="E701" s="218" t="s">
        <v>511</v>
      </c>
      <c r="F701" s="218" t="s">
        <v>326</v>
      </c>
      <c r="G701" s="28">
        <f>733.5-244.8</f>
        <v>488.7</v>
      </c>
      <c r="H701" s="28">
        <v>288.3</v>
      </c>
      <c r="I701" s="28">
        <f t="shared" ref="I701:L701" si="669">733.5-244.8</f>
        <v>488.7</v>
      </c>
      <c r="J701" s="28">
        <f t="shared" si="669"/>
        <v>488.7</v>
      </c>
      <c r="K701" s="28">
        <f t="shared" si="669"/>
        <v>488.7</v>
      </c>
      <c r="L701" s="28">
        <f t="shared" si="669"/>
        <v>488.7</v>
      </c>
      <c r="M701" s="28">
        <f t="shared" ref="M701" si="670">733.5-244.8</f>
        <v>488.7</v>
      </c>
      <c r="N701" s="28">
        <v>352.3</v>
      </c>
      <c r="O701" s="27">
        <f t="shared" si="626"/>
        <v>72.089216288111331</v>
      </c>
    </row>
    <row r="702" spans="1:15" ht="80.25" customHeight="1" x14ac:dyDescent="0.25">
      <c r="A702" s="33" t="s">
        <v>512</v>
      </c>
      <c r="B702" s="220">
        <v>906</v>
      </c>
      <c r="C702" s="218" t="s">
        <v>315</v>
      </c>
      <c r="D702" s="218" t="s">
        <v>264</v>
      </c>
      <c r="E702" s="218" t="s">
        <v>513</v>
      </c>
      <c r="F702" s="218"/>
      <c r="G702" s="27">
        <f t="shared" ref="G702:L703" si="671">G703</f>
        <v>79753.600000000006</v>
      </c>
      <c r="H702" s="27">
        <f t="shared" si="671"/>
        <v>66712.5</v>
      </c>
      <c r="I702" s="27">
        <f t="shared" si="671"/>
        <v>79753.600000000006</v>
      </c>
      <c r="J702" s="27">
        <f t="shared" si="671"/>
        <v>79753.600000000006</v>
      </c>
      <c r="K702" s="27">
        <f t="shared" si="671"/>
        <v>79753.600000000006</v>
      </c>
      <c r="L702" s="27">
        <f t="shared" si="671"/>
        <v>79753.600000000006</v>
      </c>
      <c r="M702" s="27">
        <f t="shared" ref="M702:N703" si="672">M703</f>
        <v>89054.5</v>
      </c>
      <c r="N702" s="27">
        <f t="shared" si="672"/>
        <v>71774.600000000006</v>
      </c>
      <c r="O702" s="27">
        <f t="shared" si="626"/>
        <v>80.596264085475752</v>
      </c>
    </row>
    <row r="703" spans="1:15" ht="47.25" x14ac:dyDescent="0.25">
      <c r="A703" s="26" t="s">
        <v>323</v>
      </c>
      <c r="B703" s="220">
        <v>906</v>
      </c>
      <c r="C703" s="218" t="s">
        <v>315</v>
      </c>
      <c r="D703" s="218" t="s">
        <v>264</v>
      </c>
      <c r="E703" s="218" t="s">
        <v>513</v>
      </c>
      <c r="F703" s="218" t="s">
        <v>324</v>
      </c>
      <c r="G703" s="27">
        <f>G704</f>
        <v>79753.600000000006</v>
      </c>
      <c r="H703" s="27">
        <f>H704</f>
        <v>66712.5</v>
      </c>
      <c r="I703" s="27">
        <f t="shared" si="671"/>
        <v>79753.600000000006</v>
      </c>
      <c r="J703" s="27">
        <f t="shared" si="671"/>
        <v>79753.600000000006</v>
      </c>
      <c r="K703" s="27">
        <f t="shared" si="671"/>
        <v>79753.600000000006</v>
      </c>
      <c r="L703" s="27">
        <f t="shared" si="671"/>
        <v>79753.600000000006</v>
      </c>
      <c r="M703" s="27">
        <f t="shared" si="672"/>
        <v>89054.5</v>
      </c>
      <c r="N703" s="27">
        <f t="shared" si="672"/>
        <v>71774.600000000006</v>
      </c>
      <c r="O703" s="27">
        <f t="shared" si="626"/>
        <v>80.596264085475752</v>
      </c>
    </row>
    <row r="704" spans="1:15" ht="15.75" x14ac:dyDescent="0.25">
      <c r="A704" s="26" t="s">
        <v>325</v>
      </c>
      <c r="B704" s="220">
        <v>906</v>
      </c>
      <c r="C704" s="218" t="s">
        <v>315</v>
      </c>
      <c r="D704" s="218" t="s">
        <v>264</v>
      </c>
      <c r="E704" s="218" t="s">
        <v>513</v>
      </c>
      <c r="F704" s="218" t="s">
        <v>326</v>
      </c>
      <c r="G704" s="28">
        <f>93568.6-13815</f>
        <v>79753.600000000006</v>
      </c>
      <c r="H704" s="28">
        <v>66712.5</v>
      </c>
      <c r="I704" s="28">
        <f t="shared" ref="I704:L704" si="673">93568.6-13815</f>
        <v>79753.600000000006</v>
      </c>
      <c r="J704" s="28">
        <f t="shared" si="673"/>
        <v>79753.600000000006</v>
      </c>
      <c r="K704" s="28">
        <f t="shared" si="673"/>
        <v>79753.600000000006</v>
      </c>
      <c r="L704" s="28">
        <f t="shared" si="673"/>
        <v>79753.600000000006</v>
      </c>
      <c r="M704" s="28">
        <f>79406.8+9647.7</f>
        <v>89054.5</v>
      </c>
      <c r="N704" s="28">
        <v>71774.600000000006</v>
      </c>
      <c r="O704" s="27">
        <f t="shared" si="626"/>
        <v>80.596264085475752</v>
      </c>
    </row>
    <row r="705" spans="1:15" ht="63" x14ac:dyDescent="0.25">
      <c r="A705" s="33" t="s">
        <v>340</v>
      </c>
      <c r="B705" s="220">
        <v>906</v>
      </c>
      <c r="C705" s="218" t="s">
        <v>315</v>
      </c>
      <c r="D705" s="218" t="s">
        <v>264</v>
      </c>
      <c r="E705" s="218" t="s">
        <v>341</v>
      </c>
      <c r="F705" s="218"/>
      <c r="G705" s="27">
        <f>G706</f>
        <v>910.90000000000009</v>
      </c>
      <c r="H705" s="27">
        <f>H706</f>
        <v>631.4</v>
      </c>
      <c r="I705" s="27">
        <f t="shared" ref="I705:L705" si="674">I706</f>
        <v>910.90000000000009</v>
      </c>
      <c r="J705" s="27">
        <f t="shared" si="674"/>
        <v>910.90000000000009</v>
      </c>
      <c r="K705" s="27">
        <f t="shared" si="674"/>
        <v>910.90000000000009</v>
      </c>
      <c r="L705" s="27">
        <f t="shared" si="674"/>
        <v>910.90000000000009</v>
      </c>
      <c r="M705" s="27">
        <f t="shared" ref="M705:N706" si="675">M706</f>
        <v>910.90000000000009</v>
      </c>
      <c r="N705" s="27">
        <f t="shared" si="675"/>
        <v>590.5</v>
      </c>
      <c r="O705" s="27">
        <f t="shared" si="626"/>
        <v>64.825996267427811</v>
      </c>
    </row>
    <row r="706" spans="1:15" ht="47.25" x14ac:dyDescent="0.25">
      <c r="A706" s="26" t="s">
        <v>323</v>
      </c>
      <c r="B706" s="220">
        <v>906</v>
      </c>
      <c r="C706" s="218" t="s">
        <v>315</v>
      </c>
      <c r="D706" s="218" t="s">
        <v>264</v>
      </c>
      <c r="E706" s="218" t="s">
        <v>341</v>
      </c>
      <c r="F706" s="218" t="s">
        <v>324</v>
      </c>
      <c r="G706" s="27">
        <f t="shared" ref="G706:L706" si="676">G707</f>
        <v>910.90000000000009</v>
      </c>
      <c r="H706" s="27">
        <f t="shared" si="676"/>
        <v>631.4</v>
      </c>
      <c r="I706" s="27">
        <f t="shared" si="676"/>
        <v>910.90000000000009</v>
      </c>
      <c r="J706" s="27">
        <f t="shared" si="676"/>
        <v>910.90000000000009</v>
      </c>
      <c r="K706" s="27">
        <f t="shared" si="676"/>
        <v>910.90000000000009</v>
      </c>
      <c r="L706" s="27">
        <f t="shared" si="676"/>
        <v>910.90000000000009</v>
      </c>
      <c r="M706" s="27">
        <f t="shared" si="675"/>
        <v>910.90000000000009</v>
      </c>
      <c r="N706" s="27">
        <f t="shared" si="675"/>
        <v>590.5</v>
      </c>
      <c r="O706" s="27">
        <f t="shared" si="626"/>
        <v>64.825996267427811</v>
      </c>
    </row>
    <row r="707" spans="1:15" ht="15.75" x14ac:dyDescent="0.25">
      <c r="A707" s="26" t="s">
        <v>325</v>
      </c>
      <c r="B707" s="220">
        <v>906</v>
      </c>
      <c r="C707" s="218" t="s">
        <v>315</v>
      </c>
      <c r="D707" s="218" t="s">
        <v>264</v>
      </c>
      <c r="E707" s="218" t="s">
        <v>341</v>
      </c>
      <c r="F707" s="218" t="s">
        <v>326</v>
      </c>
      <c r="G707" s="28">
        <f>1101.7-190.8</f>
        <v>910.90000000000009</v>
      </c>
      <c r="H707" s="28">
        <v>631.4</v>
      </c>
      <c r="I707" s="28">
        <f t="shared" ref="I707:L707" si="677">1101.7-190.8</f>
        <v>910.90000000000009</v>
      </c>
      <c r="J707" s="28">
        <f t="shared" si="677"/>
        <v>910.90000000000009</v>
      </c>
      <c r="K707" s="28">
        <f t="shared" si="677"/>
        <v>910.90000000000009</v>
      </c>
      <c r="L707" s="28">
        <f t="shared" si="677"/>
        <v>910.90000000000009</v>
      </c>
      <c r="M707" s="28">
        <f t="shared" ref="M707" si="678">1101.7-190.8</f>
        <v>910.90000000000009</v>
      </c>
      <c r="N707" s="28">
        <v>590.5</v>
      </c>
      <c r="O707" s="27">
        <f t="shared" si="626"/>
        <v>64.825996267427811</v>
      </c>
    </row>
    <row r="708" spans="1:15" ht="78.75" x14ac:dyDescent="0.25">
      <c r="A708" s="33" t="s">
        <v>342</v>
      </c>
      <c r="B708" s="220">
        <v>906</v>
      </c>
      <c r="C708" s="218" t="s">
        <v>315</v>
      </c>
      <c r="D708" s="218" t="s">
        <v>264</v>
      </c>
      <c r="E708" s="218" t="s">
        <v>343</v>
      </c>
      <c r="F708" s="218"/>
      <c r="G708" s="27">
        <f>G709</f>
        <v>2155.5</v>
      </c>
      <c r="H708" s="27">
        <f>H709</f>
        <v>1390.8</v>
      </c>
      <c r="I708" s="27">
        <f t="shared" ref="I708:L708" si="679">I709</f>
        <v>2155.5</v>
      </c>
      <c r="J708" s="27">
        <f t="shared" si="679"/>
        <v>2155.5</v>
      </c>
      <c r="K708" s="27">
        <f t="shared" si="679"/>
        <v>2155.5</v>
      </c>
      <c r="L708" s="27">
        <f t="shared" si="679"/>
        <v>2155.5</v>
      </c>
      <c r="M708" s="27">
        <f t="shared" ref="M708:N709" si="680">M709</f>
        <v>2230.5</v>
      </c>
      <c r="N708" s="27">
        <f t="shared" si="680"/>
        <v>1893.3</v>
      </c>
      <c r="O708" s="27">
        <f t="shared" si="626"/>
        <v>84.882313382649627</v>
      </c>
    </row>
    <row r="709" spans="1:15" ht="47.25" x14ac:dyDescent="0.25">
      <c r="A709" s="26" t="s">
        <v>323</v>
      </c>
      <c r="B709" s="220">
        <v>906</v>
      </c>
      <c r="C709" s="218" t="s">
        <v>315</v>
      </c>
      <c r="D709" s="218" t="s">
        <v>264</v>
      </c>
      <c r="E709" s="218" t="s">
        <v>343</v>
      </c>
      <c r="F709" s="218" t="s">
        <v>324</v>
      </c>
      <c r="G709" s="27">
        <f t="shared" ref="G709:L709" si="681">G710</f>
        <v>2155.5</v>
      </c>
      <c r="H709" s="27">
        <f t="shared" si="681"/>
        <v>1390.8</v>
      </c>
      <c r="I709" s="27">
        <f t="shared" si="681"/>
        <v>2155.5</v>
      </c>
      <c r="J709" s="27">
        <f t="shared" si="681"/>
        <v>2155.5</v>
      </c>
      <c r="K709" s="27">
        <f t="shared" si="681"/>
        <v>2155.5</v>
      </c>
      <c r="L709" s="27">
        <f t="shared" si="681"/>
        <v>2155.5</v>
      </c>
      <c r="M709" s="27">
        <f t="shared" si="680"/>
        <v>2230.5</v>
      </c>
      <c r="N709" s="27">
        <f t="shared" si="680"/>
        <v>1893.3</v>
      </c>
      <c r="O709" s="27">
        <f t="shared" si="626"/>
        <v>84.882313382649627</v>
      </c>
    </row>
    <row r="710" spans="1:15" ht="15.75" x14ac:dyDescent="0.25">
      <c r="A710" s="26" t="s">
        <v>325</v>
      </c>
      <c r="B710" s="220">
        <v>906</v>
      </c>
      <c r="C710" s="218" t="s">
        <v>315</v>
      </c>
      <c r="D710" s="218" t="s">
        <v>264</v>
      </c>
      <c r="E710" s="218" t="s">
        <v>343</v>
      </c>
      <c r="F710" s="218" t="s">
        <v>326</v>
      </c>
      <c r="G710" s="28">
        <f>2823.2-667.7</f>
        <v>2155.5</v>
      </c>
      <c r="H710" s="28">
        <v>1390.8</v>
      </c>
      <c r="I710" s="28">
        <f t="shared" ref="I710:L710" si="682">2823.2-667.7</f>
        <v>2155.5</v>
      </c>
      <c r="J710" s="28">
        <f t="shared" si="682"/>
        <v>2155.5</v>
      </c>
      <c r="K710" s="28">
        <f t="shared" si="682"/>
        <v>2155.5</v>
      </c>
      <c r="L710" s="28">
        <f t="shared" si="682"/>
        <v>2155.5</v>
      </c>
      <c r="M710" s="28">
        <f>2823.2-667.7+75</f>
        <v>2230.5</v>
      </c>
      <c r="N710" s="28">
        <v>1893.3</v>
      </c>
      <c r="O710" s="27">
        <f t="shared" si="626"/>
        <v>84.882313382649627</v>
      </c>
    </row>
    <row r="711" spans="1:15" ht="47.25" x14ac:dyDescent="0.25">
      <c r="A711" s="33" t="s">
        <v>514</v>
      </c>
      <c r="B711" s="220">
        <v>906</v>
      </c>
      <c r="C711" s="218" t="s">
        <v>315</v>
      </c>
      <c r="D711" s="218" t="s">
        <v>264</v>
      </c>
      <c r="E711" s="218" t="s">
        <v>515</v>
      </c>
      <c r="F711" s="218"/>
      <c r="G711" s="27">
        <f t="shared" ref="G711:L712" si="683">G712</f>
        <v>886.5</v>
      </c>
      <c r="H711" s="27">
        <f t="shared" si="683"/>
        <v>623.20000000000005</v>
      </c>
      <c r="I711" s="27">
        <f t="shared" si="683"/>
        <v>886.5</v>
      </c>
      <c r="J711" s="27">
        <f t="shared" si="683"/>
        <v>886.5</v>
      </c>
      <c r="K711" s="27">
        <f t="shared" si="683"/>
        <v>886.5</v>
      </c>
      <c r="L711" s="27">
        <f t="shared" si="683"/>
        <v>886.5</v>
      </c>
      <c r="M711" s="27">
        <f t="shared" ref="M711:N712" si="684">M712</f>
        <v>942</v>
      </c>
      <c r="N711" s="27">
        <f t="shared" si="684"/>
        <v>798</v>
      </c>
      <c r="O711" s="27">
        <f t="shared" si="626"/>
        <v>84.713375796178354</v>
      </c>
    </row>
    <row r="712" spans="1:15" ht="47.25" x14ac:dyDescent="0.25">
      <c r="A712" s="26" t="s">
        <v>323</v>
      </c>
      <c r="B712" s="220">
        <v>906</v>
      </c>
      <c r="C712" s="218" t="s">
        <v>315</v>
      </c>
      <c r="D712" s="218" t="s">
        <v>264</v>
      </c>
      <c r="E712" s="218" t="s">
        <v>515</v>
      </c>
      <c r="F712" s="218" t="s">
        <v>324</v>
      </c>
      <c r="G712" s="27">
        <f>G713</f>
        <v>886.5</v>
      </c>
      <c r="H712" s="27">
        <f>H713</f>
        <v>623.20000000000005</v>
      </c>
      <c r="I712" s="27">
        <f t="shared" si="683"/>
        <v>886.5</v>
      </c>
      <c r="J712" s="27">
        <f t="shared" si="683"/>
        <v>886.5</v>
      </c>
      <c r="K712" s="27">
        <f t="shared" si="683"/>
        <v>886.5</v>
      </c>
      <c r="L712" s="27">
        <f t="shared" si="683"/>
        <v>886.5</v>
      </c>
      <c r="M712" s="27">
        <f t="shared" si="684"/>
        <v>942</v>
      </c>
      <c r="N712" s="27">
        <f t="shared" si="684"/>
        <v>798</v>
      </c>
      <c r="O712" s="27">
        <f t="shared" si="626"/>
        <v>84.713375796178354</v>
      </c>
    </row>
    <row r="713" spans="1:15" ht="15.75" x14ac:dyDescent="0.25">
      <c r="A713" s="26" t="s">
        <v>325</v>
      </c>
      <c r="B713" s="220">
        <v>906</v>
      </c>
      <c r="C713" s="218" t="s">
        <v>315</v>
      </c>
      <c r="D713" s="218" t="s">
        <v>264</v>
      </c>
      <c r="E713" s="218" t="s">
        <v>515</v>
      </c>
      <c r="F713" s="218" t="s">
        <v>326</v>
      </c>
      <c r="G713" s="28">
        <f>998.4-111.9</f>
        <v>886.5</v>
      </c>
      <c r="H713" s="28">
        <v>623.20000000000005</v>
      </c>
      <c r="I713" s="28">
        <f t="shared" ref="I713:L713" si="685">998.4-111.9</f>
        <v>886.5</v>
      </c>
      <c r="J713" s="28">
        <f t="shared" si="685"/>
        <v>886.5</v>
      </c>
      <c r="K713" s="28">
        <f t="shared" si="685"/>
        <v>886.5</v>
      </c>
      <c r="L713" s="28">
        <f t="shared" si="685"/>
        <v>886.5</v>
      </c>
      <c r="M713" s="28">
        <f>'прил.№1 доходы'!I142</f>
        <v>942</v>
      </c>
      <c r="N713" s="28">
        <v>798</v>
      </c>
      <c r="O713" s="27">
        <f t="shared" si="626"/>
        <v>84.713375796178354</v>
      </c>
    </row>
    <row r="714" spans="1:15" ht="110.25" x14ac:dyDescent="0.25">
      <c r="A714" s="33" t="s">
        <v>516</v>
      </c>
      <c r="B714" s="220">
        <v>906</v>
      </c>
      <c r="C714" s="218" t="s">
        <v>315</v>
      </c>
      <c r="D714" s="218" t="s">
        <v>264</v>
      </c>
      <c r="E714" s="218" t="s">
        <v>345</v>
      </c>
      <c r="F714" s="218"/>
      <c r="G714" s="27">
        <f>G715</f>
        <v>4369</v>
      </c>
      <c r="H714" s="27">
        <f>H715</f>
        <v>2959.98</v>
      </c>
      <c r="I714" s="27">
        <f t="shared" ref="I714:L714" si="686">I715</f>
        <v>4369</v>
      </c>
      <c r="J714" s="27">
        <f t="shared" si="686"/>
        <v>4369</v>
      </c>
      <c r="K714" s="27">
        <f t="shared" si="686"/>
        <v>4369</v>
      </c>
      <c r="L714" s="27">
        <f t="shared" si="686"/>
        <v>4369</v>
      </c>
      <c r="M714" s="27">
        <f t="shared" ref="M714:N715" si="687">M715</f>
        <v>4294.7</v>
      </c>
      <c r="N714" s="27">
        <f t="shared" si="687"/>
        <v>3455.1</v>
      </c>
      <c r="O714" s="27">
        <f t="shared" si="626"/>
        <v>80.450322490511567</v>
      </c>
    </row>
    <row r="715" spans="1:15" ht="47.25" x14ac:dyDescent="0.25">
      <c r="A715" s="26" t="s">
        <v>323</v>
      </c>
      <c r="B715" s="220">
        <v>906</v>
      </c>
      <c r="C715" s="218" t="s">
        <v>315</v>
      </c>
      <c r="D715" s="218" t="s">
        <v>264</v>
      </c>
      <c r="E715" s="218" t="s">
        <v>345</v>
      </c>
      <c r="F715" s="218" t="s">
        <v>324</v>
      </c>
      <c r="G715" s="27">
        <f t="shared" ref="G715:L715" si="688">G716</f>
        <v>4369</v>
      </c>
      <c r="H715" s="27">
        <f t="shared" si="688"/>
        <v>2959.98</v>
      </c>
      <c r="I715" s="27">
        <f t="shared" si="688"/>
        <v>4369</v>
      </c>
      <c r="J715" s="27">
        <f t="shared" si="688"/>
        <v>4369</v>
      </c>
      <c r="K715" s="27">
        <f t="shared" si="688"/>
        <v>4369</v>
      </c>
      <c r="L715" s="27">
        <f t="shared" si="688"/>
        <v>4369</v>
      </c>
      <c r="M715" s="27">
        <f t="shared" si="687"/>
        <v>4294.7</v>
      </c>
      <c r="N715" s="27">
        <f t="shared" si="687"/>
        <v>3455.1</v>
      </c>
      <c r="O715" s="27">
        <f t="shared" si="626"/>
        <v>80.450322490511567</v>
      </c>
    </row>
    <row r="716" spans="1:15" ht="15.75" x14ac:dyDescent="0.25">
      <c r="A716" s="26" t="s">
        <v>325</v>
      </c>
      <c r="B716" s="220">
        <v>906</v>
      </c>
      <c r="C716" s="218" t="s">
        <v>315</v>
      </c>
      <c r="D716" s="218" t="s">
        <v>264</v>
      </c>
      <c r="E716" s="218" t="s">
        <v>345</v>
      </c>
      <c r="F716" s="218" t="s">
        <v>326</v>
      </c>
      <c r="G716" s="28">
        <f>5441.9-1072.9</f>
        <v>4369</v>
      </c>
      <c r="H716" s="28">
        <v>2959.98</v>
      </c>
      <c r="I716" s="28">
        <f t="shared" ref="I716:L716" si="689">5441.9-1072.9</f>
        <v>4369</v>
      </c>
      <c r="J716" s="28">
        <f t="shared" si="689"/>
        <v>4369</v>
      </c>
      <c r="K716" s="28">
        <f t="shared" si="689"/>
        <v>4369</v>
      </c>
      <c r="L716" s="28">
        <f t="shared" si="689"/>
        <v>4369</v>
      </c>
      <c r="M716" s="28">
        <f>5441.9-1072.9-74.3</f>
        <v>4294.7</v>
      </c>
      <c r="N716" s="28">
        <v>3455.1</v>
      </c>
      <c r="O716" s="27">
        <f t="shared" ref="O716:O779" si="690">N716/M716*100</f>
        <v>80.450322490511567</v>
      </c>
    </row>
    <row r="717" spans="1:15" ht="15.75" x14ac:dyDescent="0.25">
      <c r="A717" s="24" t="s">
        <v>316</v>
      </c>
      <c r="B717" s="217">
        <v>906</v>
      </c>
      <c r="C717" s="219" t="s">
        <v>315</v>
      </c>
      <c r="D717" s="219" t="s">
        <v>266</v>
      </c>
      <c r="E717" s="219"/>
      <c r="F717" s="219"/>
      <c r="G717" s="46">
        <f>G718+G730</f>
        <v>23062.100000000002</v>
      </c>
      <c r="H717" s="46">
        <f t="shared" ref="H717:L717" si="691">H718+H730</f>
        <v>19022.7</v>
      </c>
      <c r="I717" s="46">
        <f t="shared" si="691"/>
        <v>23741.600000000002</v>
      </c>
      <c r="J717" s="46">
        <f t="shared" si="691"/>
        <v>27922</v>
      </c>
      <c r="K717" s="46">
        <f t="shared" si="691"/>
        <v>28211</v>
      </c>
      <c r="L717" s="46">
        <f t="shared" si="691"/>
        <v>28385.200000000001</v>
      </c>
      <c r="M717" s="46">
        <f t="shared" ref="M717:N717" si="692">M718+M730</f>
        <v>23507.799999999996</v>
      </c>
      <c r="N717" s="46">
        <f t="shared" si="692"/>
        <v>23022.299999999996</v>
      </c>
      <c r="O717" s="22">
        <f t="shared" si="690"/>
        <v>97.934728047711829</v>
      </c>
    </row>
    <row r="718" spans="1:15" ht="47.25" x14ac:dyDescent="0.25">
      <c r="A718" s="26" t="s">
        <v>478</v>
      </c>
      <c r="B718" s="220">
        <v>906</v>
      </c>
      <c r="C718" s="218" t="s">
        <v>315</v>
      </c>
      <c r="D718" s="218" t="s">
        <v>266</v>
      </c>
      <c r="E718" s="218" t="s">
        <v>458</v>
      </c>
      <c r="F718" s="218"/>
      <c r="G718" s="28">
        <f>G719+G723</f>
        <v>21479.9</v>
      </c>
      <c r="H718" s="28">
        <f t="shared" ref="H718:M718" si="693">H719+H723</f>
        <v>18210</v>
      </c>
      <c r="I718" s="28">
        <f t="shared" si="693"/>
        <v>22159.4</v>
      </c>
      <c r="J718" s="28">
        <f t="shared" si="693"/>
        <v>26339.8</v>
      </c>
      <c r="K718" s="28">
        <f t="shared" si="693"/>
        <v>26628.799999999999</v>
      </c>
      <c r="L718" s="28">
        <f t="shared" si="693"/>
        <v>26803</v>
      </c>
      <c r="M718" s="28">
        <f t="shared" si="693"/>
        <v>21921.199999999997</v>
      </c>
      <c r="N718" s="28">
        <f t="shared" ref="N718" si="694">N719+N723</f>
        <v>21921.199999999997</v>
      </c>
      <c r="O718" s="27">
        <f t="shared" si="690"/>
        <v>100</v>
      </c>
    </row>
    <row r="719" spans="1:15" ht="47.25" x14ac:dyDescent="0.25">
      <c r="A719" s="26" t="s">
        <v>459</v>
      </c>
      <c r="B719" s="220">
        <v>906</v>
      </c>
      <c r="C719" s="218" t="s">
        <v>315</v>
      </c>
      <c r="D719" s="218" t="s">
        <v>266</v>
      </c>
      <c r="E719" s="218" t="s">
        <v>460</v>
      </c>
      <c r="F719" s="218"/>
      <c r="G719" s="28">
        <f>G720</f>
        <v>21124</v>
      </c>
      <c r="H719" s="28">
        <f t="shared" ref="H719:H721" si="695">H720</f>
        <v>18210</v>
      </c>
      <c r="I719" s="28">
        <f t="shared" ref="I719:L721" si="696">I720</f>
        <v>21803.5</v>
      </c>
      <c r="J719" s="28">
        <f t="shared" si="696"/>
        <v>25586.7</v>
      </c>
      <c r="K719" s="28">
        <f t="shared" si="696"/>
        <v>25875.7</v>
      </c>
      <c r="L719" s="28">
        <f t="shared" si="696"/>
        <v>26049.9</v>
      </c>
      <c r="M719" s="28">
        <f t="shared" ref="M719:N721" si="697">M720</f>
        <v>21168.1</v>
      </c>
      <c r="N719" s="28">
        <f t="shared" si="697"/>
        <v>21168.1</v>
      </c>
      <c r="O719" s="27">
        <f t="shared" si="690"/>
        <v>100</v>
      </c>
    </row>
    <row r="720" spans="1:15" ht="47.25" x14ac:dyDescent="0.25">
      <c r="A720" s="26" t="s">
        <v>321</v>
      </c>
      <c r="B720" s="220">
        <v>906</v>
      </c>
      <c r="C720" s="218" t="s">
        <v>315</v>
      </c>
      <c r="D720" s="218" t="s">
        <v>266</v>
      </c>
      <c r="E720" s="218" t="s">
        <v>481</v>
      </c>
      <c r="F720" s="218"/>
      <c r="G720" s="28">
        <f>G721</f>
        <v>21124</v>
      </c>
      <c r="H720" s="28">
        <f t="shared" si="695"/>
        <v>18210</v>
      </c>
      <c r="I720" s="28">
        <f t="shared" si="696"/>
        <v>21803.5</v>
      </c>
      <c r="J720" s="28">
        <f t="shared" si="696"/>
        <v>25586.7</v>
      </c>
      <c r="K720" s="28">
        <f t="shared" si="696"/>
        <v>25875.7</v>
      </c>
      <c r="L720" s="28">
        <f t="shared" si="696"/>
        <v>26049.9</v>
      </c>
      <c r="M720" s="28">
        <f t="shared" si="697"/>
        <v>21168.1</v>
      </c>
      <c r="N720" s="28">
        <f t="shared" si="697"/>
        <v>21168.1</v>
      </c>
      <c r="O720" s="27">
        <f t="shared" si="690"/>
        <v>100</v>
      </c>
    </row>
    <row r="721" spans="1:16" ht="47.25" x14ac:dyDescent="0.25">
      <c r="A721" s="26" t="s">
        <v>323</v>
      </c>
      <c r="B721" s="220">
        <v>906</v>
      </c>
      <c r="C721" s="218" t="s">
        <v>315</v>
      </c>
      <c r="D721" s="218" t="s">
        <v>266</v>
      </c>
      <c r="E721" s="218" t="s">
        <v>481</v>
      </c>
      <c r="F721" s="218" t="s">
        <v>324</v>
      </c>
      <c r="G721" s="28">
        <f>G722</f>
        <v>21124</v>
      </c>
      <c r="H721" s="28">
        <f t="shared" si="695"/>
        <v>18210</v>
      </c>
      <c r="I721" s="28">
        <f t="shared" si="696"/>
        <v>21803.5</v>
      </c>
      <c r="J721" s="28">
        <f t="shared" si="696"/>
        <v>25586.7</v>
      </c>
      <c r="K721" s="28">
        <f t="shared" si="696"/>
        <v>25875.7</v>
      </c>
      <c r="L721" s="28">
        <f t="shared" si="696"/>
        <v>26049.9</v>
      </c>
      <c r="M721" s="28">
        <f t="shared" si="697"/>
        <v>21168.1</v>
      </c>
      <c r="N721" s="28">
        <f t="shared" si="697"/>
        <v>21168.1</v>
      </c>
      <c r="O721" s="27">
        <f t="shared" si="690"/>
        <v>100</v>
      </c>
    </row>
    <row r="722" spans="1:16" ht="15.75" x14ac:dyDescent="0.25">
      <c r="A722" s="26" t="s">
        <v>325</v>
      </c>
      <c r="B722" s="220">
        <v>906</v>
      </c>
      <c r="C722" s="218" t="s">
        <v>315</v>
      </c>
      <c r="D722" s="218" t="s">
        <v>266</v>
      </c>
      <c r="E722" s="218" t="s">
        <v>481</v>
      </c>
      <c r="F722" s="218" t="s">
        <v>326</v>
      </c>
      <c r="G722" s="28">
        <f>21044+80</f>
        <v>21124</v>
      </c>
      <c r="H722" s="28">
        <v>18210</v>
      </c>
      <c r="I722" s="28">
        <v>21803.5</v>
      </c>
      <c r="J722" s="28">
        <v>25586.7</v>
      </c>
      <c r="K722" s="28">
        <v>25875.7</v>
      </c>
      <c r="L722" s="28">
        <v>26049.9</v>
      </c>
      <c r="M722" s="28">
        <f>21618.8-450.7</f>
        <v>21168.1</v>
      </c>
      <c r="N722" s="28">
        <v>21168.1</v>
      </c>
      <c r="O722" s="27">
        <f t="shared" si="690"/>
        <v>100</v>
      </c>
      <c r="P722" s="142"/>
    </row>
    <row r="723" spans="1:16" ht="43.5" customHeight="1" x14ac:dyDescent="0.25">
      <c r="A723" s="33" t="s">
        <v>790</v>
      </c>
      <c r="B723" s="220">
        <v>906</v>
      </c>
      <c r="C723" s="218" t="s">
        <v>315</v>
      </c>
      <c r="D723" s="218" t="s">
        <v>266</v>
      </c>
      <c r="E723" s="218" t="s">
        <v>499</v>
      </c>
      <c r="F723" s="218"/>
      <c r="G723" s="28">
        <f>G724+G729</f>
        <v>355.9</v>
      </c>
      <c r="H723" s="28">
        <f t="shared" ref="H723" si="698">H724</f>
        <v>0</v>
      </c>
      <c r="I723" s="28">
        <f t="shared" ref="I723:L723" si="699">I724+I729</f>
        <v>355.9</v>
      </c>
      <c r="J723" s="28">
        <f t="shared" si="699"/>
        <v>753.1</v>
      </c>
      <c r="K723" s="28">
        <f t="shared" si="699"/>
        <v>753.1</v>
      </c>
      <c r="L723" s="28">
        <f t="shared" si="699"/>
        <v>753.1</v>
      </c>
      <c r="M723" s="28">
        <f>M724+M729</f>
        <v>753.1</v>
      </c>
      <c r="N723" s="28">
        <f>N724+N729</f>
        <v>753.1</v>
      </c>
      <c r="O723" s="27">
        <f t="shared" si="690"/>
        <v>100</v>
      </c>
    </row>
    <row r="724" spans="1:16" ht="31.5" hidden="1" x14ac:dyDescent="0.25">
      <c r="A724" s="47" t="s">
        <v>875</v>
      </c>
      <c r="B724" s="220">
        <v>906</v>
      </c>
      <c r="C724" s="218" t="s">
        <v>315</v>
      </c>
      <c r="D724" s="218" t="s">
        <v>266</v>
      </c>
      <c r="E724" s="218" t="s">
        <v>792</v>
      </c>
      <c r="F724" s="218"/>
      <c r="G724" s="28">
        <f>G725</f>
        <v>355.9</v>
      </c>
      <c r="H724" s="28">
        <v>0</v>
      </c>
      <c r="I724" s="28">
        <f t="shared" ref="I724:N724" si="700">I725</f>
        <v>355.9</v>
      </c>
      <c r="J724" s="28">
        <f t="shared" si="700"/>
        <v>0</v>
      </c>
      <c r="K724" s="28">
        <f t="shared" si="700"/>
        <v>0</v>
      </c>
      <c r="L724" s="28">
        <f t="shared" si="700"/>
        <v>0</v>
      </c>
      <c r="M724" s="28">
        <f t="shared" si="700"/>
        <v>0</v>
      </c>
      <c r="N724" s="28">
        <f t="shared" si="700"/>
        <v>0</v>
      </c>
      <c r="O724" s="27" t="e">
        <f t="shared" si="690"/>
        <v>#DIV/0!</v>
      </c>
    </row>
    <row r="725" spans="1:16" ht="47.25" hidden="1" x14ac:dyDescent="0.25">
      <c r="A725" s="33" t="s">
        <v>323</v>
      </c>
      <c r="B725" s="220">
        <v>906</v>
      </c>
      <c r="C725" s="218" t="s">
        <v>315</v>
      </c>
      <c r="D725" s="218" t="s">
        <v>266</v>
      </c>
      <c r="E725" s="218" t="s">
        <v>792</v>
      </c>
      <c r="F725" s="218" t="s">
        <v>324</v>
      </c>
      <c r="G725" s="28">
        <f>G726</f>
        <v>355.9</v>
      </c>
      <c r="H725" s="28">
        <v>0</v>
      </c>
      <c r="I725" s="28">
        <f t="shared" ref="I725:L728" si="701">I726</f>
        <v>355.9</v>
      </c>
      <c r="J725" s="28">
        <f t="shared" si="701"/>
        <v>0</v>
      </c>
      <c r="K725" s="28">
        <f t="shared" si="701"/>
        <v>0</v>
      </c>
      <c r="L725" s="28">
        <f t="shared" si="701"/>
        <v>0</v>
      </c>
      <c r="M725" s="28">
        <f t="shared" ref="M725:N725" si="702">M726</f>
        <v>0</v>
      </c>
      <c r="N725" s="28">
        <f t="shared" si="702"/>
        <v>0</v>
      </c>
      <c r="O725" s="27" t="e">
        <f t="shared" si="690"/>
        <v>#DIV/0!</v>
      </c>
    </row>
    <row r="726" spans="1:16" ht="15.75" hidden="1" x14ac:dyDescent="0.25">
      <c r="A726" s="33" t="s">
        <v>325</v>
      </c>
      <c r="B726" s="220">
        <v>906</v>
      </c>
      <c r="C726" s="218" t="s">
        <v>315</v>
      </c>
      <c r="D726" s="218" t="s">
        <v>266</v>
      </c>
      <c r="E726" s="218" t="s">
        <v>792</v>
      </c>
      <c r="F726" s="218" t="s">
        <v>326</v>
      </c>
      <c r="G726" s="28">
        <v>355.9</v>
      </c>
      <c r="H726" s="28">
        <v>0</v>
      </c>
      <c r="I726" s="28">
        <v>355.9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7" t="e">
        <f t="shared" si="690"/>
        <v>#DIV/0!</v>
      </c>
    </row>
    <row r="727" spans="1:16" ht="47.25" x14ac:dyDescent="0.25">
      <c r="A727" s="47" t="s">
        <v>861</v>
      </c>
      <c r="B727" s="220">
        <v>906</v>
      </c>
      <c r="C727" s="218" t="s">
        <v>315</v>
      </c>
      <c r="D727" s="218" t="s">
        <v>266</v>
      </c>
      <c r="E727" s="218" t="s">
        <v>862</v>
      </c>
      <c r="F727" s="218"/>
      <c r="G727" s="28">
        <f>G728</f>
        <v>0</v>
      </c>
      <c r="H727" s="28">
        <v>0</v>
      </c>
      <c r="I727" s="28">
        <f t="shared" si="701"/>
        <v>0</v>
      </c>
      <c r="J727" s="28">
        <f t="shared" si="701"/>
        <v>753.1</v>
      </c>
      <c r="K727" s="28">
        <f t="shared" si="701"/>
        <v>753.1</v>
      </c>
      <c r="L727" s="28">
        <f t="shared" si="701"/>
        <v>753.1</v>
      </c>
      <c r="M727" s="28">
        <f>M728</f>
        <v>753.1</v>
      </c>
      <c r="N727" s="28">
        <f>N728</f>
        <v>753.1</v>
      </c>
      <c r="O727" s="27">
        <f t="shared" si="690"/>
        <v>100</v>
      </c>
    </row>
    <row r="728" spans="1:16" ht="47.25" x14ac:dyDescent="0.25">
      <c r="A728" s="26" t="s">
        <v>323</v>
      </c>
      <c r="B728" s="220">
        <v>906</v>
      </c>
      <c r="C728" s="218" t="s">
        <v>315</v>
      </c>
      <c r="D728" s="218" t="s">
        <v>266</v>
      </c>
      <c r="E728" s="218" t="s">
        <v>862</v>
      </c>
      <c r="F728" s="218" t="s">
        <v>324</v>
      </c>
      <c r="G728" s="28">
        <f>G729</f>
        <v>0</v>
      </c>
      <c r="H728" s="28">
        <v>0</v>
      </c>
      <c r="I728" s="28">
        <f t="shared" si="701"/>
        <v>0</v>
      </c>
      <c r="J728" s="28">
        <f t="shared" si="701"/>
        <v>753.1</v>
      </c>
      <c r="K728" s="28">
        <f t="shared" si="701"/>
        <v>753.1</v>
      </c>
      <c r="L728" s="28">
        <f t="shared" si="701"/>
        <v>753.1</v>
      </c>
      <c r="M728" s="28">
        <f>M729</f>
        <v>753.1</v>
      </c>
      <c r="N728" s="28">
        <f>N729</f>
        <v>753.1</v>
      </c>
      <c r="O728" s="27">
        <f t="shared" si="690"/>
        <v>100</v>
      </c>
    </row>
    <row r="729" spans="1:16" ht="15.75" x14ac:dyDescent="0.25">
      <c r="A729" s="33" t="s">
        <v>325</v>
      </c>
      <c r="B729" s="220">
        <v>906</v>
      </c>
      <c r="C729" s="218" t="s">
        <v>315</v>
      </c>
      <c r="D729" s="218" t="s">
        <v>266</v>
      </c>
      <c r="E729" s="218" t="s">
        <v>862</v>
      </c>
      <c r="F729" s="218" t="s">
        <v>326</v>
      </c>
      <c r="G729" s="28">
        <v>0</v>
      </c>
      <c r="H729" s="28">
        <v>0</v>
      </c>
      <c r="I729" s="28">
        <v>0</v>
      </c>
      <c r="J729" s="28">
        <v>753.1</v>
      </c>
      <c r="K729" s="28">
        <v>753.1</v>
      </c>
      <c r="L729" s="28">
        <v>753.1</v>
      </c>
      <c r="M729" s="28">
        <v>753.1</v>
      </c>
      <c r="N729" s="28">
        <v>753.1</v>
      </c>
      <c r="O729" s="27">
        <f t="shared" si="690"/>
        <v>100</v>
      </c>
    </row>
    <row r="730" spans="1:16" ht="15.75" x14ac:dyDescent="0.25">
      <c r="A730" s="26" t="s">
        <v>517</v>
      </c>
      <c r="B730" s="220">
        <v>906</v>
      </c>
      <c r="C730" s="218" t="s">
        <v>315</v>
      </c>
      <c r="D730" s="218" t="s">
        <v>266</v>
      </c>
      <c r="E730" s="218" t="s">
        <v>173</v>
      </c>
      <c r="F730" s="218"/>
      <c r="G730" s="28">
        <f>G731</f>
        <v>1582.2</v>
      </c>
      <c r="H730" s="28">
        <f>H731</f>
        <v>812.7</v>
      </c>
      <c r="I730" s="28">
        <f t="shared" ref="I730:L730" si="703">I731</f>
        <v>1582.2</v>
      </c>
      <c r="J730" s="28">
        <f t="shared" si="703"/>
        <v>1582.2</v>
      </c>
      <c r="K730" s="28">
        <f t="shared" si="703"/>
        <v>1582.2</v>
      </c>
      <c r="L730" s="28">
        <f t="shared" si="703"/>
        <v>1582.2</v>
      </c>
      <c r="M730" s="28">
        <f t="shared" ref="M730:N730" si="704">M731</f>
        <v>1586.6</v>
      </c>
      <c r="N730" s="28">
        <f t="shared" si="704"/>
        <v>1101.0999999999999</v>
      </c>
      <c r="O730" s="27">
        <f t="shared" si="690"/>
        <v>69.399974788856682</v>
      </c>
    </row>
    <row r="731" spans="1:16" ht="31.5" x14ac:dyDescent="0.25">
      <c r="A731" s="26" t="s">
        <v>236</v>
      </c>
      <c r="B731" s="220">
        <v>906</v>
      </c>
      <c r="C731" s="218" t="s">
        <v>315</v>
      </c>
      <c r="D731" s="218" t="s">
        <v>266</v>
      </c>
      <c r="E731" s="218" t="s">
        <v>237</v>
      </c>
      <c r="F731" s="218"/>
      <c r="G731" s="28">
        <f>G732+G735+G738</f>
        <v>1582.2</v>
      </c>
      <c r="H731" s="28">
        <f>H732+H735+H738</f>
        <v>812.7</v>
      </c>
      <c r="I731" s="28">
        <f t="shared" ref="I731:L731" si="705">I732+I735+I738</f>
        <v>1582.2</v>
      </c>
      <c r="J731" s="28">
        <f t="shared" si="705"/>
        <v>1582.2</v>
      </c>
      <c r="K731" s="28">
        <f t="shared" si="705"/>
        <v>1582.2</v>
      </c>
      <c r="L731" s="28">
        <f t="shared" si="705"/>
        <v>1582.2</v>
      </c>
      <c r="M731" s="28">
        <f t="shared" ref="M731:N731" si="706">M732+M735+M738</f>
        <v>1586.6</v>
      </c>
      <c r="N731" s="28">
        <f t="shared" si="706"/>
        <v>1101.0999999999999</v>
      </c>
      <c r="O731" s="27">
        <f t="shared" si="690"/>
        <v>69.399974788856682</v>
      </c>
    </row>
    <row r="732" spans="1:16" ht="63" x14ac:dyDescent="0.25">
      <c r="A732" s="33" t="s">
        <v>340</v>
      </c>
      <c r="B732" s="220">
        <v>906</v>
      </c>
      <c r="C732" s="218" t="s">
        <v>315</v>
      </c>
      <c r="D732" s="218" t="s">
        <v>266</v>
      </c>
      <c r="E732" s="218" t="s">
        <v>341</v>
      </c>
      <c r="F732" s="218"/>
      <c r="G732" s="28">
        <f>G733</f>
        <v>110</v>
      </c>
      <c r="H732" s="28">
        <f>H733</f>
        <v>67.3</v>
      </c>
      <c r="I732" s="28">
        <f t="shared" ref="I732:L733" si="707">I733</f>
        <v>110</v>
      </c>
      <c r="J732" s="28">
        <f t="shared" si="707"/>
        <v>110</v>
      </c>
      <c r="K732" s="28">
        <f t="shared" si="707"/>
        <v>110</v>
      </c>
      <c r="L732" s="28">
        <f t="shared" si="707"/>
        <v>110</v>
      </c>
      <c r="M732" s="28">
        <f t="shared" ref="M732:N733" si="708">M733</f>
        <v>110</v>
      </c>
      <c r="N732" s="28">
        <f t="shared" si="708"/>
        <v>67.400000000000006</v>
      </c>
      <c r="O732" s="27">
        <f t="shared" si="690"/>
        <v>61.27272727272728</v>
      </c>
    </row>
    <row r="733" spans="1:16" ht="47.25" x14ac:dyDescent="0.25">
      <c r="A733" s="26" t="s">
        <v>323</v>
      </c>
      <c r="B733" s="220">
        <v>906</v>
      </c>
      <c r="C733" s="218" t="s">
        <v>315</v>
      </c>
      <c r="D733" s="218" t="s">
        <v>266</v>
      </c>
      <c r="E733" s="218" t="s">
        <v>341</v>
      </c>
      <c r="F733" s="218" t="s">
        <v>324</v>
      </c>
      <c r="G733" s="28">
        <f>G734</f>
        <v>110</v>
      </c>
      <c r="H733" s="28">
        <f>H734</f>
        <v>67.3</v>
      </c>
      <c r="I733" s="28">
        <f t="shared" si="707"/>
        <v>110</v>
      </c>
      <c r="J733" s="28">
        <f t="shared" si="707"/>
        <v>110</v>
      </c>
      <c r="K733" s="28">
        <f t="shared" si="707"/>
        <v>110</v>
      </c>
      <c r="L733" s="28">
        <f t="shared" si="707"/>
        <v>110</v>
      </c>
      <c r="M733" s="28">
        <f t="shared" si="708"/>
        <v>110</v>
      </c>
      <c r="N733" s="28">
        <f t="shared" si="708"/>
        <v>67.400000000000006</v>
      </c>
      <c r="O733" s="27">
        <f t="shared" si="690"/>
        <v>61.27272727272728</v>
      </c>
    </row>
    <row r="734" spans="1:16" ht="15.75" x14ac:dyDescent="0.25">
      <c r="A734" s="26" t="s">
        <v>325</v>
      </c>
      <c r="B734" s="220">
        <v>906</v>
      </c>
      <c r="C734" s="218" t="s">
        <v>315</v>
      </c>
      <c r="D734" s="218" t="s">
        <v>266</v>
      </c>
      <c r="E734" s="218" t="s">
        <v>341</v>
      </c>
      <c r="F734" s="218" t="s">
        <v>326</v>
      </c>
      <c r="G734" s="28">
        <v>110</v>
      </c>
      <c r="H734" s="28">
        <v>67.3</v>
      </c>
      <c r="I734" s="28">
        <v>110</v>
      </c>
      <c r="J734" s="28">
        <v>110</v>
      </c>
      <c r="K734" s="28">
        <v>110</v>
      </c>
      <c r="L734" s="28">
        <v>110</v>
      </c>
      <c r="M734" s="28">
        <v>110</v>
      </c>
      <c r="N734" s="28">
        <v>67.400000000000006</v>
      </c>
      <c r="O734" s="27">
        <f t="shared" si="690"/>
        <v>61.27272727272728</v>
      </c>
    </row>
    <row r="735" spans="1:16" ht="78.75" x14ac:dyDescent="0.25">
      <c r="A735" s="33" t="s">
        <v>342</v>
      </c>
      <c r="B735" s="220">
        <v>906</v>
      </c>
      <c r="C735" s="218" t="s">
        <v>315</v>
      </c>
      <c r="D735" s="218" t="s">
        <v>266</v>
      </c>
      <c r="E735" s="218" t="s">
        <v>343</v>
      </c>
      <c r="F735" s="218"/>
      <c r="G735" s="28">
        <f>G736</f>
        <v>572.20000000000005</v>
      </c>
      <c r="H735" s="28">
        <f>H736</f>
        <v>334.1</v>
      </c>
      <c r="I735" s="28">
        <f t="shared" ref="I735:L736" si="709">I736</f>
        <v>572.20000000000005</v>
      </c>
      <c r="J735" s="28">
        <f t="shared" si="709"/>
        <v>572.20000000000005</v>
      </c>
      <c r="K735" s="28">
        <f t="shared" si="709"/>
        <v>572.20000000000005</v>
      </c>
      <c r="L735" s="28">
        <f t="shared" si="709"/>
        <v>572.20000000000005</v>
      </c>
      <c r="M735" s="28">
        <f t="shared" ref="M735:N736" si="710">M736</f>
        <v>592.1</v>
      </c>
      <c r="N735" s="28">
        <f t="shared" si="710"/>
        <v>405.8</v>
      </c>
      <c r="O735" s="27">
        <f t="shared" si="690"/>
        <v>68.535720317513935</v>
      </c>
    </row>
    <row r="736" spans="1:16" ht="47.25" x14ac:dyDescent="0.25">
      <c r="A736" s="26" t="s">
        <v>323</v>
      </c>
      <c r="B736" s="220">
        <v>906</v>
      </c>
      <c r="C736" s="218" t="s">
        <v>315</v>
      </c>
      <c r="D736" s="218" t="s">
        <v>266</v>
      </c>
      <c r="E736" s="218" t="s">
        <v>343</v>
      </c>
      <c r="F736" s="218" t="s">
        <v>324</v>
      </c>
      <c r="G736" s="28">
        <f>G737</f>
        <v>572.20000000000005</v>
      </c>
      <c r="H736" s="28">
        <f>H737</f>
        <v>334.1</v>
      </c>
      <c r="I736" s="28">
        <f t="shared" si="709"/>
        <v>572.20000000000005</v>
      </c>
      <c r="J736" s="28">
        <f t="shared" si="709"/>
        <v>572.20000000000005</v>
      </c>
      <c r="K736" s="28">
        <f t="shared" si="709"/>
        <v>572.20000000000005</v>
      </c>
      <c r="L736" s="28">
        <f t="shared" si="709"/>
        <v>572.20000000000005</v>
      </c>
      <c r="M736" s="28">
        <f t="shared" si="710"/>
        <v>592.1</v>
      </c>
      <c r="N736" s="28">
        <f t="shared" si="710"/>
        <v>405.8</v>
      </c>
      <c r="O736" s="27">
        <f t="shared" si="690"/>
        <v>68.535720317513935</v>
      </c>
    </row>
    <row r="737" spans="1:15" ht="15.75" x14ac:dyDescent="0.25">
      <c r="A737" s="26" t="s">
        <v>325</v>
      </c>
      <c r="B737" s="220">
        <v>906</v>
      </c>
      <c r="C737" s="218" t="s">
        <v>315</v>
      </c>
      <c r="D737" s="218" t="s">
        <v>266</v>
      </c>
      <c r="E737" s="218" t="s">
        <v>343</v>
      </c>
      <c r="F737" s="218" t="s">
        <v>326</v>
      </c>
      <c r="G737" s="28">
        <v>572.20000000000005</v>
      </c>
      <c r="H737" s="28">
        <v>334.1</v>
      </c>
      <c r="I737" s="28">
        <v>572.20000000000005</v>
      </c>
      <c r="J737" s="28">
        <v>572.20000000000005</v>
      </c>
      <c r="K737" s="28">
        <v>572.20000000000005</v>
      </c>
      <c r="L737" s="28">
        <v>572.20000000000005</v>
      </c>
      <c r="M737" s="28">
        <f>572.2+19.9</f>
        <v>592.1</v>
      </c>
      <c r="N737" s="28">
        <v>405.8</v>
      </c>
      <c r="O737" s="27">
        <f t="shared" si="690"/>
        <v>68.535720317513935</v>
      </c>
    </row>
    <row r="738" spans="1:15" ht="110.25" x14ac:dyDescent="0.25">
      <c r="A738" s="33" t="s">
        <v>344</v>
      </c>
      <c r="B738" s="220">
        <v>906</v>
      </c>
      <c r="C738" s="218" t="s">
        <v>315</v>
      </c>
      <c r="D738" s="218" t="s">
        <v>266</v>
      </c>
      <c r="E738" s="218" t="s">
        <v>345</v>
      </c>
      <c r="F738" s="218"/>
      <c r="G738" s="28">
        <f>G739</f>
        <v>900</v>
      </c>
      <c r="H738" s="28">
        <f>H739</f>
        <v>411.3</v>
      </c>
      <c r="I738" s="28">
        <f t="shared" ref="I738:L739" si="711">I739</f>
        <v>900</v>
      </c>
      <c r="J738" s="28">
        <f t="shared" si="711"/>
        <v>900</v>
      </c>
      <c r="K738" s="28">
        <f t="shared" si="711"/>
        <v>900</v>
      </c>
      <c r="L738" s="28">
        <f t="shared" si="711"/>
        <v>900</v>
      </c>
      <c r="M738" s="28">
        <f t="shared" ref="M738:N739" si="712">M739</f>
        <v>884.5</v>
      </c>
      <c r="N738" s="28">
        <f t="shared" si="712"/>
        <v>627.9</v>
      </c>
      <c r="O738" s="27">
        <f t="shared" si="690"/>
        <v>70.989259468626344</v>
      </c>
    </row>
    <row r="739" spans="1:15" ht="47.25" x14ac:dyDescent="0.25">
      <c r="A739" s="26" t="s">
        <v>323</v>
      </c>
      <c r="B739" s="220">
        <v>906</v>
      </c>
      <c r="C739" s="218" t="s">
        <v>315</v>
      </c>
      <c r="D739" s="218" t="s">
        <v>266</v>
      </c>
      <c r="E739" s="218" t="s">
        <v>345</v>
      </c>
      <c r="F739" s="218" t="s">
        <v>324</v>
      </c>
      <c r="G739" s="28">
        <f>G740</f>
        <v>900</v>
      </c>
      <c r="H739" s="28">
        <f>H740</f>
        <v>411.3</v>
      </c>
      <c r="I739" s="28">
        <f t="shared" si="711"/>
        <v>900</v>
      </c>
      <c r="J739" s="28">
        <f t="shared" si="711"/>
        <v>900</v>
      </c>
      <c r="K739" s="28">
        <f t="shared" si="711"/>
        <v>900</v>
      </c>
      <c r="L739" s="28">
        <f t="shared" si="711"/>
        <v>900</v>
      </c>
      <c r="M739" s="28">
        <f t="shared" si="712"/>
        <v>884.5</v>
      </c>
      <c r="N739" s="28">
        <f t="shared" si="712"/>
        <v>627.9</v>
      </c>
      <c r="O739" s="27">
        <f t="shared" si="690"/>
        <v>70.989259468626344</v>
      </c>
    </row>
    <row r="740" spans="1:15" ht="15.75" x14ac:dyDescent="0.25">
      <c r="A740" s="26" t="s">
        <v>325</v>
      </c>
      <c r="B740" s="220">
        <v>906</v>
      </c>
      <c r="C740" s="218" t="s">
        <v>315</v>
      </c>
      <c r="D740" s="218" t="s">
        <v>266</v>
      </c>
      <c r="E740" s="218" t="s">
        <v>345</v>
      </c>
      <c r="F740" s="218" t="s">
        <v>326</v>
      </c>
      <c r="G740" s="28">
        <v>900</v>
      </c>
      <c r="H740" s="28">
        <v>411.3</v>
      </c>
      <c r="I740" s="28">
        <v>900</v>
      </c>
      <c r="J740" s="28">
        <v>900</v>
      </c>
      <c r="K740" s="28">
        <v>900</v>
      </c>
      <c r="L740" s="28">
        <v>900</v>
      </c>
      <c r="M740" s="28">
        <f>900-15.5</f>
        <v>884.5</v>
      </c>
      <c r="N740" s="28">
        <v>627.9</v>
      </c>
      <c r="O740" s="27">
        <f t="shared" si="690"/>
        <v>70.989259468626344</v>
      </c>
    </row>
    <row r="741" spans="1:15" ht="21" customHeight="1" x14ac:dyDescent="0.25">
      <c r="A741" s="24" t="s">
        <v>518</v>
      </c>
      <c r="B741" s="217">
        <v>906</v>
      </c>
      <c r="C741" s="219" t="s">
        <v>315</v>
      </c>
      <c r="D741" s="219" t="s">
        <v>315</v>
      </c>
      <c r="E741" s="219"/>
      <c r="F741" s="219"/>
      <c r="G741" s="22">
        <f>G742+G747</f>
        <v>4788.6000000000004</v>
      </c>
      <c r="H741" s="22">
        <f>H742+H747</f>
        <v>4788.6000000000004</v>
      </c>
      <c r="I741" s="22">
        <f t="shared" ref="I741:L741" si="713">I742+I747</f>
        <v>4788.6000000000004</v>
      </c>
      <c r="J741" s="22">
        <f t="shared" si="713"/>
        <v>5474.8</v>
      </c>
      <c r="K741" s="22">
        <f t="shared" si="713"/>
        <v>5474.8</v>
      </c>
      <c r="L741" s="22">
        <f t="shared" si="713"/>
        <v>5474.8</v>
      </c>
      <c r="M741" s="22">
        <f t="shared" ref="M741:N741" si="714">M742+M747</f>
        <v>4887.8</v>
      </c>
      <c r="N741" s="22">
        <f t="shared" si="714"/>
        <v>4887.8</v>
      </c>
      <c r="O741" s="22">
        <f t="shared" si="690"/>
        <v>100</v>
      </c>
    </row>
    <row r="742" spans="1:15" ht="47.25" x14ac:dyDescent="0.25">
      <c r="A742" s="26" t="s">
        <v>478</v>
      </c>
      <c r="B742" s="220">
        <v>906</v>
      </c>
      <c r="C742" s="218" t="s">
        <v>315</v>
      </c>
      <c r="D742" s="218" t="s">
        <v>315</v>
      </c>
      <c r="E742" s="218" t="s">
        <v>458</v>
      </c>
      <c r="F742" s="218"/>
      <c r="G742" s="27">
        <f>G743</f>
        <v>3484.8</v>
      </c>
      <c r="H742" s="27">
        <f>H743</f>
        <v>3484.8</v>
      </c>
      <c r="I742" s="27">
        <f t="shared" ref="I742:L742" si="715">I743</f>
        <v>3484.8</v>
      </c>
      <c r="J742" s="27">
        <f t="shared" si="715"/>
        <v>4171</v>
      </c>
      <c r="K742" s="27">
        <f t="shared" si="715"/>
        <v>4171</v>
      </c>
      <c r="L742" s="27">
        <f t="shared" si="715"/>
        <v>4171</v>
      </c>
      <c r="M742" s="27">
        <f t="shared" ref="M742:N751" si="716">M743</f>
        <v>3584</v>
      </c>
      <c r="N742" s="27">
        <f t="shared" si="716"/>
        <v>3584</v>
      </c>
      <c r="O742" s="27">
        <f t="shared" si="690"/>
        <v>100</v>
      </c>
    </row>
    <row r="743" spans="1:15" ht="31.5" x14ac:dyDescent="0.25">
      <c r="A743" s="26" t="s">
        <v>519</v>
      </c>
      <c r="B743" s="220">
        <v>906</v>
      </c>
      <c r="C743" s="218" t="s">
        <v>315</v>
      </c>
      <c r="D743" s="218" t="s">
        <v>520</v>
      </c>
      <c r="E743" s="218" t="s">
        <v>521</v>
      </c>
      <c r="F743" s="218"/>
      <c r="G743" s="27">
        <f t="shared" ref="G743:L744" si="717">G744</f>
        <v>3484.8</v>
      </c>
      <c r="H743" s="27">
        <f t="shared" si="717"/>
        <v>3484.8</v>
      </c>
      <c r="I743" s="27">
        <f t="shared" si="717"/>
        <v>3484.8</v>
      </c>
      <c r="J743" s="27">
        <f t="shared" si="717"/>
        <v>4171</v>
      </c>
      <c r="K743" s="27">
        <f t="shared" si="717"/>
        <v>4171</v>
      </c>
      <c r="L743" s="27">
        <f t="shared" si="717"/>
        <v>4171</v>
      </c>
      <c r="M743" s="27">
        <f t="shared" si="716"/>
        <v>3584</v>
      </c>
      <c r="N743" s="27">
        <f t="shared" si="716"/>
        <v>3584</v>
      </c>
      <c r="O743" s="27">
        <f t="shared" si="690"/>
        <v>100</v>
      </c>
    </row>
    <row r="744" spans="1:15" ht="47.25" x14ac:dyDescent="0.25">
      <c r="A744" s="26" t="s">
        <v>522</v>
      </c>
      <c r="B744" s="220">
        <v>906</v>
      </c>
      <c r="C744" s="218" t="s">
        <v>315</v>
      </c>
      <c r="D744" s="218" t="s">
        <v>315</v>
      </c>
      <c r="E744" s="218" t="s">
        <v>523</v>
      </c>
      <c r="F744" s="218"/>
      <c r="G744" s="27">
        <f>G745</f>
        <v>3484.8</v>
      </c>
      <c r="H744" s="27">
        <f>H745</f>
        <v>3484.8</v>
      </c>
      <c r="I744" s="27">
        <f t="shared" si="717"/>
        <v>3484.8</v>
      </c>
      <c r="J744" s="27">
        <f t="shared" si="717"/>
        <v>4171</v>
      </c>
      <c r="K744" s="27">
        <f t="shared" si="717"/>
        <v>4171</v>
      </c>
      <c r="L744" s="27">
        <f t="shared" si="717"/>
        <v>4171</v>
      </c>
      <c r="M744" s="27">
        <f t="shared" si="716"/>
        <v>3584</v>
      </c>
      <c r="N744" s="27">
        <f t="shared" si="716"/>
        <v>3584</v>
      </c>
      <c r="O744" s="27">
        <f t="shared" si="690"/>
        <v>100</v>
      </c>
    </row>
    <row r="745" spans="1:15" ht="47.25" x14ac:dyDescent="0.25">
      <c r="A745" s="26" t="s">
        <v>323</v>
      </c>
      <c r="B745" s="220">
        <v>906</v>
      </c>
      <c r="C745" s="218" t="s">
        <v>315</v>
      </c>
      <c r="D745" s="218" t="s">
        <v>315</v>
      </c>
      <c r="E745" s="218" t="s">
        <v>523</v>
      </c>
      <c r="F745" s="218" t="s">
        <v>324</v>
      </c>
      <c r="G745" s="27">
        <f t="shared" ref="G745:L751" si="718">G746</f>
        <v>3484.8</v>
      </c>
      <c r="H745" s="27">
        <f t="shared" si="718"/>
        <v>3484.8</v>
      </c>
      <c r="I745" s="27">
        <f t="shared" si="718"/>
        <v>3484.8</v>
      </c>
      <c r="J745" s="27">
        <f t="shared" si="718"/>
        <v>4171</v>
      </c>
      <c r="K745" s="27">
        <f t="shared" si="718"/>
        <v>4171</v>
      </c>
      <c r="L745" s="27">
        <f t="shared" si="718"/>
        <v>4171</v>
      </c>
      <c r="M745" s="27">
        <f t="shared" si="716"/>
        <v>3584</v>
      </c>
      <c r="N745" s="27">
        <f t="shared" si="716"/>
        <v>3584</v>
      </c>
      <c r="O745" s="27">
        <f t="shared" si="690"/>
        <v>100</v>
      </c>
    </row>
    <row r="746" spans="1:15" ht="15.75" x14ac:dyDescent="0.25">
      <c r="A746" s="26" t="s">
        <v>325</v>
      </c>
      <c r="B746" s="220">
        <v>906</v>
      </c>
      <c r="C746" s="218" t="s">
        <v>315</v>
      </c>
      <c r="D746" s="218" t="s">
        <v>315</v>
      </c>
      <c r="E746" s="218" t="s">
        <v>523</v>
      </c>
      <c r="F746" s="218" t="s">
        <v>326</v>
      </c>
      <c r="G746" s="28">
        <v>3484.8</v>
      </c>
      <c r="H746" s="28">
        <v>3484.8</v>
      </c>
      <c r="I746" s="28">
        <v>3484.8</v>
      </c>
      <c r="J746" s="28">
        <v>4171</v>
      </c>
      <c r="K746" s="28">
        <v>4171</v>
      </c>
      <c r="L746" s="28">
        <v>4171</v>
      </c>
      <c r="M746" s="28">
        <f>3485+99</f>
        <v>3584</v>
      </c>
      <c r="N746" s="28">
        <v>3584</v>
      </c>
      <c r="O746" s="27">
        <f t="shared" si="690"/>
        <v>100</v>
      </c>
    </row>
    <row r="747" spans="1:15" ht="15.75" x14ac:dyDescent="0.25">
      <c r="A747" s="26" t="s">
        <v>172</v>
      </c>
      <c r="B747" s="220">
        <v>906</v>
      </c>
      <c r="C747" s="218" t="s">
        <v>315</v>
      </c>
      <c r="D747" s="218" t="s">
        <v>315</v>
      </c>
      <c r="E747" s="218" t="s">
        <v>173</v>
      </c>
      <c r="F747" s="218"/>
      <c r="G747" s="27">
        <f t="shared" ref="G747:L747" si="719">G748</f>
        <v>1303.8000000000002</v>
      </c>
      <c r="H747" s="27">
        <f t="shared" si="719"/>
        <v>1303.8000000000002</v>
      </c>
      <c r="I747" s="27">
        <f t="shared" si="719"/>
        <v>1303.8000000000002</v>
      </c>
      <c r="J747" s="27">
        <f t="shared" si="719"/>
        <v>1303.8000000000002</v>
      </c>
      <c r="K747" s="27">
        <f t="shared" si="719"/>
        <v>1303.8000000000002</v>
      </c>
      <c r="L747" s="27">
        <f t="shared" si="719"/>
        <v>1303.8000000000002</v>
      </c>
      <c r="M747" s="27">
        <f t="shared" ref="M747:N747" si="720">M748</f>
        <v>1303.8</v>
      </c>
      <c r="N747" s="27">
        <f t="shared" si="720"/>
        <v>1303.8</v>
      </c>
      <c r="O747" s="27">
        <f t="shared" si="690"/>
        <v>100</v>
      </c>
    </row>
    <row r="748" spans="1:15" ht="31.5" x14ac:dyDescent="0.25">
      <c r="A748" s="26" t="s">
        <v>236</v>
      </c>
      <c r="B748" s="220">
        <v>906</v>
      </c>
      <c r="C748" s="218" t="s">
        <v>315</v>
      </c>
      <c r="D748" s="218" t="s">
        <v>315</v>
      </c>
      <c r="E748" s="218" t="s">
        <v>237</v>
      </c>
      <c r="F748" s="218"/>
      <c r="G748" s="27">
        <f>G750</f>
        <v>1303.8000000000002</v>
      </c>
      <c r="H748" s="27">
        <f>H750</f>
        <v>1303.8000000000002</v>
      </c>
      <c r="I748" s="27">
        <f t="shared" ref="I748:L748" si="721">I750</f>
        <v>1303.8000000000002</v>
      </c>
      <c r="J748" s="27">
        <f t="shared" si="721"/>
        <v>1303.8000000000002</v>
      </c>
      <c r="K748" s="27">
        <f t="shared" si="721"/>
        <v>1303.8000000000002</v>
      </c>
      <c r="L748" s="27">
        <f t="shared" si="721"/>
        <v>1303.8000000000002</v>
      </c>
      <c r="M748" s="27">
        <f t="shared" ref="M748:N748" si="722">M750</f>
        <v>1303.8</v>
      </c>
      <c r="N748" s="27">
        <f t="shared" si="722"/>
        <v>1303.8</v>
      </c>
      <c r="O748" s="27">
        <f t="shared" si="690"/>
        <v>100</v>
      </c>
    </row>
    <row r="749" spans="1:15" ht="63" hidden="1" customHeight="1" x14ac:dyDescent="0.25">
      <c r="A749" s="26" t="s">
        <v>524</v>
      </c>
      <c r="B749" s="220">
        <v>906</v>
      </c>
      <c r="C749" s="218" t="s">
        <v>315</v>
      </c>
      <c r="D749" s="218" t="s">
        <v>315</v>
      </c>
      <c r="E749" s="218" t="s">
        <v>525</v>
      </c>
      <c r="F749" s="218"/>
      <c r="G749" s="27">
        <f t="shared" si="718"/>
        <v>1303.8000000000002</v>
      </c>
      <c r="H749" s="27">
        <f t="shared" si="718"/>
        <v>1303.8000000000002</v>
      </c>
      <c r="I749" s="27">
        <f t="shared" si="718"/>
        <v>1303.8000000000002</v>
      </c>
      <c r="J749" s="27">
        <f t="shared" si="718"/>
        <v>1303.8000000000002</v>
      </c>
      <c r="K749" s="27">
        <f t="shared" si="718"/>
        <v>1303.8000000000002</v>
      </c>
      <c r="L749" s="27">
        <f t="shared" si="718"/>
        <v>1303.8000000000002</v>
      </c>
      <c r="M749" s="27">
        <f t="shared" si="716"/>
        <v>1303.8</v>
      </c>
      <c r="N749" s="27">
        <f t="shared" si="716"/>
        <v>1303.8</v>
      </c>
      <c r="O749" s="27">
        <f t="shared" si="690"/>
        <v>100</v>
      </c>
    </row>
    <row r="750" spans="1:15" ht="31.5" x14ac:dyDescent="0.25">
      <c r="A750" s="33" t="s">
        <v>526</v>
      </c>
      <c r="B750" s="220">
        <v>906</v>
      </c>
      <c r="C750" s="218" t="s">
        <v>315</v>
      </c>
      <c r="D750" s="218" t="s">
        <v>315</v>
      </c>
      <c r="E750" s="218" t="s">
        <v>527</v>
      </c>
      <c r="F750" s="218"/>
      <c r="G750" s="27">
        <f t="shared" si="718"/>
        <v>1303.8000000000002</v>
      </c>
      <c r="H750" s="27">
        <f t="shared" si="718"/>
        <v>1303.8000000000002</v>
      </c>
      <c r="I750" s="27">
        <f t="shared" si="718"/>
        <v>1303.8000000000002</v>
      </c>
      <c r="J750" s="27">
        <f t="shared" si="718"/>
        <v>1303.8000000000002</v>
      </c>
      <c r="K750" s="27">
        <f t="shared" si="718"/>
        <v>1303.8000000000002</v>
      </c>
      <c r="L750" s="27">
        <f t="shared" si="718"/>
        <v>1303.8000000000002</v>
      </c>
      <c r="M750" s="27">
        <f t="shared" si="716"/>
        <v>1303.8</v>
      </c>
      <c r="N750" s="27">
        <f t="shared" si="716"/>
        <v>1303.8</v>
      </c>
      <c r="O750" s="27">
        <f t="shared" si="690"/>
        <v>100</v>
      </c>
    </row>
    <row r="751" spans="1:15" ht="47.25" x14ac:dyDescent="0.25">
      <c r="A751" s="26" t="s">
        <v>323</v>
      </c>
      <c r="B751" s="220">
        <v>906</v>
      </c>
      <c r="C751" s="218" t="s">
        <v>315</v>
      </c>
      <c r="D751" s="218" t="s">
        <v>315</v>
      </c>
      <c r="E751" s="218" t="s">
        <v>527</v>
      </c>
      <c r="F751" s="218" t="s">
        <v>324</v>
      </c>
      <c r="G751" s="27">
        <f>G752</f>
        <v>1303.8000000000002</v>
      </c>
      <c r="H751" s="27">
        <f>H752</f>
        <v>1303.8000000000002</v>
      </c>
      <c r="I751" s="27">
        <f t="shared" si="718"/>
        <v>1303.8000000000002</v>
      </c>
      <c r="J751" s="27">
        <f t="shared" si="718"/>
        <v>1303.8000000000002</v>
      </c>
      <c r="K751" s="27">
        <f t="shared" si="718"/>
        <v>1303.8000000000002</v>
      </c>
      <c r="L751" s="27">
        <f t="shared" si="718"/>
        <v>1303.8000000000002</v>
      </c>
      <c r="M751" s="27">
        <f t="shared" si="716"/>
        <v>1303.8</v>
      </c>
      <c r="N751" s="27">
        <f t="shared" si="716"/>
        <v>1303.8</v>
      </c>
      <c r="O751" s="27">
        <f t="shared" si="690"/>
        <v>100</v>
      </c>
    </row>
    <row r="752" spans="1:15" ht="15.75" x14ac:dyDescent="0.25">
      <c r="A752" s="26" t="s">
        <v>325</v>
      </c>
      <c r="B752" s="220">
        <v>906</v>
      </c>
      <c r="C752" s="218" t="s">
        <v>315</v>
      </c>
      <c r="D752" s="218" t="s">
        <v>315</v>
      </c>
      <c r="E752" s="218" t="s">
        <v>527</v>
      </c>
      <c r="F752" s="218" t="s">
        <v>326</v>
      </c>
      <c r="G752" s="28">
        <f>1660.4-356.6</f>
        <v>1303.8000000000002</v>
      </c>
      <c r="H752" s="28">
        <f>1660.4-356.6</f>
        <v>1303.8000000000002</v>
      </c>
      <c r="I752" s="28">
        <f t="shared" ref="I752:L752" si="723">1660.4-356.6</f>
        <v>1303.8000000000002</v>
      </c>
      <c r="J752" s="28">
        <f t="shared" si="723"/>
        <v>1303.8000000000002</v>
      </c>
      <c r="K752" s="28">
        <f t="shared" si="723"/>
        <v>1303.8000000000002</v>
      </c>
      <c r="L752" s="28">
        <f t="shared" si="723"/>
        <v>1303.8000000000002</v>
      </c>
      <c r="M752" s="28">
        <v>1303.8</v>
      </c>
      <c r="N752" s="28">
        <v>1303.8</v>
      </c>
      <c r="O752" s="27">
        <f t="shared" si="690"/>
        <v>100</v>
      </c>
    </row>
    <row r="753" spans="1:15" ht="15.75" x14ac:dyDescent="0.25">
      <c r="A753" s="24" t="s">
        <v>346</v>
      </c>
      <c r="B753" s="217">
        <v>906</v>
      </c>
      <c r="C753" s="219" t="s">
        <v>315</v>
      </c>
      <c r="D753" s="219" t="s">
        <v>270</v>
      </c>
      <c r="E753" s="219"/>
      <c r="F753" s="219"/>
      <c r="G753" s="22">
        <f>G754+G763</f>
        <v>18322.300000000003</v>
      </c>
      <c r="H753" s="22">
        <f t="shared" ref="H753:L753" si="724">H754+H763</f>
        <v>13841.999999999998</v>
      </c>
      <c r="I753" s="22">
        <f t="shared" si="724"/>
        <v>18662.7</v>
      </c>
      <c r="J753" s="22">
        <f t="shared" si="724"/>
        <v>19851.600000000002</v>
      </c>
      <c r="K753" s="22">
        <f t="shared" si="724"/>
        <v>19974.900000000001</v>
      </c>
      <c r="L753" s="22">
        <f t="shared" si="724"/>
        <v>20099.5</v>
      </c>
      <c r="M753" s="22">
        <f t="shared" ref="M753:N753" si="725">M754+M763</f>
        <v>18775.5</v>
      </c>
      <c r="N753" s="22">
        <f t="shared" si="725"/>
        <v>14053.100000000002</v>
      </c>
      <c r="O753" s="22">
        <f t="shared" si="690"/>
        <v>74.848073286996367</v>
      </c>
    </row>
    <row r="754" spans="1:15" ht="47.25" hidden="1" x14ac:dyDescent="0.25">
      <c r="A754" s="26" t="s">
        <v>385</v>
      </c>
      <c r="B754" s="220">
        <v>906</v>
      </c>
      <c r="C754" s="218" t="s">
        <v>315</v>
      </c>
      <c r="D754" s="218" t="s">
        <v>270</v>
      </c>
      <c r="E754" s="218" t="s">
        <v>386</v>
      </c>
      <c r="F754" s="218"/>
      <c r="G754" s="27">
        <f>G755+G758</f>
        <v>20</v>
      </c>
      <c r="H754" s="27">
        <f>H755+H758</f>
        <v>0</v>
      </c>
      <c r="I754" s="27">
        <f t="shared" ref="I754:L754" si="726">I755+I758</f>
        <v>20</v>
      </c>
      <c r="J754" s="27">
        <f t="shared" si="726"/>
        <v>0</v>
      </c>
      <c r="K754" s="27">
        <f t="shared" si="726"/>
        <v>0</v>
      </c>
      <c r="L754" s="27">
        <f t="shared" si="726"/>
        <v>0</v>
      </c>
      <c r="M754" s="27">
        <f t="shared" ref="M754:N754" si="727">M755+M758</f>
        <v>0</v>
      </c>
      <c r="N754" s="27">
        <f t="shared" si="727"/>
        <v>0</v>
      </c>
      <c r="O754" s="27" t="e">
        <f t="shared" si="690"/>
        <v>#DIV/0!</v>
      </c>
    </row>
    <row r="755" spans="1:15" ht="31.5" hidden="1" customHeight="1" x14ac:dyDescent="0.25">
      <c r="A755" s="26" t="s">
        <v>387</v>
      </c>
      <c r="B755" s="220">
        <v>906</v>
      </c>
      <c r="C755" s="218" t="s">
        <v>315</v>
      </c>
      <c r="D755" s="218" t="s">
        <v>270</v>
      </c>
      <c r="E755" s="218" t="s">
        <v>388</v>
      </c>
      <c r="F755" s="218"/>
      <c r="G755" s="27">
        <f>G756</f>
        <v>0</v>
      </c>
      <c r="H755" s="27">
        <f>H756</f>
        <v>0</v>
      </c>
      <c r="I755" s="27">
        <f t="shared" ref="I755:L756" si="728">I756</f>
        <v>0</v>
      </c>
      <c r="J755" s="27">
        <f t="shared" si="728"/>
        <v>0</v>
      </c>
      <c r="K755" s="27">
        <f t="shared" si="728"/>
        <v>0</v>
      </c>
      <c r="L755" s="27">
        <f t="shared" si="728"/>
        <v>0</v>
      </c>
      <c r="M755" s="27">
        <f t="shared" ref="M755:N756" si="729">M756</f>
        <v>0</v>
      </c>
      <c r="N755" s="27">
        <f t="shared" si="729"/>
        <v>0</v>
      </c>
      <c r="O755" s="27" t="e">
        <f t="shared" si="690"/>
        <v>#DIV/0!</v>
      </c>
    </row>
    <row r="756" spans="1:15" ht="31.5" hidden="1" customHeight="1" x14ac:dyDescent="0.25">
      <c r="A756" s="26" t="s">
        <v>182</v>
      </c>
      <c r="B756" s="220">
        <v>906</v>
      </c>
      <c r="C756" s="218" t="s">
        <v>315</v>
      </c>
      <c r="D756" s="218" t="s">
        <v>270</v>
      </c>
      <c r="E756" s="218" t="s">
        <v>388</v>
      </c>
      <c r="F756" s="218" t="s">
        <v>183</v>
      </c>
      <c r="G756" s="27">
        <f>G757</f>
        <v>0</v>
      </c>
      <c r="H756" s="27">
        <f>H757</f>
        <v>0</v>
      </c>
      <c r="I756" s="27">
        <f t="shared" si="728"/>
        <v>0</v>
      </c>
      <c r="J756" s="27">
        <f t="shared" si="728"/>
        <v>0</v>
      </c>
      <c r="K756" s="27">
        <f t="shared" si="728"/>
        <v>0</v>
      </c>
      <c r="L756" s="27">
        <f t="shared" si="728"/>
        <v>0</v>
      </c>
      <c r="M756" s="27">
        <f t="shared" si="729"/>
        <v>0</v>
      </c>
      <c r="N756" s="27">
        <f t="shared" si="729"/>
        <v>0</v>
      </c>
      <c r="O756" s="27" t="e">
        <f t="shared" si="690"/>
        <v>#DIV/0!</v>
      </c>
    </row>
    <row r="757" spans="1:15" ht="47.25" hidden="1" customHeight="1" x14ac:dyDescent="0.25">
      <c r="A757" s="26" t="s">
        <v>184</v>
      </c>
      <c r="B757" s="220">
        <v>906</v>
      </c>
      <c r="C757" s="218" t="s">
        <v>315</v>
      </c>
      <c r="D757" s="218" t="s">
        <v>270</v>
      </c>
      <c r="E757" s="218" t="s">
        <v>388</v>
      </c>
      <c r="F757" s="218" t="s">
        <v>185</v>
      </c>
      <c r="G757" s="27">
        <f>50-50</f>
        <v>0</v>
      </c>
      <c r="H757" s="27">
        <f>50-50</f>
        <v>0</v>
      </c>
      <c r="I757" s="27">
        <f t="shared" ref="I757:L757" si="730">50-50</f>
        <v>0</v>
      </c>
      <c r="J757" s="27">
        <f t="shared" si="730"/>
        <v>0</v>
      </c>
      <c r="K757" s="27">
        <f t="shared" si="730"/>
        <v>0</v>
      </c>
      <c r="L757" s="27">
        <f t="shared" si="730"/>
        <v>0</v>
      </c>
      <c r="M757" s="27">
        <f t="shared" ref="M757:N757" si="731">50-50</f>
        <v>0</v>
      </c>
      <c r="N757" s="27">
        <f t="shared" si="731"/>
        <v>0</v>
      </c>
      <c r="O757" s="27" t="e">
        <f t="shared" si="690"/>
        <v>#DIV/0!</v>
      </c>
    </row>
    <row r="758" spans="1:15" ht="63" hidden="1" x14ac:dyDescent="0.25">
      <c r="A758" s="26" t="s">
        <v>528</v>
      </c>
      <c r="B758" s="220">
        <v>906</v>
      </c>
      <c r="C758" s="218" t="s">
        <v>315</v>
      </c>
      <c r="D758" s="218" t="s">
        <v>270</v>
      </c>
      <c r="E758" s="218" t="s">
        <v>529</v>
      </c>
      <c r="F758" s="218"/>
      <c r="G758" s="27">
        <f>G759+G761</f>
        <v>20</v>
      </c>
      <c r="H758" s="27">
        <f>H759+H761</f>
        <v>0</v>
      </c>
      <c r="I758" s="27">
        <f t="shared" ref="I758:L758" si="732">I759+I761</f>
        <v>20</v>
      </c>
      <c r="J758" s="27">
        <f t="shared" si="732"/>
        <v>0</v>
      </c>
      <c r="K758" s="27">
        <f t="shared" si="732"/>
        <v>0</v>
      </c>
      <c r="L758" s="27">
        <f t="shared" si="732"/>
        <v>0</v>
      </c>
      <c r="M758" s="27">
        <f t="shared" ref="M758:N758" si="733">M759+M761</f>
        <v>0</v>
      </c>
      <c r="N758" s="27">
        <f t="shared" si="733"/>
        <v>0</v>
      </c>
      <c r="O758" s="27" t="e">
        <f t="shared" si="690"/>
        <v>#DIV/0!</v>
      </c>
    </row>
    <row r="759" spans="1:15" ht="94.5" hidden="1" x14ac:dyDescent="0.25">
      <c r="A759" s="26" t="s">
        <v>178</v>
      </c>
      <c r="B759" s="220">
        <v>906</v>
      </c>
      <c r="C759" s="218" t="s">
        <v>315</v>
      </c>
      <c r="D759" s="218" t="s">
        <v>270</v>
      </c>
      <c r="E759" s="218" t="s">
        <v>529</v>
      </c>
      <c r="F759" s="218" t="s">
        <v>179</v>
      </c>
      <c r="G759" s="27">
        <f>G760</f>
        <v>5</v>
      </c>
      <c r="H759" s="27">
        <f>H760</f>
        <v>0</v>
      </c>
      <c r="I759" s="27">
        <f t="shared" ref="I759:L759" si="734">I760</f>
        <v>5</v>
      </c>
      <c r="J759" s="27">
        <f t="shared" si="734"/>
        <v>0</v>
      </c>
      <c r="K759" s="27">
        <f t="shared" si="734"/>
        <v>0</v>
      </c>
      <c r="L759" s="27">
        <f t="shared" si="734"/>
        <v>0</v>
      </c>
      <c r="M759" s="27">
        <f t="shared" ref="M759:N759" si="735">M760</f>
        <v>0</v>
      </c>
      <c r="N759" s="27">
        <f t="shared" si="735"/>
        <v>0</v>
      </c>
      <c r="O759" s="27" t="e">
        <f t="shared" si="690"/>
        <v>#DIV/0!</v>
      </c>
    </row>
    <row r="760" spans="1:15" ht="31.5" hidden="1" x14ac:dyDescent="0.25">
      <c r="A760" s="26" t="s">
        <v>393</v>
      </c>
      <c r="B760" s="220">
        <v>906</v>
      </c>
      <c r="C760" s="218" t="s">
        <v>315</v>
      </c>
      <c r="D760" s="218" t="s">
        <v>270</v>
      </c>
      <c r="E760" s="218" t="s">
        <v>529</v>
      </c>
      <c r="F760" s="218" t="s">
        <v>260</v>
      </c>
      <c r="G760" s="27">
        <v>5</v>
      </c>
      <c r="H760" s="27">
        <v>0</v>
      </c>
      <c r="I760" s="27">
        <v>5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 t="e">
        <f t="shared" si="690"/>
        <v>#DIV/0!</v>
      </c>
    </row>
    <row r="761" spans="1:15" ht="31.5" hidden="1" x14ac:dyDescent="0.25">
      <c r="A761" s="26" t="s">
        <v>182</v>
      </c>
      <c r="B761" s="220">
        <v>906</v>
      </c>
      <c r="C761" s="218" t="s">
        <v>315</v>
      </c>
      <c r="D761" s="218" t="s">
        <v>270</v>
      </c>
      <c r="E761" s="218" t="s">
        <v>529</v>
      </c>
      <c r="F761" s="218" t="s">
        <v>183</v>
      </c>
      <c r="G761" s="27">
        <f>G762</f>
        <v>15</v>
      </c>
      <c r="H761" s="27">
        <f>H762</f>
        <v>0</v>
      </c>
      <c r="I761" s="27">
        <f t="shared" ref="I761:L761" si="736">I762</f>
        <v>15</v>
      </c>
      <c r="J761" s="27">
        <f t="shared" si="736"/>
        <v>0</v>
      </c>
      <c r="K761" s="27">
        <f t="shared" si="736"/>
        <v>0</v>
      </c>
      <c r="L761" s="27">
        <f t="shared" si="736"/>
        <v>0</v>
      </c>
      <c r="M761" s="27">
        <f t="shared" ref="M761:N761" si="737">M762</f>
        <v>0</v>
      </c>
      <c r="N761" s="27">
        <f t="shared" si="737"/>
        <v>0</v>
      </c>
      <c r="O761" s="27" t="e">
        <f t="shared" si="690"/>
        <v>#DIV/0!</v>
      </c>
    </row>
    <row r="762" spans="1:15" ht="47.25" hidden="1" x14ac:dyDescent="0.25">
      <c r="A762" s="26" t="s">
        <v>184</v>
      </c>
      <c r="B762" s="220">
        <v>906</v>
      </c>
      <c r="C762" s="218" t="s">
        <v>315</v>
      </c>
      <c r="D762" s="218" t="s">
        <v>270</v>
      </c>
      <c r="E762" s="218" t="s">
        <v>529</v>
      </c>
      <c r="F762" s="218" t="s">
        <v>185</v>
      </c>
      <c r="G762" s="27">
        <v>15</v>
      </c>
      <c r="H762" s="27">
        <v>0</v>
      </c>
      <c r="I762" s="27">
        <v>15</v>
      </c>
      <c r="J762" s="27">
        <v>0</v>
      </c>
      <c r="K762" s="27">
        <v>0</v>
      </c>
      <c r="L762" s="27">
        <v>0</v>
      </c>
      <c r="M762" s="27">
        <v>0</v>
      </c>
      <c r="N762" s="27">
        <v>0</v>
      </c>
      <c r="O762" s="27" t="e">
        <f t="shared" si="690"/>
        <v>#DIV/0!</v>
      </c>
    </row>
    <row r="763" spans="1:15" ht="15.75" x14ac:dyDescent="0.25">
      <c r="A763" s="26" t="s">
        <v>172</v>
      </c>
      <c r="B763" s="220">
        <v>906</v>
      </c>
      <c r="C763" s="218" t="s">
        <v>315</v>
      </c>
      <c r="D763" s="218" t="s">
        <v>270</v>
      </c>
      <c r="E763" s="218" t="s">
        <v>173</v>
      </c>
      <c r="F763" s="218"/>
      <c r="G763" s="27">
        <f>G764+G770</f>
        <v>18302.300000000003</v>
      </c>
      <c r="H763" s="27">
        <f>H764+H770</f>
        <v>13841.999999999998</v>
      </c>
      <c r="I763" s="27">
        <f t="shared" ref="I763:L763" si="738">I764+I770</f>
        <v>18642.7</v>
      </c>
      <c r="J763" s="27">
        <f t="shared" si="738"/>
        <v>19851.600000000002</v>
      </c>
      <c r="K763" s="27">
        <f t="shared" si="738"/>
        <v>19974.900000000001</v>
      </c>
      <c r="L763" s="27">
        <f t="shared" si="738"/>
        <v>20099.5</v>
      </c>
      <c r="M763" s="27">
        <f t="shared" ref="M763:N763" si="739">M764+M770</f>
        <v>18775.5</v>
      </c>
      <c r="N763" s="27">
        <f t="shared" si="739"/>
        <v>14053.100000000002</v>
      </c>
      <c r="O763" s="27">
        <f t="shared" si="690"/>
        <v>74.848073286996367</v>
      </c>
    </row>
    <row r="764" spans="1:15" ht="31.5" x14ac:dyDescent="0.25">
      <c r="A764" s="26" t="s">
        <v>174</v>
      </c>
      <c r="B764" s="220">
        <v>906</v>
      </c>
      <c r="C764" s="218" t="s">
        <v>315</v>
      </c>
      <c r="D764" s="218" t="s">
        <v>270</v>
      </c>
      <c r="E764" s="218" t="s">
        <v>175</v>
      </c>
      <c r="F764" s="218"/>
      <c r="G764" s="27">
        <f t="shared" ref="G764:L764" si="740">G765</f>
        <v>5138.7</v>
      </c>
      <c r="H764" s="27">
        <f t="shared" si="740"/>
        <v>4105</v>
      </c>
      <c r="I764" s="27">
        <f t="shared" si="740"/>
        <v>5221.4000000000005</v>
      </c>
      <c r="J764" s="27">
        <f t="shared" si="740"/>
        <v>5488.3</v>
      </c>
      <c r="K764" s="27">
        <f t="shared" si="740"/>
        <v>5488.3</v>
      </c>
      <c r="L764" s="27">
        <f t="shared" si="740"/>
        <v>5488.3</v>
      </c>
      <c r="M764" s="27">
        <f t="shared" ref="M764:N764" si="741">M765</f>
        <v>5276.7</v>
      </c>
      <c r="N764" s="27">
        <f t="shared" si="741"/>
        <v>4159.7</v>
      </c>
      <c r="O764" s="27">
        <f t="shared" si="690"/>
        <v>78.831466636344686</v>
      </c>
    </row>
    <row r="765" spans="1:15" ht="47.25" x14ac:dyDescent="0.25">
      <c r="A765" s="26" t="s">
        <v>176</v>
      </c>
      <c r="B765" s="220">
        <v>906</v>
      </c>
      <c r="C765" s="218" t="s">
        <v>315</v>
      </c>
      <c r="D765" s="218" t="s">
        <v>270</v>
      </c>
      <c r="E765" s="218" t="s">
        <v>177</v>
      </c>
      <c r="F765" s="218"/>
      <c r="G765" s="27">
        <f>G766+G768</f>
        <v>5138.7</v>
      </c>
      <c r="H765" s="27">
        <f>H766+H768</f>
        <v>4105</v>
      </c>
      <c r="I765" s="27">
        <f t="shared" ref="I765:L765" si="742">I766+I768</f>
        <v>5221.4000000000005</v>
      </c>
      <c r="J765" s="27">
        <f t="shared" si="742"/>
        <v>5488.3</v>
      </c>
      <c r="K765" s="27">
        <f t="shared" si="742"/>
        <v>5488.3</v>
      </c>
      <c r="L765" s="27">
        <f t="shared" si="742"/>
        <v>5488.3</v>
      </c>
      <c r="M765" s="27">
        <f t="shared" ref="M765:N765" si="743">M766+M768</f>
        <v>5276.7</v>
      </c>
      <c r="N765" s="27">
        <f t="shared" si="743"/>
        <v>4159.7</v>
      </c>
      <c r="O765" s="27">
        <f t="shared" si="690"/>
        <v>78.831466636344686</v>
      </c>
    </row>
    <row r="766" spans="1:15" ht="94.5" x14ac:dyDescent="0.25">
      <c r="A766" s="26" t="s">
        <v>178</v>
      </c>
      <c r="B766" s="220">
        <v>906</v>
      </c>
      <c r="C766" s="218" t="s">
        <v>315</v>
      </c>
      <c r="D766" s="218" t="s">
        <v>270</v>
      </c>
      <c r="E766" s="218" t="s">
        <v>177</v>
      </c>
      <c r="F766" s="218" t="s">
        <v>179</v>
      </c>
      <c r="G766" s="27">
        <f t="shared" ref="G766:L766" si="744">G767</f>
        <v>4981.5</v>
      </c>
      <c r="H766" s="27">
        <f t="shared" si="744"/>
        <v>4009.1</v>
      </c>
      <c r="I766" s="27">
        <f t="shared" si="744"/>
        <v>5072.6000000000004</v>
      </c>
      <c r="J766" s="27">
        <f t="shared" si="744"/>
        <v>4925.5</v>
      </c>
      <c r="K766" s="27">
        <f t="shared" si="744"/>
        <v>4925.5</v>
      </c>
      <c r="L766" s="27">
        <f t="shared" si="744"/>
        <v>4925.5</v>
      </c>
      <c r="M766" s="27">
        <f t="shared" ref="M766:N766" si="745">M767</f>
        <v>5119.5</v>
      </c>
      <c r="N766" s="27">
        <f t="shared" si="745"/>
        <v>4024.9</v>
      </c>
      <c r="O766" s="27">
        <f t="shared" si="690"/>
        <v>78.619005762281475</v>
      </c>
    </row>
    <row r="767" spans="1:15" ht="31.5" x14ac:dyDescent="0.25">
      <c r="A767" s="26" t="s">
        <v>180</v>
      </c>
      <c r="B767" s="220">
        <v>906</v>
      </c>
      <c r="C767" s="218" t="s">
        <v>315</v>
      </c>
      <c r="D767" s="218" t="s">
        <v>270</v>
      </c>
      <c r="E767" s="218" t="s">
        <v>177</v>
      </c>
      <c r="F767" s="218" t="s">
        <v>181</v>
      </c>
      <c r="G767" s="28">
        <f>4975.7+5.8</f>
        <v>4981.5</v>
      </c>
      <c r="H767" s="28">
        <v>4009.1</v>
      </c>
      <c r="I767" s="28">
        <v>5072.6000000000004</v>
      </c>
      <c r="J767" s="28">
        <v>4925.5</v>
      </c>
      <c r="K767" s="28">
        <v>4925.5</v>
      </c>
      <c r="L767" s="28">
        <v>4925.5</v>
      </c>
      <c r="M767" s="28">
        <v>5119.5</v>
      </c>
      <c r="N767" s="28">
        <v>4024.9</v>
      </c>
      <c r="O767" s="27">
        <f t="shared" si="690"/>
        <v>78.619005762281475</v>
      </c>
    </row>
    <row r="768" spans="1:15" ht="31.5" x14ac:dyDescent="0.25">
      <c r="A768" s="26" t="s">
        <v>182</v>
      </c>
      <c r="B768" s="220">
        <v>906</v>
      </c>
      <c r="C768" s="218" t="s">
        <v>315</v>
      </c>
      <c r="D768" s="218" t="s">
        <v>270</v>
      </c>
      <c r="E768" s="218" t="s">
        <v>177</v>
      </c>
      <c r="F768" s="218" t="s">
        <v>183</v>
      </c>
      <c r="G768" s="27">
        <f t="shared" ref="G768:L768" si="746">G769</f>
        <v>157.19999999999999</v>
      </c>
      <c r="H768" s="27">
        <f t="shared" si="746"/>
        <v>95.9</v>
      </c>
      <c r="I768" s="27">
        <f t="shared" si="746"/>
        <v>148.80000000000001</v>
      </c>
      <c r="J768" s="27">
        <f t="shared" si="746"/>
        <v>562.79999999999995</v>
      </c>
      <c r="K768" s="27">
        <f t="shared" si="746"/>
        <v>562.79999999999995</v>
      </c>
      <c r="L768" s="27">
        <f t="shared" si="746"/>
        <v>562.79999999999995</v>
      </c>
      <c r="M768" s="27">
        <f t="shared" ref="M768:N768" si="747">M769</f>
        <v>157.19999999999999</v>
      </c>
      <c r="N768" s="27">
        <f t="shared" si="747"/>
        <v>134.80000000000001</v>
      </c>
      <c r="O768" s="27">
        <f t="shared" si="690"/>
        <v>85.750636132315535</v>
      </c>
    </row>
    <row r="769" spans="1:15" ht="47.25" x14ac:dyDescent="0.25">
      <c r="A769" s="26" t="s">
        <v>184</v>
      </c>
      <c r="B769" s="220">
        <v>906</v>
      </c>
      <c r="C769" s="218" t="s">
        <v>315</v>
      </c>
      <c r="D769" s="218" t="s">
        <v>270</v>
      </c>
      <c r="E769" s="218" t="s">
        <v>177</v>
      </c>
      <c r="F769" s="218" t="s">
        <v>185</v>
      </c>
      <c r="G769" s="27">
        <f>163-5.8</f>
        <v>157.19999999999999</v>
      </c>
      <c r="H769" s="27">
        <v>95.9</v>
      </c>
      <c r="I769" s="27">
        <v>148.80000000000001</v>
      </c>
      <c r="J769" s="27">
        <v>562.79999999999995</v>
      </c>
      <c r="K769" s="27">
        <v>562.79999999999995</v>
      </c>
      <c r="L769" s="27">
        <v>562.79999999999995</v>
      </c>
      <c r="M769" s="27">
        <f t="shared" ref="M769" si="748">163-5.8</f>
        <v>157.19999999999999</v>
      </c>
      <c r="N769" s="27">
        <v>134.80000000000001</v>
      </c>
      <c r="O769" s="27">
        <f t="shared" si="690"/>
        <v>85.750636132315535</v>
      </c>
    </row>
    <row r="770" spans="1:15" ht="15.75" x14ac:dyDescent="0.25">
      <c r="A770" s="26" t="s">
        <v>192</v>
      </c>
      <c r="B770" s="220">
        <v>906</v>
      </c>
      <c r="C770" s="218" t="s">
        <v>315</v>
      </c>
      <c r="D770" s="218" t="s">
        <v>270</v>
      </c>
      <c r="E770" s="218" t="s">
        <v>193</v>
      </c>
      <c r="F770" s="218"/>
      <c r="G770" s="27">
        <f>G774+G771</f>
        <v>13163.600000000002</v>
      </c>
      <c r="H770" s="27">
        <f>H774+H771</f>
        <v>9736.9999999999982</v>
      </c>
      <c r="I770" s="27">
        <f t="shared" ref="I770:L770" si="749">I774+I771</f>
        <v>13421.300000000001</v>
      </c>
      <c r="J770" s="27">
        <f t="shared" si="749"/>
        <v>14363.300000000001</v>
      </c>
      <c r="K770" s="27">
        <f t="shared" si="749"/>
        <v>14486.6</v>
      </c>
      <c r="L770" s="27">
        <f t="shared" si="749"/>
        <v>14611.2</v>
      </c>
      <c r="M770" s="27">
        <f t="shared" ref="M770:N770" si="750">M774+M771</f>
        <v>13498.800000000001</v>
      </c>
      <c r="N770" s="27">
        <f t="shared" si="750"/>
        <v>9893.4000000000015</v>
      </c>
      <c r="O770" s="27">
        <f t="shared" si="690"/>
        <v>73.290959196373024</v>
      </c>
    </row>
    <row r="771" spans="1:15" ht="15.75" x14ac:dyDescent="0.25">
      <c r="A771" s="26" t="s">
        <v>530</v>
      </c>
      <c r="B771" s="220">
        <v>906</v>
      </c>
      <c r="C771" s="218" t="s">
        <v>315</v>
      </c>
      <c r="D771" s="218" t="s">
        <v>270</v>
      </c>
      <c r="E771" s="218" t="s">
        <v>531</v>
      </c>
      <c r="F771" s="218"/>
      <c r="G771" s="27">
        <f>G772</f>
        <v>375</v>
      </c>
      <c r="H771" s="27">
        <f>H772</f>
        <v>212.5</v>
      </c>
      <c r="I771" s="27">
        <f t="shared" ref="I771:L772" si="751">I772</f>
        <v>375</v>
      </c>
      <c r="J771" s="27">
        <f t="shared" si="751"/>
        <v>0</v>
      </c>
      <c r="K771" s="27">
        <f t="shared" si="751"/>
        <v>0</v>
      </c>
      <c r="L771" s="27">
        <f t="shared" si="751"/>
        <v>0</v>
      </c>
      <c r="M771" s="27">
        <f t="shared" ref="M771:N772" si="752">M772</f>
        <v>600</v>
      </c>
      <c r="N771" s="27">
        <f t="shared" si="752"/>
        <v>198.1</v>
      </c>
      <c r="O771" s="27">
        <f t="shared" si="690"/>
        <v>33.016666666666666</v>
      </c>
    </row>
    <row r="772" spans="1:15" ht="31.5" x14ac:dyDescent="0.25">
      <c r="A772" s="26" t="s">
        <v>182</v>
      </c>
      <c r="B772" s="220">
        <v>906</v>
      </c>
      <c r="C772" s="218" t="s">
        <v>315</v>
      </c>
      <c r="D772" s="218" t="s">
        <v>270</v>
      </c>
      <c r="E772" s="218" t="s">
        <v>531</v>
      </c>
      <c r="F772" s="218" t="s">
        <v>183</v>
      </c>
      <c r="G772" s="27">
        <f>G773</f>
        <v>375</v>
      </c>
      <c r="H772" s="27">
        <f>H773</f>
        <v>212.5</v>
      </c>
      <c r="I772" s="27">
        <f t="shared" si="751"/>
        <v>375</v>
      </c>
      <c r="J772" s="27">
        <f t="shared" si="751"/>
        <v>0</v>
      </c>
      <c r="K772" s="27">
        <f t="shared" si="751"/>
        <v>0</v>
      </c>
      <c r="L772" s="27">
        <f t="shared" si="751"/>
        <v>0</v>
      </c>
      <c r="M772" s="27">
        <f t="shared" si="752"/>
        <v>600</v>
      </c>
      <c r="N772" s="27">
        <f t="shared" si="752"/>
        <v>198.1</v>
      </c>
      <c r="O772" s="27">
        <f t="shared" si="690"/>
        <v>33.016666666666666</v>
      </c>
    </row>
    <row r="773" spans="1:15" ht="47.25" x14ac:dyDescent="0.25">
      <c r="A773" s="26" t="s">
        <v>184</v>
      </c>
      <c r="B773" s="220">
        <v>906</v>
      </c>
      <c r="C773" s="218" t="s">
        <v>315</v>
      </c>
      <c r="D773" s="218" t="s">
        <v>270</v>
      </c>
      <c r="E773" s="218" t="s">
        <v>531</v>
      </c>
      <c r="F773" s="218" t="s">
        <v>185</v>
      </c>
      <c r="G773" s="27">
        <f>206.3+143.7+25</f>
        <v>375</v>
      </c>
      <c r="H773" s="27">
        <v>212.5</v>
      </c>
      <c r="I773" s="27">
        <f t="shared" ref="I773" si="753">206.3+143.7+25</f>
        <v>375</v>
      </c>
      <c r="J773" s="27">
        <v>0</v>
      </c>
      <c r="K773" s="27">
        <v>0</v>
      </c>
      <c r="L773" s="27">
        <v>0</v>
      </c>
      <c r="M773" s="27">
        <f>350-35+35+250</f>
        <v>600</v>
      </c>
      <c r="N773" s="27">
        <v>198.1</v>
      </c>
      <c r="O773" s="27">
        <f t="shared" si="690"/>
        <v>33.016666666666666</v>
      </c>
    </row>
    <row r="774" spans="1:15" ht="31.5" x14ac:dyDescent="0.25">
      <c r="A774" s="26" t="s">
        <v>391</v>
      </c>
      <c r="B774" s="220">
        <v>906</v>
      </c>
      <c r="C774" s="218" t="s">
        <v>315</v>
      </c>
      <c r="D774" s="218" t="s">
        <v>270</v>
      </c>
      <c r="E774" s="218" t="s">
        <v>392</v>
      </c>
      <c r="F774" s="218"/>
      <c r="G774" s="27">
        <f>G775+G777+G779</f>
        <v>12788.600000000002</v>
      </c>
      <c r="H774" s="27">
        <f>H775+H777+H779</f>
        <v>9524.4999999999982</v>
      </c>
      <c r="I774" s="27">
        <f t="shared" ref="I774:L774" si="754">I775+I777+I779</f>
        <v>13046.300000000001</v>
      </c>
      <c r="J774" s="27">
        <f t="shared" si="754"/>
        <v>14363.300000000001</v>
      </c>
      <c r="K774" s="27">
        <f t="shared" si="754"/>
        <v>14486.6</v>
      </c>
      <c r="L774" s="27">
        <f t="shared" si="754"/>
        <v>14611.2</v>
      </c>
      <c r="M774" s="27">
        <f t="shared" ref="M774:N774" si="755">M775+M777+M779</f>
        <v>12898.800000000001</v>
      </c>
      <c r="N774" s="27">
        <f t="shared" si="755"/>
        <v>9695.3000000000011</v>
      </c>
      <c r="O774" s="27">
        <f t="shared" si="690"/>
        <v>75.164356374236363</v>
      </c>
    </row>
    <row r="775" spans="1:15" ht="94.5" x14ac:dyDescent="0.25">
      <c r="A775" s="26" t="s">
        <v>178</v>
      </c>
      <c r="B775" s="220">
        <v>906</v>
      </c>
      <c r="C775" s="218" t="s">
        <v>315</v>
      </c>
      <c r="D775" s="218" t="s">
        <v>270</v>
      </c>
      <c r="E775" s="218" t="s">
        <v>392</v>
      </c>
      <c r="F775" s="218" t="s">
        <v>179</v>
      </c>
      <c r="G775" s="27">
        <f>G776</f>
        <v>11519.300000000001</v>
      </c>
      <c r="H775" s="27">
        <f>H776</f>
        <v>8420.7999999999993</v>
      </c>
      <c r="I775" s="27">
        <f t="shared" ref="I775:L775" si="756">I776</f>
        <v>11777</v>
      </c>
      <c r="J775" s="27">
        <f t="shared" si="756"/>
        <v>12334.2</v>
      </c>
      <c r="K775" s="27">
        <f t="shared" si="756"/>
        <v>12457.5</v>
      </c>
      <c r="L775" s="27">
        <f t="shared" si="756"/>
        <v>12582.1</v>
      </c>
      <c r="M775" s="27">
        <f t="shared" ref="M775:N775" si="757">M776</f>
        <v>11597.000000000002</v>
      </c>
      <c r="N775" s="27">
        <f t="shared" si="757"/>
        <v>8711.1</v>
      </c>
      <c r="O775" s="27">
        <f t="shared" si="690"/>
        <v>75.115115978270225</v>
      </c>
    </row>
    <row r="776" spans="1:15" ht="31.5" x14ac:dyDescent="0.25">
      <c r="A776" s="26" t="s">
        <v>393</v>
      </c>
      <c r="B776" s="220">
        <v>906</v>
      </c>
      <c r="C776" s="218" t="s">
        <v>315</v>
      </c>
      <c r="D776" s="218" t="s">
        <v>270</v>
      </c>
      <c r="E776" s="218" t="s">
        <v>392</v>
      </c>
      <c r="F776" s="218" t="s">
        <v>260</v>
      </c>
      <c r="G776" s="28">
        <f>11988.7-469.4</f>
        <v>11519.300000000001</v>
      </c>
      <c r="H776" s="28">
        <v>8420.7999999999993</v>
      </c>
      <c r="I776" s="28">
        <v>11777</v>
      </c>
      <c r="J776" s="28">
        <v>12334.2</v>
      </c>
      <c r="K776" s="28">
        <v>12457.5</v>
      </c>
      <c r="L776" s="28">
        <v>12582.1</v>
      </c>
      <c r="M776" s="28">
        <f>11988.7-469.4+77.7</f>
        <v>11597.000000000002</v>
      </c>
      <c r="N776" s="28">
        <v>8711.1</v>
      </c>
      <c r="O776" s="27">
        <f t="shared" si="690"/>
        <v>75.115115978270225</v>
      </c>
    </row>
    <row r="777" spans="1:15" ht="31.5" x14ac:dyDescent="0.25">
      <c r="A777" s="26" t="s">
        <v>182</v>
      </c>
      <c r="B777" s="220">
        <v>906</v>
      </c>
      <c r="C777" s="218" t="s">
        <v>315</v>
      </c>
      <c r="D777" s="218" t="s">
        <v>270</v>
      </c>
      <c r="E777" s="218" t="s">
        <v>392</v>
      </c>
      <c r="F777" s="218" t="s">
        <v>183</v>
      </c>
      <c r="G777" s="27">
        <f>G778</f>
        <v>1264.0999999999999</v>
      </c>
      <c r="H777" s="27">
        <f>H778</f>
        <v>1098.8</v>
      </c>
      <c r="I777" s="27">
        <f t="shared" ref="I777:L777" si="758">I778</f>
        <v>1264.0999999999999</v>
      </c>
      <c r="J777" s="27">
        <f t="shared" si="758"/>
        <v>2023.8999999999999</v>
      </c>
      <c r="K777" s="27">
        <f t="shared" si="758"/>
        <v>2023.8999999999999</v>
      </c>
      <c r="L777" s="27">
        <f t="shared" si="758"/>
        <v>2023.8999999999999</v>
      </c>
      <c r="M777" s="27">
        <f t="shared" ref="M777:N777" si="759">M778</f>
        <v>1286.3999999999999</v>
      </c>
      <c r="N777" s="27">
        <f t="shared" si="759"/>
        <v>982</v>
      </c>
      <c r="O777" s="27">
        <f t="shared" si="690"/>
        <v>76.337064676616933</v>
      </c>
    </row>
    <row r="778" spans="1:15" ht="47.25" x14ac:dyDescent="0.25">
      <c r="A778" s="26" t="s">
        <v>184</v>
      </c>
      <c r="B778" s="220">
        <v>906</v>
      </c>
      <c r="C778" s="218" t="s">
        <v>315</v>
      </c>
      <c r="D778" s="218" t="s">
        <v>270</v>
      </c>
      <c r="E778" s="218" t="s">
        <v>392</v>
      </c>
      <c r="F778" s="218" t="s">
        <v>185</v>
      </c>
      <c r="G778" s="27">
        <f>1416.8-152.7</f>
        <v>1264.0999999999999</v>
      </c>
      <c r="H778" s="27">
        <v>1098.8</v>
      </c>
      <c r="I778" s="27">
        <v>1264.0999999999999</v>
      </c>
      <c r="J778" s="27">
        <f>2029.1-J780</f>
        <v>2023.8999999999999</v>
      </c>
      <c r="K778" s="27">
        <f>J778</f>
        <v>2023.8999999999999</v>
      </c>
      <c r="L778" s="27">
        <f>K778</f>
        <v>2023.8999999999999</v>
      </c>
      <c r="M778" s="27">
        <f>1416.8-152.7-77.7+100</f>
        <v>1286.3999999999999</v>
      </c>
      <c r="N778" s="27">
        <v>982</v>
      </c>
      <c r="O778" s="27">
        <f t="shared" si="690"/>
        <v>76.337064676616933</v>
      </c>
    </row>
    <row r="779" spans="1:15" ht="15.75" x14ac:dyDescent="0.25">
      <c r="A779" s="26" t="s">
        <v>186</v>
      </c>
      <c r="B779" s="220">
        <v>906</v>
      </c>
      <c r="C779" s="218" t="s">
        <v>315</v>
      </c>
      <c r="D779" s="218" t="s">
        <v>270</v>
      </c>
      <c r="E779" s="218" t="s">
        <v>392</v>
      </c>
      <c r="F779" s="218" t="s">
        <v>196</v>
      </c>
      <c r="G779" s="27">
        <f>G780</f>
        <v>5.2</v>
      </c>
      <c r="H779" s="27">
        <f>H780</f>
        <v>4.9000000000000004</v>
      </c>
      <c r="I779" s="27">
        <f t="shared" ref="I779:L779" si="760">I780</f>
        <v>5.2</v>
      </c>
      <c r="J779" s="27">
        <f t="shared" si="760"/>
        <v>5.2</v>
      </c>
      <c r="K779" s="27">
        <f t="shared" si="760"/>
        <v>5.2</v>
      </c>
      <c r="L779" s="27">
        <f t="shared" si="760"/>
        <v>5.2</v>
      </c>
      <c r="M779" s="27">
        <f t="shared" ref="M779:N779" si="761">M780</f>
        <v>15.399999999999999</v>
      </c>
      <c r="N779" s="27">
        <f t="shared" si="761"/>
        <v>2.2000000000000002</v>
      </c>
      <c r="O779" s="27">
        <f t="shared" si="690"/>
        <v>14.285714285714288</v>
      </c>
    </row>
    <row r="780" spans="1:15" ht="15.75" x14ac:dyDescent="0.25">
      <c r="A780" s="26" t="s">
        <v>620</v>
      </c>
      <c r="B780" s="220">
        <v>906</v>
      </c>
      <c r="C780" s="218" t="s">
        <v>315</v>
      </c>
      <c r="D780" s="218" t="s">
        <v>270</v>
      </c>
      <c r="E780" s="218" t="s">
        <v>392</v>
      </c>
      <c r="F780" s="218" t="s">
        <v>189</v>
      </c>
      <c r="G780" s="27">
        <f>7-1.8</f>
        <v>5.2</v>
      </c>
      <c r="H780" s="27">
        <v>4.9000000000000004</v>
      </c>
      <c r="I780" s="27">
        <f t="shared" ref="I780:L780" si="762">7-1.8</f>
        <v>5.2</v>
      </c>
      <c r="J780" s="27">
        <f t="shared" si="762"/>
        <v>5.2</v>
      </c>
      <c r="K780" s="27">
        <f t="shared" si="762"/>
        <v>5.2</v>
      </c>
      <c r="L780" s="27">
        <f t="shared" si="762"/>
        <v>5.2</v>
      </c>
      <c r="M780" s="27">
        <f>7-1.8+10.2</f>
        <v>15.399999999999999</v>
      </c>
      <c r="N780" s="27">
        <v>2.2000000000000002</v>
      </c>
      <c r="O780" s="27">
        <f t="shared" ref="O780:O843" si="763">N780/M780*100</f>
        <v>14.285714285714288</v>
      </c>
    </row>
    <row r="781" spans="1:15" ht="36.75" customHeight="1" x14ac:dyDescent="0.25">
      <c r="A781" s="20" t="s">
        <v>532</v>
      </c>
      <c r="B781" s="217">
        <v>907</v>
      </c>
      <c r="C781" s="218"/>
      <c r="D781" s="218"/>
      <c r="E781" s="218"/>
      <c r="F781" s="218"/>
      <c r="G781" s="22">
        <f t="shared" ref="G781:L781" si="764">G788+G821</f>
        <v>46187.799999999996</v>
      </c>
      <c r="H781" s="22">
        <f t="shared" ref="H781" si="765">H788+H821</f>
        <v>33497.699999999997</v>
      </c>
      <c r="I781" s="22">
        <f t="shared" si="764"/>
        <v>52301.9</v>
      </c>
      <c r="J781" s="22">
        <f t="shared" si="764"/>
        <v>81221.2</v>
      </c>
      <c r="K781" s="22">
        <f t="shared" si="764"/>
        <v>83149.7</v>
      </c>
      <c r="L781" s="22">
        <f t="shared" si="764"/>
        <v>84365.599999999991</v>
      </c>
      <c r="M781" s="22">
        <f>M788+M821+M782</f>
        <v>65021.4</v>
      </c>
      <c r="N781" s="22">
        <f>N788+N821+N782</f>
        <v>43480.200000000004</v>
      </c>
      <c r="O781" s="22">
        <f t="shared" si="763"/>
        <v>66.870599525694615</v>
      </c>
    </row>
    <row r="782" spans="1:15" ht="24" customHeight="1" x14ac:dyDescent="0.25">
      <c r="A782" s="24" t="s">
        <v>168</v>
      </c>
      <c r="B782" s="217">
        <v>907</v>
      </c>
      <c r="C782" s="219" t="s">
        <v>169</v>
      </c>
      <c r="D782" s="219"/>
      <c r="E782" s="218"/>
      <c r="F782" s="218"/>
      <c r="G782" s="22"/>
      <c r="H782" s="22"/>
      <c r="I782" s="22"/>
      <c r="J782" s="22"/>
      <c r="K782" s="22"/>
      <c r="L782" s="22"/>
      <c r="M782" s="22">
        <f t="shared" ref="M782:N784" si="766">M783</f>
        <v>868.6</v>
      </c>
      <c r="N782" s="22">
        <f t="shared" si="766"/>
        <v>744.6</v>
      </c>
      <c r="O782" s="22">
        <f t="shared" si="763"/>
        <v>85.724153810729902</v>
      </c>
    </row>
    <row r="783" spans="1:15" ht="21.75" customHeight="1" x14ac:dyDescent="0.25">
      <c r="A783" s="36" t="s">
        <v>190</v>
      </c>
      <c r="B783" s="217">
        <v>907</v>
      </c>
      <c r="C783" s="219" t="s">
        <v>169</v>
      </c>
      <c r="D783" s="219" t="s">
        <v>191</v>
      </c>
      <c r="E783" s="218"/>
      <c r="F783" s="218"/>
      <c r="G783" s="22"/>
      <c r="H783" s="22"/>
      <c r="I783" s="22"/>
      <c r="J783" s="22"/>
      <c r="K783" s="22"/>
      <c r="L783" s="22"/>
      <c r="M783" s="22">
        <f t="shared" si="766"/>
        <v>868.6</v>
      </c>
      <c r="N783" s="22">
        <f t="shared" si="766"/>
        <v>744.6</v>
      </c>
      <c r="O783" s="22">
        <f t="shared" si="763"/>
        <v>85.724153810729902</v>
      </c>
    </row>
    <row r="784" spans="1:15" ht="62.25" customHeight="1" x14ac:dyDescent="0.25">
      <c r="A784" s="31" t="s">
        <v>801</v>
      </c>
      <c r="B784" s="220">
        <v>907</v>
      </c>
      <c r="C784" s="218" t="s">
        <v>169</v>
      </c>
      <c r="D784" s="218" t="s">
        <v>191</v>
      </c>
      <c r="E784" s="218" t="s">
        <v>799</v>
      </c>
      <c r="F784" s="225"/>
      <c r="G784" s="27">
        <f>G786</f>
        <v>29</v>
      </c>
      <c r="H784" s="27">
        <f t="shared" ref="H784:L784" si="767">H786</f>
        <v>19.100000000000001</v>
      </c>
      <c r="I784" s="27">
        <f t="shared" si="767"/>
        <v>29</v>
      </c>
      <c r="J784" s="27">
        <f t="shared" si="767"/>
        <v>0</v>
      </c>
      <c r="K784" s="27">
        <f t="shared" si="767"/>
        <v>0</v>
      </c>
      <c r="L784" s="27">
        <f t="shared" si="767"/>
        <v>0</v>
      </c>
      <c r="M784" s="27">
        <f t="shared" si="766"/>
        <v>868.6</v>
      </c>
      <c r="N784" s="27">
        <f t="shared" si="766"/>
        <v>744.6</v>
      </c>
      <c r="O784" s="27">
        <f t="shared" si="763"/>
        <v>85.724153810729902</v>
      </c>
    </row>
    <row r="785" spans="1:15" ht="53.25" customHeight="1" x14ac:dyDescent="0.25">
      <c r="A785" s="125" t="s">
        <v>945</v>
      </c>
      <c r="B785" s="220">
        <v>907</v>
      </c>
      <c r="C785" s="218" t="s">
        <v>169</v>
      </c>
      <c r="D785" s="218" t="s">
        <v>191</v>
      </c>
      <c r="E785" s="218" t="s">
        <v>946</v>
      </c>
      <c r="F785" s="225"/>
      <c r="G785" s="27">
        <f>G786</f>
        <v>29</v>
      </c>
      <c r="H785" s="27">
        <f t="shared" ref="H785:N786" si="768">H786</f>
        <v>19.100000000000001</v>
      </c>
      <c r="I785" s="27">
        <f t="shared" si="768"/>
        <v>29</v>
      </c>
      <c r="J785" s="27">
        <f t="shared" si="768"/>
        <v>0</v>
      </c>
      <c r="K785" s="27">
        <f t="shared" si="768"/>
        <v>0</v>
      </c>
      <c r="L785" s="27">
        <f t="shared" si="768"/>
        <v>0</v>
      </c>
      <c r="M785" s="27">
        <f t="shared" si="768"/>
        <v>868.6</v>
      </c>
      <c r="N785" s="27">
        <f t="shared" si="768"/>
        <v>744.6</v>
      </c>
      <c r="O785" s="27">
        <f t="shared" si="763"/>
        <v>85.724153810729902</v>
      </c>
    </row>
    <row r="786" spans="1:15" ht="54.75" customHeight="1" x14ac:dyDescent="0.25">
      <c r="A786" s="31" t="s">
        <v>323</v>
      </c>
      <c r="B786" s="220">
        <v>907</v>
      </c>
      <c r="C786" s="218" t="s">
        <v>169</v>
      </c>
      <c r="D786" s="218" t="s">
        <v>191</v>
      </c>
      <c r="E786" s="218" t="s">
        <v>946</v>
      </c>
      <c r="F786" s="225" t="s">
        <v>324</v>
      </c>
      <c r="G786" s="27">
        <f>G787</f>
        <v>29</v>
      </c>
      <c r="H786" s="27">
        <f t="shared" si="768"/>
        <v>19.100000000000001</v>
      </c>
      <c r="I786" s="27">
        <f t="shared" si="768"/>
        <v>29</v>
      </c>
      <c r="J786" s="27">
        <f t="shared" si="768"/>
        <v>0</v>
      </c>
      <c r="K786" s="27">
        <f t="shared" si="768"/>
        <v>0</v>
      </c>
      <c r="L786" s="27">
        <f t="shared" si="768"/>
        <v>0</v>
      </c>
      <c r="M786" s="27">
        <f t="shared" si="768"/>
        <v>868.6</v>
      </c>
      <c r="N786" s="27">
        <f t="shared" si="768"/>
        <v>744.6</v>
      </c>
      <c r="O786" s="27">
        <f t="shared" si="763"/>
        <v>85.724153810729902</v>
      </c>
    </row>
    <row r="787" spans="1:15" ht="18.75" customHeight="1" x14ac:dyDescent="0.25">
      <c r="A787" s="262" t="s">
        <v>325</v>
      </c>
      <c r="B787" s="220">
        <v>907</v>
      </c>
      <c r="C787" s="218" t="s">
        <v>169</v>
      </c>
      <c r="D787" s="218" t="s">
        <v>191</v>
      </c>
      <c r="E787" s="218" t="s">
        <v>946</v>
      </c>
      <c r="F787" s="225" t="s">
        <v>326</v>
      </c>
      <c r="G787" s="27">
        <v>29</v>
      </c>
      <c r="H787" s="27">
        <v>19.100000000000001</v>
      </c>
      <c r="I787" s="27">
        <v>29</v>
      </c>
      <c r="J787" s="27">
        <v>0</v>
      </c>
      <c r="K787" s="27">
        <v>0</v>
      </c>
      <c r="L787" s="27">
        <v>0</v>
      </c>
      <c r="M787" s="27">
        <v>868.6</v>
      </c>
      <c r="N787" s="27">
        <v>744.6</v>
      </c>
      <c r="O787" s="27">
        <f t="shared" si="763"/>
        <v>85.724153810729902</v>
      </c>
    </row>
    <row r="788" spans="1:15" ht="15.75" x14ac:dyDescent="0.25">
      <c r="A788" s="24" t="s">
        <v>314</v>
      </c>
      <c r="B788" s="217">
        <v>907</v>
      </c>
      <c r="C788" s="219" t="s">
        <v>520</v>
      </c>
      <c r="D788" s="219"/>
      <c r="E788" s="219"/>
      <c r="F788" s="219"/>
      <c r="G788" s="22">
        <f>G789</f>
        <v>11485.1</v>
      </c>
      <c r="H788" s="22">
        <f t="shared" ref="H788:L788" si="769">H789</f>
        <v>8595.7000000000007</v>
      </c>
      <c r="I788" s="22">
        <f t="shared" si="769"/>
        <v>11485.1</v>
      </c>
      <c r="J788" s="22">
        <f t="shared" si="769"/>
        <v>17191.599999999999</v>
      </c>
      <c r="K788" s="22">
        <f t="shared" si="769"/>
        <v>17334.399999999998</v>
      </c>
      <c r="L788" s="22">
        <f t="shared" si="769"/>
        <v>17469.699999999997</v>
      </c>
      <c r="M788" s="22">
        <f t="shared" ref="M788:N788" si="770">M789</f>
        <v>12535</v>
      </c>
      <c r="N788" s="22">
        <f t="shared" si="770"/>
        <v>9139.5</v>
      </c>
      <c r="O788" s="22">
        <f t="shared" si="763"/>
        <v>72.911846828879135</v>
      </c>
    </row>
    <row r="789" spans="1:15" ht="15.75" x14ac:dyDescent="0.25">
      <c r="A789" s="24" t="s">
        <v>316</v>
      </c>
      <c r="B789" s="217">
        <v>907</v>
      </c>
      <c r="C789" s="219" t="s">
        <v>315</v>
      </c>
      <c r="D789" s="219" t="s">
        <v>266</v>
      </c>
      <c r="E789" s="219"/>
      <c r="F789" s="219"/>
      <c r="G789" s="22">
        <f t="shared" ref="G789:L789" si="771">G790+G810</f>
        <v>11485.1</v>
      </c>
      <c r="H789" s="22">
        <f t="shared" ref="H789" si="772">H790+H810</f>
        <v>8595.7000000000007</v>
      </c>
      <c r="I789" s="22">
        <f t="shared" si="771"/>
        <v>11485.1</v>
      </c>
      <c r="J789" s="22">
        <f t="shared" si="771"/>
        <v>17191.599999999999</v>
      </c>
      <c r="K789" s="22">
        <f t="shared" si="771"/>
        <v>17334.399999999998</v>
      </c>
      <c r="L789" s="22">
        <f t="shared" si="771"/>
        <v>17469.699999999997</v>
      </c>
      <c r="M789" s="22">
        <f t="shared" ref="M789:N789" si="773">M790+M810</f>
        <v>12535</v>
      </c>
      <c r="N789" s="22">
        <f t="shared" si="773"/>
        <v>9139.5</v>
      </c>
      <c r="O789" s="22">
        <f t="shared" si="763"/>
        <v>72.911846828879135</v>
      </c>
    </row>
    <row r="790" spans="1:15" ht="47.25" x14ac:dyDescent="0.25">
      <c r="A790" s="26" t="s">
        <v>533</v>
      </c>
      <c r="B790" s="220">
        <v>907</v>
      </c>
      <c r="C790" s="218" t="s">
        <v>315</v>
      </c>
      <c r="D790" s="218" t="s">
        <v>266</v>
      </c>
      <c r="E790" s="218" t="s">
        <v>534</v>
      </c>
      <c r="F790" s="218"/>
      <c r="G790" s="27">
        <f>G791</f>
        <v>10758</v>
      </c>
      <c r="H790" s="27">
        <f>H791</f>
        <v>8319.5</v>
      </c>
      <c r="I790" s="27">
        <f t="shared" ref="I790:L790" si="774">I791</f>
        <v>10758</v>
      </c>
      <c r="J790" s="27">
        <f t="shared" si="774"/>
        <v>16464.5</v>
      </c>
      <c r="K790" s="27">
        <f t="shared" si="774"/>
        <v>16607.3</v>
      </c>
      <c r="L790" s="27">
        <f t="shared" si="774"/>
        <v>16742.599999999999</v>
      </c>
      <c r="M790" s="27">
        <f t="shared" ref="M790:N790" si="775">M791</f>
        <v>11848.7</v>
      </c>
      <c r="N790" s="27">
        <f t="shared" si="775"/>
        <v>8779.1</v>
      </c>
      <c r="O790" s="27">
        <f t="shared" si="763"/>
        <v>74.093360453045477</v>
      </c>
    </row>
    <row r="791" spans="1:15" ht="47.25" x14ac:dyDescent="0.25">
      <c r="A791" s="26" t="s">
        <v>535</v>
      </c>
      <c r="B791" s="220">
        <v>907</v>
      </c>
      <c r="C791" s="218" t="s">
        <v>315</v>
      </c>
      <c r="D791" s="218" t="s">
        <v>266</v>
      </c>
      <c r="E791" s="218" t="s">
        <v>536</v>
      </c>
      <c r="F791" s="218"/>
      <c r="G791" s="27">
        <f t="shared" ref="G791:L791" si="776">G792+G795+G798+G804+G801+G807</f>
        <v>10758</v>
      </c>
      <c r="H791" s="27">
        <f t="shared" ref="H791" si="777">H792+H795+H798+H804+H801</f>
        <v>8319.5</v>
      </c>
      <c r="I791" s="27">
        <f t="shared" si="776"/>
        <v>10758</v>
      </c>
      <c r="J791" s="27">
        <f>J792+J795+J798+J804+J801+J807</f>
        <v>16464.5</v>
      </c>
      <c r="K791" s="27">
        <f t="shared" si="776"/>
        <v>16607.3</v>
      </c>
      <c r="L791" s="27">
        <f t="shared" si="776"/>
        <v>16742.599999999999</v>
      </c>
      <c r="M791" s="27">
        <f t="shared" ref="M791:N791" si="778">M792+M795+M798+M804+M801+M807</f>
        <v>11848.7</v>
      </c>
      <c r="N791" s="27">
        <f t="shared" si="778"/>
        <v>8779.1</v>
      </c>
      <c r="O791" s="27">
        <f t="shared" si="763"/>
        <v>74.093360453045477</v>
      </c>
    </row>
    <row r="792" spans="1:15" ht="47.25" x14ac:dyDescent="0.25">
      <c r="A792" s="26" t="s">
        <v>321</v>
      </c>
      <c r="B792" s="220">
        <v>907</v>
      </c>
      <c r="C792" s="218" t="s">
        <v>315</v>
      </c>
      <c r="D792" s="218" t="s">
        <v>266</v>
      </c>
      <c r="E792" s="218" t="s">
        <v>537</v>
      </c>
      <c r="F792" s="218"/>
      <c r="G792" s="27">
        <f>G793</f>
        <v>10722</v>
      </c>
      <c r="H792" s="27">
        <f>H793</f>
        <v>8300</v>
      </c>
      <c r="I792" s="27">
        <f t="shared" ref="I792:L792" si="779">I793</f>
        <v>10722</v>
      </c>
      <c r="J792" s="27">
        <f t="shared" si="779"/>
        <v>15788.3</v>
      </c>
      <c r="K792" s="27">
        <f t="shared" si="779"/>
        <v>15931.1</v>
      </c>
      <c r="L792" s="27">
        <f t="shared" si="779"/>
        <v>16066.4</v>
      </c>
      <c r="M792" s="27">
        <f t="shared" ref="M792:N793" si="780">M793</f>
        <v>11390.5</v>
      </c>
      <c r="N792" s="27">
        <f t="shared" si="780"/>
        <v>8398.5</v>
      </c>
      <c r="O792" s="27">
        <f t="shared" si="763"/>
        <v>73.732496378561081</v>
      </c>
    </row>
    <row r="793" spans="1:15" ht="47.25" x14ac:dyDescent="0.25">
      <c r="A793" s="26" t="s">
        <v>323</v>
      </c>
      <c r="B793" s="220">
        <v>907</v>
      </c>
      <c r="C793" s="218" t="s">
        <v>315</v>
      </c>
      <c r="D793" s="218" t="s">
        <v>266</v>
      </c>
      <c r="E793" s="218" t="s">
        <v>537</v>
      </c>
      <c r="F793" s="218" t="s">
        <v>324</v>
      </c>
      <c r="G793" s="27">
        <f t="shared" ref="G793:L793" si="781">G794</f>
        <v>10722</v>
      </c>
      <c r="H793" s="27">
        <f t="shared" si="781"/>
        <v>8300</v>
      </c>
      <c r="I793" s="27">
        <f t="shared" si="781"/>
        <v>10722</v>
      </c>
      <c r="J793" s="27">
        <f t="shared" si="781"/>
        <v>15788.3</v>
      </c>
      <c r="K793" s="27">
        <f t="shared" si="781"/>
        <v>15931.1</v>
      </c>
      <c r="L793" s="27">
        <f t="shared" si="781"/>
        <v>16066.4</v>
      </c>
      <c r="M793" s="27">
        <f t="shared" si="780"/>
        <v>11390.5</v>
      </c>
      <c r="N793" s="27">
        <f t="shared" si="780"/>
        <v>8398.5</v>
      </c>
      <c r="O793" s="27">
        <f t="shared" si="763"/>
        <v>73.732496378561081</v>
      </c>
    </row>
    <row r="794" spans="1:15" ht="15.75" x14ac:dyDescent="0.25">
      <c r="A794" s="26" t="s">
        <v>325</v>
      </c>
      <c r="B794" s="220">
        <v>907</v>
      </c>
      <c r="C794" s="218" t="s">
        <v>315</v>
      </c>
      <c r="D794" s="218" t="s">
        <v>266</v>
      </c>
      <c r="E794" s="218" t="s">
        <v>537</v>
      </c>
      <c r="F794" s="218" t="s">
        <v>326</v>
      </c>
      <c r="G794" s="28">
        <f>10500+753.9-531.9</f>
        <v>10722</v>
      </c>
      <c r="H794" s="28">
        <v>8300</v>
      </c>
      <c r="I794" s="28">
        <v>10722</v>
      </c>
      <c r="J794" s="28">
        <v>15788.3</v>
      </c>
      <c r="K794" s="28">
        <v>15931.1</v>
      </c>
      <c r="L794" s="28">
        <v>16066.4</v>
      </c>
      <c r="M794" s="28">
        <f>10445.7+902.8+42</f>
        <v>11390.5</v>
      </c>
      <c r="N794" s="28">
        <v>8398.5</v>
      </c>
      <c r="O794" s="27">
        <f t="shared" si="763"/>
        <v>73.732496378561081</v>
      </c>
    </row>
    <row r="795" spans="1:15" ht="47.25" hidden="1" customHeight="1" x14ac:dyDescent="0.25">
      <c r="A795" s="26" t="s">
        <v>329</v>
      </c>
      <c r="B795" s="220">
        <v>907</v>
      </c>
      <c r="C795" s="218" t="s">
        <v>315</v>
      </c>
      <c r="D795" s="218" t="s">
        <v>264</v>
      </c>
      <c r="E795" s="218" t="s">
        <v>538</v>
      </c>
      <c r="F795" s="218"/>
      <c r="G795" s="27">
        <f t="shared" ref="G795:L796" si="782">G796</f>
        <v>0</v>
      </c>
      <c r="H795" s="27"/>
      <c r="I795" s="27">
        <f t="shared" si="782"/>
        <v>0</v>
      </c>
      <c r="J795" s="27">
        <f t="shared" si="782"/>
        <v>0</v>
      </c>
      <c r="K795" s="27">
        <f t="shared" si="782"/>
        <v>0</v>
      </c>
      <c r="L795" s="27">
        <f t="shared" si="782"/>
        <v>0</v>
      </c>
      <c r="M795" s="27">
        <f t="shared" ref="M795:N796" si="783">M796</f>
        <v>0</v>
      </c>
      <c r="N795" s="27">
        <f t="shared" si="783"/>
        <v>0</v>
      </c>
      <c r="O795" s="27" t="e">
        <f t="shared" si="763"/>
        <v>#DIV/0!</v>
      </c>
    </row>
    <row r="796" spans="1:15" ht="47.25" hidden="1" customHeight="1" x14ac:dyDescent="0.25">
      <c r="A796" s="26" t="s">
        <v>323</v>
      </c>
      <c r="B796" s="220">
        <v>907</v>
      </c>
      <c r="C796" s="218" t="s">
        <v>315</v>
      </c>
      <c r="D796" s="218" t="s">
        <v>264</v>
      </c>
      <c r="E796" s="218" t="s">
        <v>538</v>
      </c>
      <c r="F796" s="218" t="s">
        <v>324</v>
      </c>
      <c r="G796" s="27">
        <f t="shared" si="782"/>
        <v>0</v>
      </c>
      <c r="H796" s="27"/>
      <c r="I796" s="27">
        <f t="shared" si="782"/>
        <v>0</v>
      </c>
      <c r="J796" s="27">
        <f t="shared" si="782"/>
        <v>0</v>
      </c>
      <c r="K796" s="27">
        <f t="shared" si="782"/>
        <v>0</v>
      </c>
      <c r="L796" s="27">
        <f t="shared" si="782"/>
        <v>0</v>
      </c>
      <c r="M796" s="27">
        <f t="shared" si="783"/>
        <v>0</v>
      </c>
      <c r="N796" s="27">
        <f t="shared" si="783"/>
        <v>0</v>
      </c>
      <c r="O796" s="27" t="e">
        <f t="shared" si="763"/>
        <v>#DIV/0!</v>
      </c>
    </row>
    <row r="797" spans="1:15" ht="15.75" hidden="1" customHeight="1" x14ac:dyDescent="0.25">
      <c r="A797" s="26" t="s">
        <v>325</v>
      </c>
      <c r="B797" s="220">
        <v>907</v>
      </c>
      <c r="C797" s="218" t="s">
        <v>315</v>
      </c>
      <c r="D797" s="218" t="s">
        <v>264</v>
      </c>
      <c r="E797" s="218" t="s">
        <v>538</v>
      </c>
      <c r="F797" s="218" t="s">
        <v>326</v>
      </c>
      <c r="G797" s="27">
        <v>0</v>
      </c>
      <c r="H797" s="27"/>
      <c r="I797" s="27">
        <v>0</v>
      </c>
      <c r="J797" s="27">
        <v>0</v>
      </c>
      <c r="K797" s="27">
        <v>0</v>
      </c>
      <c r="L797" s="27">
        <v>0</v>
      </c>
      <c r="M797" s="27">
        <v>0</v>
      </c>
      <c r="N797" s="27">
        <v>0</v>
      </c>
      <c r="O797" s="27" t="e">
        <f t="shared" si="763"/>
        <v>#DIV/0!</v>
      </c>
    </row>
    <row r="798" spans="1:15" ht="31.5" hidden="1" customHeight="1" x14ac:dyDescent="0.25">
      <c r="A798" s="26" t="s">
        <v>331</v>
      </c>
      <c r="B798" s="220">
        <v>907</v>
      </c>
      <c r="C798" s="218" t="s">
        <v>315</v>
      </c>
      <c r="D798" s="218" t="s">
        <v>264</v>
      </c>
      <c r="E798" s="218" t="s">
        <v>539</v>
      </c>
      <c r="F798" s="218"/>
      <c r="G798" s="27">
        <f t="shared" ref="G798:L799" si="784">G799</f>
        <v>0</v>
      </c>
      <c r="H798" s="27"/>
      <c r="I798" s="27">
        <f t="shared" si="784"/>
        <v>0</v>
      </c>
      <c r="J798" s="27">
        <f t="shared" si="784"/>
        <v>0</v>
      </c>
      <c r="K798" s="27">
        <f t="shared" si="784"/>
        <v>0</v>
      </c>
      <c r="L798" s="27">
        <f t="shared" si="784"/>
        <v>0</v>
      </c>
      <c r="M798" s="27">
        <f t="shared" ref="M798:N799" si="785">M799</f>
        <v>0</v>
      </c>
      <c r="N798" s="27">
        <f t="shared" si="785"/>
        <v>0</v>
      </c>
      <c r="O798" s="27" t="e">
        <f t="shared" si="763"/>
        <v>#DIV/0!</v>
      </c>
    </row>
    <row r="799" spans="1:15" ht="47.25" hidden="1" customHeight="1" x14ac:dyDescent="0.25">
      <c r="A799" s="26" t="s">
        <v>323</v>
      </c>
      <c r="B799" s="220">
        <v>907</v>
      </c>
      <c r="C799" s="218" t="s">
        <v>315</v>
      </c>
      <c r="D799" s="218" t="s">
        <v>264</v>
      </c>
      <c r="E799" s="218" t="s">
        <v>539</v>
      </c>
      <c r="F799" s="218" t="s">
        <v>324</v>
      </c>
      <c r="G799" s="27">
        <f t="shared" si="784"/>
        <v>0</v>
      </c>
      <c r="H799" s="27"/>
      <c r="I799" s="27">
        <f t="shared" si="784"/>
        <v>0</v>
      </c>
      <c r="J799" s="27">
        <f t="shared" si="784"/>
        <v>0</v>
      </c>
      <c r="K799" s="27">
        <f t="shared" si="784"/>
        <v>0</v>
      </c>
      <c r="L799" s="27">
        <f t="shared" si="784"/>
        <v>0</v>
      </c>
      <c r="M799" s="27">
        <f t="shared" si="785"/>
        <v>0</v>
      </c>
      <c r="N799" s="27">
        <f t="shared" si="785"/>
        <v>0</v>
      </c>
      <c r="O799" s="27" t="e">
        <f t="shared" si="763"/>
        <v>#DIV/0!</v>
      </c>
    </row>
    <row r="800" spans="1:15" ht="15.75" hidden="1" customHeight="1" x14ac:dyDescent="0.25">
      <c r="A800" s="26" t="s">
        <v>325</v>
      </c>
      <c r="B800" s="220">
        <v>907</v>
      </c>
      <c r="C800" s="218" t="s">
        <v>315</v>
      </c>
      <c r="D800" s="218" t="s">
        <v>264</v>
      </c>
      <c r="E800" s="218" t="s">
        <v>539</v>
      </c>
      <c r="F800" s="218" t="s">
        <v>326</v>
      </c>
      <c r="G800" s="27">
        <v>0</v>
      </c>
      <c r="H800" s="27"/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 t="e">
        <f t="shared" si="763"/>
        <v>#DIV/0!</v>
      </c>
    </row>
    <row r="801" spans="1:15" ht="47.25" x14ac:dyDescent="0.25">
      <c r="A801" s="26" t="s">
        <v>333</v>
      </c>
      <c r="B801" s="220">
        <v>907</v>
      </c>
      <c r="C801" s="218" t="s">
        <v>315</v>
      </c>
      <c r="D801" s="218" t="s">
        <v>266</v>
      </c>
      <c r="E801" s="218" t="s">
        <v>540</v>
      </c>
      <c r="F801" s="218"/>
      <c r="G801" s="27">
        <f t="shared" ref="G801:L802" si="786">G802</f>
        <v>36</v>
      </c>
      <c r="H801" s="27">
        <f t="shared" si="786"/>
        <v>19.5</v>
      </c>
      <c r="I801" s="27">
        <f t="shared" si="786"/>
        <v>36</v>
      </c>
      <c r="J801" s="27">
        <f t="shared" si="786"/>
        <v>36</v>
      </c>
      <c r="K801" s="27">
        <f t="shared" si="786"/>
        <v>36</v>
      </c>
      <c r="L801" s="27">
        <f t="shared" si="786"/>
        <v>36</v>
      </c>
      <c r="M801" s="27">
        <f t="shared" ref="M801:N802" si="787">M802</f>
        <v>36</v>
      </c>
      <c r="N801" s="27">
        <f t="shared" si="787"/>
        <v>15.4</v>
      </c>
      <c r="O801" s="27">
        <f t="shared" si="763"/>
        <v>42.777777777777779</v>
      </c>
    </row>
    <row r="802" spans="1:15" ht="47.25" x14ac:dyDescent="0.25">
      <c r="A802" s="26" t="s">
        <v>323</v>
      </c>
      <c r="B802" s="220">
        <v>907</v>
      </c>
      <c r="C802" s="218" t="s">
        <v>315</v>
      </c>
      <c r="D802" s="218" t="s">
        <v>266</v>
      </c>
      <c r="E802" s="218" t="s">
        <v>540</v>
      </c>
      <c r="F802" s="218" t="s">
        <v>324</v>
      </c>
      <c r="G802" s="27">
        <f>G803</f>
        <v>36</v>
      </c>
      <c r="H802" s="27">
        <f>H803</f>
        <v>19.5</v>
      </c>
      <c r="I802" s="27">
        <f t="shared" si="786"/>
        <v>36</v>
      </c>
      <c r="J802" s="27">
        <f t="shared" si="786"/>
        <v>36</v>
      </c>
      <c r="K802" s="27">
        <f t="shared" si="786"/>
        <v>36</v>
      </c>
      <c r="L802" s="27">
        <f t="shared" si="786"/>
        <v>36</v>
      </c>
      <c r="M802" s="27">
        <f t="shared" si="787"/>
        <v>36</v>
      </c>
      <c r="N802" s="27">
        <f t="shared" si="787"/>
        <v>15.4</v>
      </c>
      <c r="O802" s="27">
        <f t="shared" si="763"/>
        <v>42.777777777777779</v>
      </c>
    </row>
    <row r="803" spans="1:15" ht="15.75" x14ac:dyDescent="0.25">
      <c r="A803" s="26" t="s">
        <v>325</v>
      </c>
      <c r="B803" s="220">
        <v>907</v>
      </c>
      <c r="C803" s="218" t="s">
        <v>315</v>
      </c>
      <c r="D803" s="218" t="s">
        <v>266</v>
      </c>
      <c r="E803" s="218" t="s">
        <v>540</v>
      </c>
      <c r="F803" s="218" t="s">
        <v>326</v>
      </c>
      <c r="G803" s="27">
        <v>36</v>
      </c>
      <c r="H803" s="27">
        <v>19.5</v>
      </c>
      <c r="I803" s="27">
        <v>36</v>
      </c>
      <c r="J803" s="27">
        <v>36</v>
      </c>
      <c r="K803" s="27">
        <v>36</v>
      </c>
      <c r="L803" s="27">
        <v>36</v>
      </c>
      <c r="M803" s="27">
        <v>36</v>
      </c>
      <c r="N803" s="27">
        <v>15.4</v>
      </c>
      <c r="O803" s="27">
        <f t="shared" si="763"/>
        <v>42.777777777777779</v>
      </c>
    </row>
    <row r="804" spans="1:15" ht="31.5" hidden="1" customHeight="1" x14ac:dyDescent="0.25">
      <c r="A804" s="26" t="s">
        <v>335</v>
      </c>
      <c r="B804" s="220">
        <v>907</v>
      </c>
      <c r="C804" s="218" t="s">
        <v>315</v>
      </c>
      <c r="D804" s="218" t="s">
        <v>266</v>
      </c>
      <c r="E804" s="218" t="s">
        <v>541</v>
      </c>
      <c r="F804" s="218"/>
      <c r="G804" s="27">
        <f t="shared" ref="G804:L805" si="788">G805</f>
        <v>0</v>
      </c>
      <c r="H804" s="27">
        <v>0</v>
      </c>
      <c r="I804" s="27">
        <f t="shared" si="788"/>
        <v>0</v>
      </c>
      <c r="J804" s="27">
        <f t="shared" si="788"/>
        <v>275</v>
      </c>
      <c r="K804" s="27">
        <f t="shared" si="788"/>
        <v>275</v>
      </c>
      <c r="L804" s="27">
        <f t="shared" si="788"/>
        <v>275</v>
      </c>
      <c r="M804" s="27">
        <f t="shared" ref="M804:N805" si="789">M805</f>
        <v>0</v>
      </c>
      <c r="N804" s="27">
        <f t="shared" si="789"/>
        <v>0</v>
      </c>
      <c r="O804" s="27" t="e">
        <f t="shared" si="763"/>
        <v>#DIV/0!</v>
      </c>
    </row>
    <row r="805" spans="1:15" ht="47.25" hidden="1" customHeight="1" x14ac:dyDescent="0.25">
      <c r="A805" s="26" t="s">
        <v>323</v>
      </c>
      <c r="B805" s="220">
        <v>907</v>
      </c>
      <c r="C805" s="218" t="s">
        <v>315</v>
      </c>
      <c r="D805" s="218" t="s">
        <v>266</v>
      </c>
      <c r="E805" s="218" t="s">
        <v>541</v>
      </c>
      <c r="F805" s="218" t="s">
        <v>324</v>
      </c>
      <c r="G805" s="27">
        <f t="shared" si="788"/>
        <v>0</v>
      </c>
      <c r="H805" s="27">
        <v>0</v>
      </c>
      <c r="I805" s="27">
        <f t="shared" si="788"/>
        <v>0</v>
      </c>
      <c r="J805" s="27">
        <f t="shared" si="788"/>
        <v>275</v>
      </c>
      <c r="K805" s="27">
        <f t="shared" si="788"/>
        <v>275</v>
      </c>
      <c r="L805" s="27">
        <f t="shared" si="788"/>
        <v>275</v>
      </c>
      <c r="M805" s="27">
        <f t="shared" si="789"/>
        <v>0</v>
      </c>
      <c r="N805" s="27">
        <f t="shared" si="789"/>
        <v>0</v>
      </c>
      <c r="O805" s="27" t="e">
        <f t="shared" si="763"/>
        <v>#DIV/0!</v>
      </c>
    </row>
    <row r="806" spans="1:15" ht="15.75" hidden="1" customHeight="1" x14ac:dyDescent="0.25">
      <c r="A806" s="26" t="s">
        <v>325</v>
      </c>
      <c r="B806" s="220">
        <v>907</v>
      </c>
      <c r="C806" s="218" t="s">
        <v>315</v>
      </c>
      <c r="D806" s="218" t="s">
        <v>266</v>
      </c>
      <c r="E806" s="218" t="s">
        <v>541</v>
      </c>
      <c r="F806" s="218" t="s">
        <v>326</v>
      </c>
      <c r="G806" s="27">
        <v>0</v>
      </c>
      <c r="H806" s="27">
        <v>0</v>
      </c>
      <c r="I806" s="27">
        <v>0</v>
      </c>
      <c r="J806" s="27">
        <v>275</v>
      </c>
      <c r="K806" s="27">
        <v>275</v>
      </c>
      <c r="L806" s="27">
        <v>275</v>
      </c>
      <c r="M806" s="27">
        <v>0</v>
      </c>
      <c r="N806" s="27">
        <v>0</v>
      </c>
      <c r="O806" s="27" t="e">
        <f t="shared" si="763"/>
        <v>#DIV/0!</v>
      </c>
    </row>
    <row r="807" spans="1:15" ht="52.5" customHeight="1" x14ac:dyDescent="0.25">
      <c r="A807" s="47" t="s">
        <v>861</v>
      </c>
      <c r="B807" s="220">
        <v>907</v>
      </c>
      <c r="C807" s="218" t="s">
        <v>315</v>
      </c>
      <c r="D807" s="218" t="s">
        <v>266</v>
      </c>
      <c r="E807" s="218" t="s">
        <v>868</v>
      </c>
      <c r="F807" s="218"/>
      <c r="G807" s="27">
        <f>G808</f>
        <v>0</v>
      </c>
      <c r="H807" s="27">
        <v>0</v>
      </c>
      <c r="I807" s="27">
        <f t="shared" ref="I807:L808" si="790">I808</f>
        <v>0</v>
      </c>
      <c r="J807" s="27">
        <f t="shared" si="790"/>
        <v>365.2</v>
      </c>
      <c r="K807" s="27">
        <f t="shared" si="790"/>
        <v>365.2</v>
      </c>
      <c r="L807" s="27">
        <f t="shared" si="790"/>
        <v>365.2</v>
      </c>
      <c r="M807" s="27">
        <f t="shared" ref="M807:N808" si="791">M808</f>
        <v>422.2</v>
      </c>
      <c r="N807" s="27">
        <f t="shared" si="791"/>
        <v>365.2</v>
      </c>
      <c r="O807" s="27">
        <f t="shared" si="763"/>
        <v>86.499289436286119</v>
      </c>
    </row>
    <row r="808" spans="1:15" ht="54.75" customHeight="1" x14ac:dyDescent="0.25">
      <c r="A808" s="33" t="s">
        <v>323</v>
      </c>
      <c r="B808" s="220">
        <v>907</v>
      </c>
      <c r="C808" s="218" t="s">
        <v>315</v>
      </c>
      <c r="D808" s="218" t="s">
        <v>266</v>
      </c>
      <c r="E808" s="218" t="s">
        <v>868</v>
      </c>
      <c r="F808" s="218" t="s">
        <v>324</v>
      </c>
      <c r="G808" s="27">
        <f>G809</f>
        <v>0</v>
      </c>
      <c r="H808" s="27">
        <v>0</v>
      </c>
      <c r="I808" s="27">
        <f t="shared" si="790"/>
        <v>0</v>
      </c>
      <c r="J808" s="27">
        <f t="shared" si="790"/>
        <v>365.2</v>
      </c>
      <c r="K808" s="27">
        <f t="shared" si="790"/>
        <v>365.2</v>
      </c>
      <c r="L808" s="27">
        <f t="shared" si="790"/>
        <v>365.2</v>
      </c>
      <c r="M808" s="27">
        <f t="shared" si="791"/>
        <v>422.2</v>
      </c>
      <c r="N808" s="27">
        <f t="shared" si="791"/>
        <v>365.2</v>
      </c>
      <c r="O808" s="27">
        <f t="shared" si="763"/>
        <v>86.499289436286119</v>
      </c>
    </row>
    <row r="809" spans="1:15" ht="15.75" customHeight="1" x14ac:dyDescent="0.25">
      <c r="A809" s="33" t="s">
        <v>325</v>
      </c>
      <c r="B809" s="220">
        <v>907</v>
      </c>
      <c r="C809" s="218" t="s">
        <v>315</v>
      </c>
      <c r="D809" s="218" t="s">
        <v>266</v>
      </c>
      <c r="E809" s="218" t="s">
        <v>868</v>
      </c>
      <c r="F809" s="218" t="s">
        <v>326</v>
      </c>
      <c r="G809" s="27">
        <v>0</v>
      </c>
      <c r="H809" s="27">
        <v>0</v>
      </c>
      <c r="I809" s="27">
        <v>0</v>
      </c>
      <c r="J809" s="27">
        <v>365.2</v>
      </c>
      <c r="K809" s="27">
        <v>365.2</v>
      </c>
      <c r="L809" s="27">
        <v>365.2</v>
      </c>
      <c r="M809" s="27">
        <f>365.2+57</f>
        <v>422.2</v>
      </c>
      <c r="N809" s="27">
        <v>365.2</v>
      </c>
      <c r="O809" s="27">
        <f t="shared" si="763"/>
        <v>86.499289436286119</v>
      </c>
    </row>
    <row r="810" spans="1:15" ht="15.75" x14ac:dyDescent="0.25">
      <c r="A810" s="26" t="s">
        <v>172</v>
      </c>
      <c r="B810" s="220">
        <v>907</v>
      </c>
      <c r="C810" s="218" t="s">
        <v>315</v>
      </c>
      <c r="D810" s="218" t="s">
        <v>266</v>
      </c>
      <c r="E810" s="218" t="s">
        <v>173</v>
      </c>
      <c r="F810" s="218"/>
      <c r="G810" s="27">
        <f>G811</f>
        <v>727.1</v>
      </c>
      <c r="H810" s="27">
        <f>H811</f>
        <v>276.2</v>
      </c>
      <c r="I810" s="27">
        <f t="shared" ref="I810:L810" si="792">I811</f>
        <v>727.1</v>
      </c>
      <c r="J810" s="27">
        <f t="shared" si="792"/>
        <v>727.1</v>
      </c>
      <c r="K810" s="27">
        <f t="shared" si="792"/>
        <v>727.1</v>
      </c>
      <c r="L810" s="27">
        <f t="shared" si="792"/>
        <v>727.1</v>
      </c>
      <c r="M810" s="27">
        <f t="shared" ref="M810:N810" si="793">M811</f>
        <v>686.30000000000007</v>
      </c>
      <c r="N810" s="27">
        <f t="shared" si="793"/>
        <v>360.4</v>
      </c>
      <c r="O810" s="27">
        <f t="shared" si="763"/>
        <v>52.5134780708145</v>
      </c>
    </row>
    <row r="811" spans="1:15" ht="31.5" x14ac:dyDescent="0.25">
      <c r="A811" s="26" t="s">
        <v>236</v>
      </c>
      <c r="B811" s="220">
        <v>907</v>
      </c>
      <c r="C811" s="218" t="s">
        <v>315</v>
      </c>
      <c r="D811" s="218" t="s">
        <v>266</v>
      </c>
      <c r="E811" s="218" t="s">
        <v>237</v>
      </c>
      <c r="F811" s="218"/>
      <c r="G811" s="27">
        <f>G812+G815+G818</f>
        <v>727.1</v>
      </c>
      <c r="H811" s="27">
        <f>H812+H815+H818</f>
        <v>276.2</v>
      </c>
      <c r="I811" s="27">
        <f t="shared" ref="I811:L811" si="794">I812+I815+I818</f>
        <v>727.1</v>
      </c>
      <c r="J811" s="27">
        <f t="shared" si="794"/>
        <v>727.1</v>
      </c>
      <c r="K811" s="27">
        <f t="shared" si="794"/>
        <v>727.1</v>
      </c>
      <c r="L811" s="27">
        <f t="shared" si="794"/>
        <v>727.1</v>
      </c>
      <c r="M811" s="27">
        <f t="shared" ref="M811:N811" si="795">M812+M815+M818</f>
        <v>686.30000000000007</v>
      </c>
      <c r="N811" s="27">
        <f t="shared" si="795"/>
        <v>360.4</v>
      </c>
      <c r="O811" s="27">
        <f t="shared" si="763"/>
        <v>52.5134780708145</v>
      </c>
    </row>
    <row r="812" spans="1:15" ht="63" x14ac:dyDescent="0.25">
      <c r="A812" s="33" t="s">
        <v>340</v>
      </c>
      <c r="B812" s="220">
        <v>907</v>
      </c>
      <c r="C812" s="218" t="s">
        <v>315</v>
      </c>
      <c r="D812" s="218" t="s">
        <v>266</v>
      </c>
      <c r="E812" s="218" t="s">
        <v>341</v>
      </c>
      <c r="F812" s="218"/>
      <c r="G812" s="27">
        <f>G813</f>
        <v>50</v>
      </c>
      <c r="H812" s="27">
        <f>H813</f>
        <v>0</v>
      </c>
      <c r="I812" s="27">
        <f t="shared" ref="I812:L812" si="796">I813</f>
        <v>50</v>
      </c>
      <c r="J812" s="27">
        <f t="shared" si="796"/>
        <v>50</v>
      </c>
      <c r="K812" s="27">
        <f t="shared" si="796"/>
        <v>50</v>
      </c>
      <c r="L812" s="27">
        <f t="shared" si="796"/>
        <v>50</v>
      </c>
      <c r="M812" s="27">
        <f t="shared" ref="M812:N813" si="797">M813</f>
        <v>10.5</v>
      </c>
      <c r="N812" s="27">
        <f t="shared" si="797"/>
        <v>0</v>
      </c>
      <c r="O812" s="27">
        <f t="shared" si="763"/>
        <v>0</v>
      </c>
    </row>
    <row r="813" spans="1:15" ht="47.25" x14ac:dyDescent="0.25">
      <c r="A813" s="26" t="s">
        <v>323</v>
      </c>
      <c r="B813" s="220">
        <v>907</v>
      </c>
      <c r="C813" s="218" t="s">
        <v>315</v>
      </c>
      <c r="D813" s="218" t="s">
        <v>266</v>
      </c>
      <c r="E813" s="218" t="s">
        <v>341</v>
      </c>
      <c r="F813" s="218" t="s">
        <v>324</v>
      </c>
      <c r="G813" s="27">
        <f t="shared" ref="G813:L813" si="798">G814</f>
        <v>50</v>
      </c>
      <c r="H813" s="27">
        <f t="shared" si="798"/>
        <v>0</v>
      </c>
      <c r="I813" s="27">
        <f t="shared" si="798"/>
        <v>50</v>
      </c>
      <c r="J813" s="27">
        <f t="shared" si="798"/>
        <v>50</v>
      </c>
      <c r="K813" s="27">
        <f t="shared" si="798"/>
        <v>50</v>
      </c>
      <c r="L813" s="27">
        <f t="shared" si="798"/>
        <v>50</v>
      </c>
      <c r="M813" s="27">
        <f t="shared" si="797"/>
        <v>10.5</v>
      </c>
      <c r="N813" s="27">
        <f t="shared" si="797"/>
        <v>0</v>
      </c>
      <c r="O813" s="27">
        <f t="shared" si="763"/>
        <v>0</v>
      </c>
    </row>
    <row r="814" spans="1:15" ht="15.75" x14ac:dyDescent="0.25">
      <c r="A814" s="26" t="s">
        <v>325</v>
      </c>
      <c r="B814" s="220">
        <v>907</v>
      </c>
      <c r="C814" s="218" t="s">
        <v>315</v>
      </c>
      <c r="D814" s="218" t="s">
        <v>266</v>
      </c>
      <c r="E814" s="218" t="s">
        <v>341</v>
      </c>
      <c r="F814" s="218" t="s">
        <v>326</v>
      </c>
      <c r="G814" s="27">
        <v>50</v>
      </c>
      <c r="H814" s="27">
        <v>0</v>
      </c>
      <c r="I814" s="27">
        <v>50</v>
      </c>
      <c r="J814" s="27">
        <v>50</v>
      </c>
      <c r="K814" s="27">
        <v>50</v>
      </c>
      <c r="L814" s="27">
        <v>50</v>
      </c>
      <c r="M814" s="27">
        <f>50-39.5</f>
        <v>10.5</v>
      </c>
      <c r="N814" s="27">
        <v>0</v>
      </c>
      <c r="O814" s="27">
        <f t="shared" si="763"/>
        <v>0</v>
      </c>
    </row>
    <row r="815" spans="1:15" ht="78.75" x14ac:dyDescent="0.25">
      <c r="A815" s="33" t="s">
        <v>342</v>
      </c>
      <c r="B815" s="220">
        <v>907</v>
      </c>
      <c r="C815" s="218" t="s">
        <v>315</v>
      </c>
      <c r="D815" s="218" t="s">
        <v>266</v>
      </c>
      <c r="E815" s="218" t="s">
        <v>343</v>
      </c>
      <c r="F815" s="218"/>
      <c r="G815" s="27">
        <f t="shared" ref="G815:L819" si="799">G816</f>
        <v>197.3</v>
      </c>
      <c r="H815" s="27">
        <f t="shared" si="799"/>
        <v>118</v>
      </c>
      <c r="I815" s="27">
        <f t="shared" si="799"/>
        <v>197.3</v>
      </c>
      <c r="J815" s="27">
        <f t="shared" si="799"/>
        <v>197.3</v>
      </c>
      <c r="K815" s="27">
        <f t="shared" si="799"/>
        <v>197.3</v>
      </c>
      <c r="L815" s="27">
        <f t="shared" si="799"/>
        <v>197.3</v>
      </c>
      <c r="M815" s="27">
        <f t="shared" ref="M815:N819" si="800">M816</f>
        <v>204.20000000000002</v>
      </c>
      <c r="N815" s="27">
        <f t="shared" si="800"/>
        <v>140</v>
      </c>
      <c r="O815" s="27">
        <f t="shared" si="763"/>
        <v>68.560235063663072</v>
      </c>
    </row>
    <row r="816" spans="1:15" ht="47.25" x14ac:dyDescent="0.25">
      <c r="A816" s="26" t="s">
        <v>323</v>
      </c>
      <c r="B816" s="220">
        <v>907</v>
      </c>
      <c r="C816" s="218" t="s">
        <v>315</v>
      </c>
      <c r="D816" s="218" t="s">
        <v>266</v>
      </c>
      <c r="E816" s="218" t="s">
        <v>343</v>
      </c>
      <c r="F816" s="218" t="s">
        <v>324</v>
      </c>
      <c r="G816" s="27">
        <f>G817</f>
        <v>197.3</v>
      </c>
      <c r="H816" s="27">
        <f>H817</f>
        <v>118</v>
      </c>
      <c r="I816" s="27">
        <f t="shared" si="799"/>
        <v>197.3</v>
      </c>
      <c r="J816" s="27">
        <f t="shared" si="799"/>
        <v>197.3</v>
      </c>
      <c r="K816" s="27">
        <f t="shared" si="799"/>
        <v>197.3</v>
      </c>
      <c r="L816" s="27">
        <f t="shared" si="799"/>
        <v>197.3</v>
      </c>
      <c r="M816" s="27">
        <f t="shared" si="800"/>
        <v>204.20000000000002</v>
      </c>
      <c r="N816" s="27">
        <f t="shared" si="800"/>
        <v>140</v>
      </c>
      <c r="O816" s="27">
        <f t="shared" si="763"/>
        <v>68.560235063663072</v>
      </c>
    </row>
    <row r="817" spans="1:15" ht="15.75" x14ac:dyDescent="0.25">
      <c r="A817" s="26" t="s">
        <v>325</v>
      </c>
      <c r="B817" s="220">
        <v>907</v>
      </c>
      <c r="C817" s="218" t="s">
        <v>315</v>
      </c>
      <c r="D817" s="218" t="s">
        <v>266</v>
      </c>
      <c r="E817" s="218" t="s">
        <v>343</v>
      </c>
      <c r="F817" s="218" t="s">
        <v>326</v>
      </c>
      <c r="G817" s="27">
        <f>200-2.7</f>
        <v>197.3</v>
      </c>
      <c r="H817" s="27">
        <v>118</v>
      </c>
      <c r="I817" s="27">
        <f t="shared" ref="I817:L817" si="801">200-2.7</f>
        <v>197.3</v>
      </c>
      <c r="J817" s="27">
        <f t="shared" si="801"/>
        <v>197.3</v>
      </c>
      <c r="K817" s="27">
        <f t="shared" si="801"/>
        <v>197.3</v>
      </c>
      <c r="L817" s="27">
        <f t="shared" si="801"/>
        <v>197.3</v>
      </c>
      <c r="M817" s="27">
        <f>200-2.7+6.9</f>
        <v>204.20000000000002</v>
      </c>
      <c r="N817" s="27">
        <v>140</v>
      </c>
      <c r="O817" s="27">
        <f t="shared" si="763"/>
        <v>68.560235063663072</v>
      </c>
    </row>
    <row r="818" spans="1:15" ht="110.25" x14ac:dyDescent="0.25">
      <c r="A818" s="33" t="s">
        <v>516</v>
      </c>
      <c r="B818" s="220">
        <v>907</v>
      </c>
      <c r="C818" s="218" t="s">
        <v>315</v>
      </c>
      <c r="D818" s="218" t="s">
        <v>266</v>
      </c>
      <c r="E818" s="218" t="s">
        <v>345</v>
      </c>
      <c r="F818" s="218"/>
      <c r="G818" s="27">
        <f>G819</f>
        <v>479.8</v>
      </c>
      <c r="H818" s="27">
        <f>H819</f>
        <v>158.19999999999999</v>
      </c>
      <c r="I818" s="27">
        <f t="shared" ref="I818:L818" si="802">I819</f>
        <v>479.8</v>
      </c>
      <c r="J818" s="27">
        <f t="shared" si="802"/>
        <v>479.8</v>
      </c>
      <c r="K818" s="27">
        <f t="shared" si="802"/>
        <v>479.8</v>
      </c>
      <c r="L818" s="27">
        <f t="shared" si="802"/>
        <v>479.8</v>
      </c>
      <c r="M818" s="27">
        <f t="shared" ref="M818:N818" si="803">M819</f>
        <v>471.6</v>
      </c>
      <c r="N818" s="27">
        <f t="shared" si="803"/>
        <v>220.4</v>
      </c>
      <c r="O818" s="27">
        <f t="shared" si="763"/>
        <v>46.734520780322306</v>
      </c>
    </row>
    <row r="819" spans="1:15" ht="47.25" x14ac:dyDescent="0.25">
      <c r="A819" s="26" t="s">
        <v>323</v>
      </c>
      <c r="B819" s="220">
        <v>907</v>
      </c>
      <c r="C819" s="218" t="s">
        <v>315</v>
      </c>
      <c r="D819" s="218" t="s">
        <v>266</v>
      </c>
      <c r="E819" s="218" t="s">
        <v>345</v>
      </c>
      <c r="F819" s="218" t="s">
        <v>324</v>
      </c>
      <c r="G819" s="27">
        <f t="shared" si="799"/>
        <v>479.8</v>
      </c>
      <c r="H819" s="27">
        <f t="shared" si="799"/>
        <v>158.19999999999999</v>
      </c>
      <c r="I819" s="27">
        <f t="shared" si="799"/>
        <v>479.8</v>
      </c>
      <c r="J819" s="27">
        <f t="shared" si="799"/>
        <v>479.8</v>
      </c>
      <c r="K819" s="27">
        <f t="shared" si="799"/>
        <v>479.8</v>
      </c>
      <c r="L819" s="27">
        <f t="shared" si="799"/>
        <v>479.8</v>
      </c>
      <c r="M819" s="27">
        <f t="shared" si="800"/>
        <v>471.6</v>
      </c>
      <c r="N819" s="27">
        <f t="shared" si="800"/>
        <v>220.4</v>
      </c>
      <c r="O819" s="27">
        <f t="shared" si="763"/>
        <v>46.734520780322306</v>
      </c>
    </row>
    <row r="820" spans="1:15" ht="15.75" x14ac:dyDescent="0.25">
      <c r="A820" s="26" t="s">
        <v>325</v>
      </c>
      <c r="B820" s="220">
        <v>907</v>
      </c>
      <c r="C820" s="218" t="s">
        <v>315</v>
      </c>
      <c r="D820" s="218" t="s">
        <v>266</v>
      </c>
      <c r="E820" s="218" t="s">
        <v>345</v>
      </c>
      <c r="F820" s="218" t="s">
        <v>326</v>
      </c>
      <c r="G820" s="27">
        <f>500-20.2</f>
        <v>479.8</v>
      </c>
      <c r="H820" s="27">
        <v>158.19999999999999</v>
      </c>
      <c r="I820" s="27">
        <f t="shared" ref="I820:L820" si="804">500-20.2</f>
        <v>479.8</v>
      </c>
      <c r="J820" s="27">
        <f t="shared" si="804"/>
        <v>479.8</v>
      </c>
      <c r="K820" s="27">
        <f t="shared" si="804"/>
        <v>479.8</v>
      </c>
      <c r="L820" s="27">
        <f t="shared" si="804"/>
        <v>479.8</v>
      </c>
      <c r="M820" s="27">
        <f>500-20.2-8.2</f>
        <v>471.6</v>
      </c>
      <c r="N820" s="27">
        <v>220.4</v>
      </c>
      <c r="O820" s="27">
        <f t="shared" si="763"/>
        <v>46.734520780322306</v>
      </c>
    </row>
    <row r="821" spans="1:15" ht="15.75" x14ac:dyDescent="0.25">
      <c r="A821" s="24" t="s">
        <v>542</v>
      </c>
      <c r="B821" s="217">
        <v>907</v>
      </c>
      <c r="C821" s="219" t="s">
        <v>543</v>
      </c>
      <c r="D821" s="218"/>
      <c r="E821" s="218"/>
      <c r="F821" s="218"/>
      <c r="G821" s="22">
        <f t="shared" ref="G821:M821" si="805">G822+G849</f>
        <v>34702.699999999997</v>
      </c>
      <c r="H821" s="22">
        <f t="shared" si="805"/>
        <v>24902</v>
      </c>
      <c r="I821" s="22">
        <f t="shared" si="805"/>
        <v>40816.800000000003</v>
      </c>
      <c r="J821" s="22">
        <f t="shared" si="805"/>
        <v>64029.599999999999</v>
      </c>
      <c r="K821" s="22">
        <f t="shared" si="805"/>
        <v>65815.3</v>
      </c>
      <c r="L821" s="22">
        <f t="shared" si="805"/>
        <v>66895.899999999994</v>
      </c>
      <c r="M821" s="22">
        <f t="shared" si="805"/>
        <v>51617.8</v>
      </c>
      <c r="N821" s="22">
        <f t="shared" ref="N821" si="806">N822+N849</f>
        <v>33596.100000000006</v>
      </c>
      <c r="O821" s="22">
        <f t="shared" si="763"/>
        <v>65.086268690258024</v>
      </c>
    </row>
    <row r="822" spans="1:15" ht="15.75" x14ac:dyDescent="0.25">
      <c r="A822" s="24" t="s">
        <v>544</v>
      </c>
      <c r="B822" s="217">
        <v>907</v>
      </c>
      <c r="C822" s="219" t="s">
        <v>543</v>
      </c>
      <c r="D822" s="219" t="s">
        <v>169</v>
      </c>
      <c r="E822" s="218"/>
      <c r="F822" s="218"/>
      <c r="G822" s="22">
        <f t="shared" ref="G822:L822" si="807">G823+G845</f>
        <v>23173.9</v>
      </c>
      <c r="H822" s="22">
        <f t="shared" si="807"/>
        <v>15997.5</v>
      </c>
      <c r="I822" s="22">
        <f t="shared" si="807"/>
        <v>28397</v>
      </c>
      <c r="J822" s="22">
        <f t="shared" si="807"/>
        <v>52737</v>
      </c>
      <c r="K822" s="22">
        <f t="shared" si="807"/>
        <v>54355.7</v>
      </c>
      <c r="L822" s="22">
        <f t="shared" si="807"/>
        <v>55263.1</v>
      </c>
      <c r="M822" s="22">
        <f>M823+M845+M840</f>
        <v>40805.5</v>
      </c>
      <c r="N822" s="22">
        <f>N823+N845+N840</f>
        <v>25874.200000000004</v>
      </c>
      <c r="O822" s="22">
        <f t="shared" si="763"/>
        <v>63.408609133572689</v>
      </c>
    </row>
    <row r="823" spans="1:15" ht="47.25" x14ac:dyDescent="0.25">
      <c r="A823" s="26" t="s">
        <v>533</v>
      </c>
      <c r="B823" s="220">
        <v>907</v>
      </c>
      <c r="C823" s="218" t="s">
        <v>543</v>
      </c>
      <c r="D823" s="218" t="s">
        <v>169</v>
      </c>
      <c r="E823" s="218" t="s">
        <v>534</v>
      </c>
      <c r="F823" s="218"/>
      <c r="G823" s="27">
        <f>G824</f>
        <v>22673.9</v>
      </c>
      <c r="H823" s="27">
        <f>H824</f>
        <v>15997.5</v>
      </c>
      <c r="I823" s="27">
        <f t="shared" ref="I823:N823" si="808">I824</f>
        <v>27897</v>
      </c>
      <c r="J823" s="27">
        <f t="shared" si="808"/>
        <v>52737</v>
      </c>
      <c r="K823" s="27">
        <f t="shared" si="808"/>
        <v>54355.7</v>
      </c>
      <c r="L823" s="27">
        <f t="shared" si="808"/>
        <v>55263.1</v>
      </c>
      <c r="M823" s="27">
        <f t="shared" si="808"/>
        <v>39760.5</v>
      </c>
      <c r="N823" s="27">
        <f t="shared" si="808"/>
        <v>24929.300000000003</v>
      </c>
      <c r="O823" s="27">
        <f t="shared" si="763"/>
        <v>62.698658216068715</v>
      </c>
    </row>
    <row r="824" spans="1:15" ht="47.25" x14ac:dyDescent="0.25">
      <c r="A824" s="26" t="s">
        <v>545</v>
      </c>
      <c r="B824" s="220">
        <v>907</v>
      </c>
      <c r="C824" s="218" t="s">
        <v>543</v>
      </c>
      <c r="D824" s="218" t="s">
        <v>169</v>
      </c>
      <c r="E824" s="218" t="s">
        <v>546</v>
      </c>
      <c r="F824" s="218"/>
      <c r="G824" s="27">
        <f>G825+G828+G831+G834+G837</f>
        <v>22673.9</v>
      </c>
      <c r="H824" s="27">
        <f>H825+H828+H831+H834</f>
        <v>15997.5</v>
      </c>
      <c r="I824" s="27">
        <f t="shared" ref="I824:L824" si="809">I825+I828+I831+I834+I837</f>
        <v>27897</v>
      </c>
      <c r="J824" s="27">
        <f t="shared" si="809"/>
        <v>52737</v>
      </c>
      <c r="K824" s="27">
        <f t="shared" si="809"/>
        <v>54355.7</v>
      </c>
      <c r="L824" s="27">
        <f t="shared" si="809"/>
        <v>55263.1</v>
      </c>
      <c r="M824" s="27">
        <f>M825+M828+M831+M834+M837</f>
        <v>39760.5</v>
      </c>
      <c r="N824" s="27">
        <f>N825+N828+N831+N834+N837</f>
        <v>24929.300000000003</v>
      </c>
      <c r="O824" s="27">
        <f t="shared" si="763"/>
        <v>62.698658216068715</v>
      </c>
    </row>
    <row r="825" spans="1:15" ht="47.25" x14ac:dyDescent="0.25">
      <c r="A825" s="26" t="s">
        <v>547</v>
      </c>
      <c r="B825" s="220">
        <v>907</v>
      </c>
      <c r="C825" s="218" t="s">
        <v>543</v>
      </c>
      <c r="D825" s="218" t="s">
        <v>169</v>
      </c>
      <c r="E825" s="218" t="s">
        <v>548</v>
      </c>
      <c r="F825" s="218"/>
      <c r="G825" s="27">
        <f>G826</f>
        <v>22376.400000000001</v>
      </c>
      <c r="H825" s="27">
        <f>H826</f>
        <v>15700</v>
      </c>
      <c r="I825" s="27">
        <f t="shared" ref="I825:L825" si="810">I826</f>
        <v>27599.5</v>
      </c>
      <c r="J825" s="27">
        <f t="shared" si="810"/>
        <v>50955.8</v>
      </c>
      <c r="K825" s="27">
        <f t="shared" si="810"/>
        <v>52684.5</v>
      </c>
      <c r="L825" s="27">
        <f t="shared" si="810"/>
        <v>54166.9</v>
      </c>
      <c r="M825" s="27">
        <f t="shared" ref="M825:N826" si="811">M826</f>
        <v>38540.600000000006</v>
      </c>
      <c r="N825" s="27">
        <f t="shared" si="811"/>
        <v>23709.4</v>
      </c>
      <c r="O825" s="27">
        <f t="shared" si="763"/>
        <v>61.51798363284432</v>
      </c>
    </row>
    <row r="826" spans="1:15" ht="47.25" x14ac:dyDescent="0.25">
      <c r="A826" s="26" t="s">
        <v>323</v>
      </c>
      <c r="B826" s="220">
        <v>907</v>
      </c>
      <c r="C826" s="218" t="s">
        <v>543</v>
      </c>
      <c r="D826" s="218" t="s">
        <v>169</v>
      </c>
      <c r="E826" s="218" t="s">
        <v>548</v>
      </c>
      <c r="F826" s="218" t="s">
        <v>324</v>
      </c>
      <c r="G826" s="27">
        <f t="shared" ref="G826:L826" si="812">G827</f>
        <v>22376.400000000001</v>
      </c>
      <c r="H826" s="27">
        <f t="shared" si="812"/>
        <v>15700</v>
      </c>
      <c r="I826" s="27">
        <f t="shared" si="812"/>
        <v>27599.5</v>
      </c>
      <c r="J826" s="27">
        <f t="shared" si="812"/>
        <v>50955.8</v>
      </c>
      <c r="K826" s="27">
        <f t="shared" si="812"/>
        <v>52684.5</v>
      </c>
      <c r="L826" s="27">
        <f t="shared" si="812"/>
        <v>54166.9</v>
      </c>
      <c r="M826" s="27">
        <f t="shared" si="811"/>
        <v>38540.600000000006</v>
      </c>
      <c r="N826" s="27">
        <f t="shared" si="811"/>
        <v>23709.4</v>
      </c>
      <c r="O826" s="27">
        <f t="shared" si="763"/>
        <v>61.51798363284432</v>
      </c>
    </row>
    <row r="827" spans="1:15" ht="15.75" x14ac:dyDescent="0.25">
      <c r="A827" s="26" t="s">
        <v>325</v>
      </c>
      <c r="B827" s="220">
        <v>907</v>
      </c>
      <c r="C827" s="218" t="s">
        <v>543</v>
      </c>
      <c r="D827" s="218" t="s">
        <v>169</v>
      </c>
      <c r="E827" s="218" t="s">
        <v>548</v>
      </c>
      <c r="F827" s="218" t="s">
        <v>326</v>
      </c>
      <c r="G827" s="28">
        <f>10890+1490.1+9887.3-199+308</f>
        <v>22376.400000000001</v>
      </c>
      <c r="H827" s="28">
        <v>15700</v>
      </c>
      <c r="I827" s="28">
        <v>27599.5</v>
      </c>
      <c r="J827" s="28">
        <v>50955.8</v>
      </c>
      <c r="K827" s="28">
        <v>52684.5</v>
      </c>
      <c r="L827" s="28">
        <v>54166.9</v>
      </c>
      <c r="M827" s="28">
        <f>12075+28906.3-42-2000-398.7</f>
        <v>38540.600000000006</v>
      </c>
      <c r="N827" s="28">
        <v>23709.4</v>
      </c>
      <c r="O827" s="27">
        <f t="shared" si="763"/>
        <v>61.51798363284432</v>
      </c>
    </row>
    <row r="828" spans="1:15" ht="47.25" x14ac:dyDescent="0.25">
      <c r="A828" s="26" t="s">
        <v>329</v>
      </c>
      <c r="B828" s="220">
        <v>907</v>
      </c>
      <c r="C828" s="218" t="s">
        <v>543</v>
      </c>
      <c r="D828" s="218" t="s">
        <v>169</v>
      </c>
      <c r="E828" s="218" t="s">
        <v>549</v>
      </c>
      <c r="F828" s="218"/>
      <c r="G828" s="27">
        <f t="shared" ref="G828:L829" si="813">G829</f>
        <v>297.5</v>
      </c>
      <c r="H828" s="27">
        <f t="shared" si="813"/>
        <v>297.5</v>
      </c>
      <c r="I828" s="27">
        <f t="shared" si="813"/>
        <v>297.5</v>
      </c>
      <c r="J828" s="27">
        <f t="shared" si="813"/>
        <v>0</v>
      </c>
      <c r="K828" s="27">
        <f t="shared" si="813"/>
        <v>0</v>
      </c>
      <c r="L828" s="27">
        <f t="shared" si="813"/>
        <v>0</v>
      </c>
      <c r="M828" s="27">
        <f t="shared" ref="M828:N829" si="814">M829</f>
        <v>398.7</v>
      </c>
      <c r="N828" s="27">
        <f t="shared" si="814"/>
        <v>398.7</v>
      </c>
      <c r="O828" s="27">
        <f t="shared" si="763"/>
        <v>100</v>
      </c>
    </row>
    <row r="829" spans="1:15" ht="47.25" x14ac:dyDescent="0.25">
      <c r="A829" s="26" t="s">
        <v>323</v>
      </c>
      <c r="B829" s="220">
        <v>907</v>
      </c>
      <c r="C829" s="218" t="s">
        <v>543</v>
      </c>
      <c r="D829" s="218" t="s">
        <v>169</v>
      </c>
      <c r="E829" s="218" t="s">
        <v>549</v>
      </c>
      <c r="F829" s="218" t="s">
        <v>324</v>
      </c>
      <c r="G829" s="27">
        <f t="shared" si="813"/>
        <v>297.5</v>
      </c>
      <c r="H829" s="27">
        <f t="shared" si="813"/>
        <v>297.5</v>
      </c>
      <c r="I829" s="27">
        <f t="shared" si="813"/>
        <v>297.5</v>
      </c>
      <c r="J829" s="27">
        <f t="shared" si="813"/>
        <v>0</v>
      </c>
      <c r="K829" s="27">
        <f t="shared" si="813"/>
        <v>0</v>
      </c>
      <c r="L829" s="27">
        <f t="shared" si="813"/>
        <v>0</v>
      </c>
      <c r="M829" s="27">
        <f t="shared" si="814"/>
        <v>398.7</v>
      </c>
      <c r="N829" s="27">
        <f t="shared" si="814"/>
        <v>398.7</v>
      </c>
      <c r="O829" s="27">
        <f t="shared" si="763"/>
        <v>100</v>
      </c>
    </row>
    <row r="830" spans="1:15" ht="15.75" x14ac:dyDescent="0.25">
      <c r="A830" s="26" t="s">
        <v>325</v>
      </c>
      <c r="B830" s="220">
        <v>907</v>
      </c>
      <c r="C830" s="218" t="s">
        <v>543</v>
      </c>
      <c r="D830" s="218" t="s">
        <v>169</v>
      </c>
      <c r="E830" s="218" t="s">
        <v>549</v>
      </c>
      <c r="F830" s="218" t="s">
        <v>326</v>
      </c>
      <c r="G830" s="27">
        <f>797.5-500</f>
        <v>297.5</v>
      </c>
      <c r="H830" s="27">
        <f>797.5-500</f>
        <v>297.5</v>
      </c>
      <c r="I830" s="27">
        <f t="shared" ref="I830" si="815">797.5-500</f>
        <v>297.5</v>
      </c>
      <c r="J830" s="27">
        <v>0</v>
      </c>
      <c r="K830" s="27">
        <v>0</v>
      </c>
      <c r="L830" s="27">
        <v>0</v>
      </c>
      <c r="M830" s="27">
        <v>398.7</v>
      </c>
      <c r="N830" s="27">
        <v>398.7</v>
      </c>
      <c r="O830" s="27">
        <f t="shared" si="763"/>
        <v>100</v>
      </c>
    </row>
    <row r="831" spans="1:15" ht="31.5" hidden="1" customHeight="1" x14ac:dyDescent="0.25">
      <c r="A831" s="26" t="s">
        <v>331</v>
      </c>
      <c r="B831" s="220">
        <v>907</v>
      </c>
      <c r="C831" s="218" t="s">
        <v>543</v>
      </c>
      <c r="D831" s="218" t="s">
        <v>169</v>
      </c>
      <c r="E831" s="218" t="s">
        <v>550</v>
      </c>
      <c r="F831" s="218"/>
      <c r="G831" s="27">
        <f t="shared" ref="G831:L832" si="816">G832</f>
        <v>0</v>
      </c>
      <c r="H831" s="27">
        <v>0</v>
      </c>
      <c r="I831" s="27">
        <f t="shared" si="816"/>
        <v>0</v>
      </c>
      <c r="J831" s="27">
        <f t="shared" si="816"/>
        <v>685</v>
      </c>
      <c r="K831" s="27">
        <f t="shared" si="816"/>
        <v>300</v>
      </c>
      <c r="L831" s="27">
        <f t="shared" si="816"/>
        <v>0</v>
      </c>
      <c r="M831" s="27">
        <f t="shared" ref="M831:N832" si="817">M832</f>
        <v>0</v>
      </c>
      <c r="N831" s="27">
        <f t="shared" si="817"/>
        <v>0</v>
      </c>
      <c r="O831" s="27" t="e">
        <f t="shared" si="763"/>
        <v>#DIV/0!</v>
      </c>
    </row>
    <row r="832" spans="1:15" ht="47.25" hidden="1" customHeight="1" x14ac:dyDescent="0.25">
      <c r="A832" s="26" t="s">
        <v>323</v>
      </c>
      <c r="B832" s="220">
        <v>907</v>
      </c>
      <c r="C832" s="218" t="s">
        <v>543</v>
      </c>
      <c r="D832" s="218" t="s">
        <v>169</v>
      </c>
      <c r="E832" s="218" t="s">
        <v>550</v>
      </c>
      <c r="F832" s="218" t="s">
        <v>324</v>
      </c>
      <c r="G832" s="27">
        <f t="shared" si="816"/>
        <v>0</v>
      </c>
      <c r="H832" s="27">
        <v>0</v>
      </c>
      <c r="I832" s="27">
        <f t="shared" si="816"/>
        <v>0</v>
      </c>
      <c r="J832" s="27">
        <f t="shared" si="816"/>
        <v>685</v>
      </c>
      <c r="K832" s="27">
        <f t="shared" si="816"/>
        <v>300</v>
      </c>
      <c r="L832" s="27">
        <f t="shared" si="816"/>
        <v>0</v>
      </c>
      <c r="M832" s="27">
        <f t="shared" si="817"/>
        <v>0</v>
      </c>
      <c r="N832" s="27">
        <f t="shared" si="817"/>
        <v>0</v>
      </c>
      <c r="O832" s="27" t="e">
        <f t="shared" si="763"/>
        <v>#DIV/0!</v>
      </c>
    </row>
    <row r="833" spans="1:15" ht="15.75" hidden="1" customHeight="1" x14ac:dyDescent="0.25">
      <c r="A833" s="26" t="s">
        <v>325</v>
      </c>
      <c r="B833" s="220">
        <v>907</v>
      </c>
      <c r="C833" s="218" t="s">
        <v>543</v>
      </c>
      <c r="D833" s="218" t="s">
        <v>169</v>
      </c>
      <c r="E833" s="218" t="s">
        <v>550</v>
      </c>
      <c r="F833" s="218" t="s">
        <v>326</v>
      </c>
      <c r="G833" s="27">
        <v>0</v>
      </c>
      <c r="H833" s="27">
        <v>0</v>
      </c>
      <c r="I833" s="27">
        <v>0</v>
      </c>
      <c r="J833" s="27">
        <v>685</v>
      </c>
      <c r="K833" s="27">
        <v>300</v>
      </c>
      <c r="L833" s="27">
        <v>0</v>
      </c>
      <c r="M833" s="27">
        <v>0</v>
      </c>
      <c r="N833" s="27">
        <v>0</v>
      </c>
      <c r="O833" s="27" t="e">
        <f t="shared" si="763"/>
        <v>#DIV/0!</v>
      </c>
    </row>
    <row r="834" spans="1:15" ht="33.75" customHeight="1" x14ac:dyDescent="0.25">
      <c r="A834" s="26" t="s">
        <v>990</v>
      </c>
      <c r="B834" s="220">
        <v>907</v>
      </c>
      <c r="C834" s="218" t="s">
        <v>543</v>
      </c>
      <c r="D834" s="218" t="s">
        <v>169</v>
      </c>
      <c r="E834" s="218" t="s">
        <v>551</v>
      </c>
      <c r="F834" s="218"/>
      <c r="G834" s="27">
        <f>G835</f>
        <v>0</v>
      </c>
      <c r="H834" s="27">
        <v>0</v>
      </c>
      <c r="I834" s="27">
        <f t="shared" ref="I834:L835" si="818">I835</f>
        <v>0</v>
      </c>
      <c r="J834" s="27">
        <f t="shared" si="818"/>
        <v>275</v>
      </c>
      <c r="K834" s="27">
        <f t="shared" si="818"/>
        <v>550</v>
      </c>
      <c r="L834" s="27">
        <f t="shared" si="818"/>
        <v>275</v>
      </c>
      <c r="M834" s="27">
        <f t="shared" ref="M834:N835" si="819">M835</f>
        <v>100</v>
      </c>
      <c r="N834" s="27">
        <f t="shared" si="819"/>
        <v>100</v>
      </c>
      <c r="O834" s="27">
        <f t="shared" si="763"/>
        <v>100</v>
      </c>
    </row>
    <row r="835" spans="1:15" ht="47.25" x14ac:dyDescent="0.25">
      <c r="A835" s="26" t="s">
        <v>323</v>
      </c>
      <c r="B835" s="220">
        <v>907</v>
      </c>
      <c r="C835" s="218" t="s">
        <v>543</v>
      </c>
      <c r="D835" s="218" t="s">
        <v>169</v>
      </c>
      <c r="E835" s="218" t="s">
        <v>551</v>
      </c>
      <c r="F835" s="218" t="s">
        <v>324</v>
      </c>
      <c r="G835" s="27">
        <f>G836</f>
        <v>0</v>
      </c>
      <c r="H835" s="27">
        <v>0</v>
      </c>
      <c r="I835" s="27">
        <f t="shared" si="818"/>
        <v>0</v>
      </c>
      <c r="J835" s="27">
        <f t="shared" si="818"/>
        <v>275</v>
      </c>
      <c r="K835" s="27">
        <f t="shared" si="818"/>
        <v>550</v>
      </c>
      <c r="L835" s="27">
        <f t="shared" si="818"/>
        <v>275</v>
      </c>
      <c r="M835" s="27">
        <f t="shared" si="819"/>
        <v>100</v>
      </c>
      <c r="N835" s="27">
        <f t="shared" si="819"/>
        <v>100</v>
      </c>
      <c r="O835" s="27">
        <f t="shared" si="763"/>
        <v>100</v>
      </c>
    </row>
    <row r="836" spans="1:15" ht="15.75" customHeight="1" x14ac:dyDescent="0.25">
      <c r="A836" s="26" t="s">
        <v>325</v>
      </c>
      <c r="B836" s="220">
        <v>907</v>
      </c>
      <c r="C836" s="218" t="s">
        <v>543</v>
      </c>
      <c r="D836" s="218" t="s">
        <v>169</v>
      </c>
      <c r="E836" s="218" t="s">
        <v>551</v>
      </c>
      <c r="F836" s="218" t="s">
        <v>326</v>
      </c>
      <c r="G836" s="27">
        <v>0</v>
      </c>
      <c r="H836" s="27">
        <v>0</v>
      </c>
      <c r="I836" s="27">
        <v>0</v>
      </c>
      <c r="J836" s="27">
        <v>275</v>
      </c>
      <c r="K836" s="27">
        <f>275+275</f>
        <v>550</v>
      </c>
      <c r="L836" s="27">
        <v>275</v>
      </c>
      <c r="M836" s="27">
        <v>100</v>
      </c>
      <c r="N836" s="27">
        <v>100</v>
      </c>
      <c r="O836" s="27">
        <f t="shared" si="763"/>
        <v>100</v>
      </c>
    </row>
    <row r="837" spans="1:15" ht="49.5" customHeight="1" x14ac:dyDescent="0.25">
      <c r="A837" s="47" t="s">
        <v>861</v>
      </c>
      <c r="B837" s="220">
        <v>907</v>
      </c>
      <c r="C837" s="218" t="s">
        <v>543</v>
      </c>
      <c r="D837" s="218" t="s">
        <v>169</v>
      </c>
      <c r="E837" s="218" t="s">
        <v>869</v>
      </c>
      <c r="F837" s="218"/>
      <c r="G837" s="27">
        <f>G838</f>
        <v>0</v>
      </c>
      <c r="H837" s="27">
        <v>0</v>
      </c>
      <c r="I837" s="27">
        <f t="shared" ref="I837:L838" si="820">I838</f>
        <v>0</v>
      </c>
      <c r="J837" s="27">
        <f t="shared" si="820"/>
        <v>821.2</v>
      </c>
      <c r="K837" s="27">
        <f t="shared" si="820"/>
        <v>821.2</v>
      </c>
      <c r="L837" s="27">
        <f t="shared" si="820"/>
        <v>821.2</v>
      </c>
      <c r="M837" s="27">
        <f t="shared" ref="M837:N838" si="821">M838</f>
        <v>721.2</v>
      </c>
      <c r="N837" s="27">
        <f t="shared" si="821"/>
        <v>721.2</v>
      </c>
      <c r="O837" s="27">
        <f t="shared" si="763"/>
        <v>100</v>
      </c>
    </row>
    <row r="838" spans="1:15" ht="48" customHeight="1" x14ac:dyDescent="0.25">
      <c r="A838" s="33" t="s">
        <v>323</v>
      </c>
      <c r="B838" s="220">
        <v>907</v>
      </c>
      <c r="C838" s="218" t="s">
        <v>543</v>
      </c>
      <c r="D838" s="218" t="s">
        <v>169</v>
      </c>
      <c r="E838" s="218" t="s">
        <v>869</v>
      </c>
      <c r="F838" s="218" t="s">
        <v>324</v>
      </c>
      <c r="G838" s="27">
        <f>G839</f>
        <v>0</v>
      </c>
      <c r="H838" s="27">
        <v>0</v>
      </c>
      <c r="I838" s="27">
        <f t="shared" si="820"/>
        <v>0</v>
      </c>
      <c r="J838" s="27">
        <f t="shared" si="820"/>
        <v>821.2</v>
      </c>
      <c r="K838" s="27">
        <f t="shared" si="820"/>
        <v>821.2</v>
      </c>
      <c r="L838" s="27">
        <f t="shared" si="820"/>
        <v>821.2</v>
      </c>
      <c r="M838" s="27">
        <f t="shared" si="821"/>
        <v>721.2</v>
      </c>
      <c r="N838" s="27">
        <f t="shared" si="821"/>
        <v>721.2</v>
      </c>
      <c r="O838" s="27">
        <f t="shared" si="763"/>
        <v>100</v>
      </c>
    </row>
    <row r="839" spans="1:15" ht="15.75" customHeight="1" x14ac:dyDescent="0.25">
      <c r="A839" s="33" t="s">
        <v>325</v>
      </c>
      <c r="B839" s="220">
        <v>907</v>
      </c>
      <c r="C839" s="218" t="s">
        <v>543</v>
      </c>
      <c r="D839" s="218" t="s">
        <v>169</v>
      </c>
      <c r="E839" s="218" t="s">
        <v>869</v>
      </c>
      <c r="F839" s="218" t="s">
        <v>326</v>
      </c>
      <c r="G839" s="27">
        <v>0</v>
      </c>
      <c r="H839" s="27">
        <v>0</v>
      </c>
      <c r="I839" s="27">
        <v>0</v>
      </c>
      <c r="J839" s="27">
        <v>821.2</v>
      </c>
      <c r="K839" s="27">
        <v>821.2</v>
      </c>
      <c r="L839" s="27">
        <v>821.2</v>
      </c>
      <c r="M839" s="27">
        <f>821.2-100</f>
        <v>721.2</v>
      </c>
      <c r="N839" s="27">
        <v>721.2</v>
      </c>
      <c r="O839" s="27">
        <f t="shared" si="763"/>
        <v>100</v>
      </c>
    </row>
    <row r="840" spans="1:15" ht="61.5" customHeight="1" x14ac:dyDescent="0.25">
      <c r="A840" s="33" t="s">
        <v>952</v>
      </c>
      <c r="B840" s="220">
        <v>907</v>
      </c>
      <c r="C840" s="218" t="s">
        <v>543</v>
      </c>
      <c r="D840" s="218" t="s">
        <v>169</v>
      </c>
      <c r="E840" s="218" t="s">
        <v>375</v>
      </c>
      <c r="F840" s="218"/>
      <c r="G840" s="27"/>
      <c r="H840" s="27"/>
      <c r="I840" s="27"/>
      <c r="J840" s="27"/>
      <c r="K840" s="27"/>
      <c r="L840" s="27"/>
      <c r="M840" s="27">
        <f t="shared" ref="M840:N842" si="822">M841</f>
        <v>545</v>
      </c>
      <c r="N840" s="27">
        <f t="shared" si="822"/>
        <v>545</v>
      </c>
      <c r="O840" s="27">
        <f t="shared" si="763"/>
        <v>100</v>
      </c>
    </row>
    <row r="841" spans="1:15" ht="47.25" x14ac:dyDescent="0.25">
      <c r="A841" s="33" t="s">
        <v>376</v>
      </c>
      <c r="B841" s="220">
        <v>907</v>
      </c>
      <c r="C841" s="218" t="s">
        <v>543</v>
      </c>
      <c r="D841" s="218" t="s">
        <v>169</v>
      </c>
      <c r="E841" s="218" t="s">
        <v>377</v>
      </c>
      <c r="F841" s="218"/>
      <c r="G841" s="27"/>
      <c r="H841" s="27"/>
      <c r="I841" s="27"/>
      <c r="J841" s="27"/>
      <c r="K841" s="27"/>
      <c r="L841" s="27"/>
      <c r="M841" s="27">
        <f t="shared" si="822"/>
        <v>545</v>
      </c>
      <c r="N841" s="27">
        <f t="shared" si="822"/>
        <v>545</v>
      </c>
      <c r="O841" s="27">
        <f t="shared" si="763"/>
        <v>100</v>
      </c>
    </row>
    <row r="842" spans="1:15" ht="47.25" x14ac:dyDescent="0.25">
      <c r="A842" s="33" t="s">
        <v>323</v>
      </c>
      <c r="B842" s="220">
        <v>907</v>
      </c>
      <c r="C842" s="218" t="s">
        <v>543</v>
      </c>
      <c r="D842" s="218" t="s">
        <v>169</v>
      </c>
      <c r="E842" s="218" t="s">
        <v>377</v>
      </c>
      <c r="F842" s="218" t="s">
        <v>324</v>
      </c>
      <c r="G842" s="27"/>
      <c r="H842" s="27"/>
      <c r="I842" s="27"/>
      <c r="J842" s="27"/>
      <c r="K842" s="27"/>
      <c r="L842" s="27"/>
      <c r="M842" s="27">
        <f t="shared" si="822"/>
        <v>545</v>
      </c>
      <c r="N842" s="27">
        <f t="shared" si="822"/>
        <v>545</v>
      </c>
      <c r="O842" s="27">
        <f t="shared" si="763"/>
        <v>100</v>
      </c>
    </row>
    <row r="843" spans="1:15" ht="21" customHeight="1" x14ac:dyDescent="0.25">
      <c r="A843" s="33" t="s">
        <v>325</v>
      </c>
      <c r="B843" s="220">
        <v>907</v>
      </c>
      <c r="C843" s="218" t="s">
        <v>543</v>
      </c>
      <c r="D843" s="218" t="s">
        <v>169</v>
      </c>
      <c r="E843" s="218" t="s">
        <v>377</v>
      </c>
      <c r="F843" s="218" t="s">
        <v>326</v>
      </c>
      <c r="G843" s="27"/>
      <c r="H843" s="27"/>
      <c r="I843" s="27"/>
      <c r="J843" s="27"/>
      <c r="K843" s="27"/>
      <c r="L843" s="27"/>
      <c r="M843" s="27">
        <v>545</v>
      </c>
      <c r="N843" s="27">
        <v>545</v>
      </c>
      <c r="O843" s="27">
        <f t="shared" si="763"/>
        <v>100</v>
      </c>
    </row>
    <row r="844" spans="1:15" ht="15.75" x14ac:dyDescent="0.25">
      <c r="A844" s="26" t="s">
        <v>172</v>
      </c>
      <c r="B844" s="220">
        <v>907</v>
      </c>
      <c r="C844" s="218" t="s">
        <v>543</v>
      </c>
      <c r="D844" s="218" t="s">
        <v>169</v>
      </c>
      <c r="E844" s="218" t="s">
        <v>173</v>
      </c>
      <c r="F844" s="218"/>
      <c r="G844" s="27">
        <f>G845</f>
        <v>500</v>
      </c>
      <c r="H844" s="27">
        <f>H845</f>
        <v>0</v>
      </c>
      <c r="I844" s="27">
        <f t="shared" ref="I844:L845" si="823">I845</f>
        <v>500</v>
      </c>
      <c r="J844" s="27">
        <f t="shared" si="823"/>
        <v>0</v>
      </c>
      <c r="K844" s="27">
        <f t="shared" si="823"/>
        <v>0</v>
      </c>
      <c r="L844" s="27">
        <f t="shared" si="823"/>
        <v>0</v>
      </c>
      <c r="M844" s="27">
        <f t="shared" ref="M844:N845" si="824">M845</f>
        <v>500</v>
      </c>
      <c r="N844" s="27">
        <f t="shared" si="824"/>
        <v>399.9</v>
      </c>
      <c r="O844" s="27">
        <f t="shared" ref="O844:O907" si="825">N844/M844*100</f>
        <v>79.97999999999999</v>
      </c>
    </row>
    <row r="845" spans="1:15" ht="31.5" x14ac:dyDescent="0.25">
      <c r="A845" s="26" t="s">
        <v>236</v>
      </c>
      <c r="B845" s="220">
        <v>907</v>
      </c>
      <c r="C845" s="218" t="s">
        <v>543</v>
      </c>
      <c r="D845" s="218" t="s">
        <v>169</v>
      </c>
      <c r="E845" s="218" t="s">
        <v>237</v>
      </c>
      <c r="F845" s="218"/>
      <c r="G845" s="27">
        <f>G846</f>
        <v>500</v>
      </c>
      <c r="H845" s="27">
        <f>H846</f>
        <v>0</v>
      </c>
      <c r="I845" s="27">
        <f t="shared" si="823"/>
        <v>500</v>
      </c>
      <c r="J845" s="27">
        <f t="shared" si="823"/>
        <v>0</v>
      </c>
      <c r="K845" s="27">
        <f t="shared" si="823"/>
        <v>0</v>
      </c>
      <c r="L845" s="27">
        <f t="shared" si="823"/>
        <v>0</v>
      </c>
      <c r="M845" s="27">
        <f t="shared" si="824"/>
        <v>500</v>
      </c>
      <c r="N845" s="27">
        <f t="shared" si="824"/>
        <v>399.9</v>
      </c>
      <c r="O845" s="27">
        <f t="shared" si="825"/>
        <v>79.97999999999999</v>
      </c>
    </row>
    <row r="846" spans="1:15" ht="47.25" x14ac:dyDescent="0.25">
      <c r="A846" s="26" t="s">
        <v>1005</v>
      </c>
      <c r="B846" s="220">
        <v>907</v>
      </c>
      <c r="C846" s="218" t="s">
        <v>543</v>
      </c>
      <c r="D846" s="218" t="s">
        <v>169</v>
      </c>
      <c r="E846" s="218" t="s">
        <v>1006</v>
      </c>
      <c r="F846" s="218"/>
      <c r="G846" s="27">
        <f>G848</f>
        <v>500</v>
      </c>
      <c r="H846" s="27">
        <f>H848</f>
        <v>0</v>
      </c>
      <c r="I846" s="27">
        <f t="shared" ref="I846:L846" si="826">I848</f>
        <v>500</v>
      </c>
      <c r="J846" s="27">
        <f t="shared" si="826"/>
        <v>0</v>
      </c>
      <c r="K846" s="27">
        <f t="shared" si="826"/>
        <v>0</v>
      </c>
      <c r="L846" s="27">
        <f t="shared" si="826"/>
        <v>0</v>
      </c>
      <c r="M846" s="27">
        <f t="shared" ref="M846:N846" si="827">M848</f>
        <v>500</v>
      </c>
      <c r="N846" s="27">
        <f t="shared" si="827"/>
        <v>399.9</v>
      </c>
      <c r="O846" s="27">
        <f t="shared" si="825"/>
        <v>79.97999999999999</v>
      </c>
    </row>
    <row r="847" spans="1:15" ht="47.25" x14ac:dyDescent="0.25">
      <c r="A847" s="26" t="s">
        <v>323</v>
      </c>
      <c r="B847" s="220">
        <v>907</v>
      </c>
      <c r="C847" s="218" t="s">
        <v>543</v>
      </c>
      <c r="D847" s="218" t="s">
        <v>169</v>
      </c>
      <c r="E847" s="218" t="s">
        <v>1006</v>
      </c>
      <c r="F847" s="218" t="s">
        <v>324</v>
      </c>
      <c r="G847" s="27">
        <f>G848</f>
        <v>500</v>
      </c>
      <c r="H847" s="27">
        <f>H848</f>
        <v>0</v>
      </c>
      <c r="I847" s="27">
        <f t="shared" ref="I847:L847" si="828">I848</f>
        <v>500</v>
      </c>
      <c r="J847" s="27">
        <f t="shared" si="828"/>
        <v>0</v>
      </c>
      <c r="K847" s="27">
        <f t="shared" si="828"/>
        <v>0</v>
      </c>
      <c r="L847" s="27">
        <f t="shared" si="828"/>
        <v>0</v>
      </c>
      <c r="M847" s="27">
        <f t="shared" ref="M847:N847" si="829">M848</f>
        <v>500</v>
      </c>
      <c r="N847" s="27">
        <f t="shared" si="829"/>
        <v>399.9</v>
      </c>
      <c r="O847" s="27">
        <f t="shared" si="825"/>
        <v>79.97999999999999</v>
      </c>
    </row>
    <row r="848" spans="1:15" ht="15.75" x14ac:dyDescent="0.25">
      <c r="A848" s="26" t="s">
        <v>325</v>
      </c>
      <c r="B848" s="220">
        <v>907</v>
      </c>
      <c r="C848" s="218" t="s">
        <v>543</v>
      </c>
      <c r="D848" s="218" t="s">
        <v>169</v>
      </c>
      <c r="E848" s="218" t="s">
        <v>1006</v>
      </c>
      <c r="F848" s="218" t="s">
        <v>326</v>
      </c>
      <c r="G848" s="27">
        <v>500</v>
      </c>
      <c r="H848" s="27">
        <v>0</v>
      </c>
      <c r="I848" s="27">
        <v>500</v>
      </c>
      <c r="J848" s="27">
        <v>0</v>
      </c>
      <c r="K848" s="27">
        <v>0</v>
      </c>
      <c r="L848" s="27">
        <v>0</v>
      </c>
      <c r="M848" s="27">
        <v>500</v>
      </c>
      <c r="N848" s="27">
        <v>399.9</v>
      </c>
      <c r="O848" s="27">
        <f t="shared" si="825"/>
        <v>79.97999999999999</v>
      </c>
    </row>
    <row r="849" spans="1:16" ht="31.5" x14ac:dyDescent="0.25">
      <c r="A849" s="24" t="s">
        <v>552</v>
      </c>
      <c r="B849" s="217">
        <v>907</v>
      </c>
      <c r="C849" s="219" t="s">
        <v>543</v>
      </c>
      <c r="D849" s="219" t="s">
        <v>285</v>
      </c>
      <c r="E849" s="219"/>
      <c r="F849" s="219"/>
      <c r="G849" s="22">
        <f t="shared" ref="G849:L849" si="830">G857+G850</f>
        <v>11528.8</v>
      </c>
      <c r="H849" s="22">
        <f t="shared" si="830"/>
        <v>8904.5</v>
      </c>
      <c r="I849" s="22">
        <f t="shared" si="830"/>
        <v>12419.8</v>
      </c>
      <c r="J849" s="22">
        <f t="shared" si="830"/>
        <v>11292.6</v>
      </c>
      <c r="K849" s="22">
        <f t="shared" si="830"/>
        <v>11459.6</v>
      </c>
      <c r="L849" s="22">
        <f t="shared" si="830"/>
        <v>11632.800000000001</v>
      </c>
      <c r="M849" s="22">
        <f t="shared" ref="M849:N849" si="831">M857+M850</f>
        <v>10812.3</v>
      </c>
      <c r="N849" s="22">
        <f t="shared" si="831"/>
        <v>7721.9</v>
      </c>
      <c r="O849" s="22">
        <f t="shared" si="825"/>
        <v>71.417737206699783</v>
      </c>
    </row>
    <row r="850" spans="1:16" ht="47.25" x14ac:dyDescent="0.25">
      <c r="A850" s="31" t="s">
        <v>533</v>
      </c>
      <c r="B850" s="220">
        <v>907</v>
      </c>
      <c r="C850" s="218" t="s">
        <v>543</v>
      </c>
      <c r="D850" s="218" t="s">
        <v>285</v>
      </c>
      <c r="E850" s="221" t="s">
        <v>534</v>
      </c>
      <c r="F850" s="218"/>
      <c r="G850" s="27">
        <f t="shared" ref="G850:L851" si="832">G851</f>
        <v>3047</v>
      </c>
      <c r="H850" s="27">
        <f t="shared" si="832"/>
        <v>2050.4</v>
      </c>
      <c r="I850" s="27">
        <f t="shared" si="832"/>
        <v>3047</v>
      </c>
      <c r="J850" s="27">
        <f t="shared" si="832"/>
        <v>3177.9</v>
      </c>
      <c r="K850" s="27">
        <f t="shared" si="832"/>
        <v>3314.6</v>
      </c>
      <c r="L850" s="27">
        <f t="shared" si="832"/>
        <v>3457.1</v>
      </c>
      <c r="M850" s="27">
        <f t="shared" ref="M850:N851" si="833">M851</f>
        <v>2400</v>
      </c>
      <c r="N850" s="27">
        <f t="shared" si="833"/>
        <v>1654.4</v>
      </c>
      <c r="O850" s="27">
        <f t="shared" si="825"/>
        <v>68.933333333333337</v>
      </c>
    </row>
    <row r="851" spans="1:16" ht="47.25" x14ac:dyDescent="0.25">
      <c r="A851" s="47" t="s">
        <v>553</v>
      </c>
      <c r="B851" s="220">
        <v>907</v>
      </c>
      <c r="C851" s="218" t="s">
        <v>543</v>
      </c>
      <c r="D851" s="218" t="s">
        <v>285</v>
      </c>
      <c r="E851" s="221" t="s">
        <v>554</v>
      </c>
      <c r="F851" s="218"/>
      <c r="G851" s="27">
        <f t="shared" si="832"/>
        <v>3047</v>
      </c>
      <c r="H851" s="27">
        <f t="shared" si="832"/>
        <v>2050.4</v>
      </c>
      <c r="I851" s="27">
        <f t="shared" si="832"/>
        <v>3047</v>
      </c>
      <c r="J851" s="27">
        <f t="shared" si="832"/>
        <v>3177.9</v>
      </c>
      <c r="K851" s="27">
        <f t="shared" si="832"/>
        <v>3314.6</v>
      </c>
      <c r="L851" s="27">
        <f t="shared" si="832"/>
        <v>3457.1</v>
      </c>
      <c r="M851" s="27">
        <f t="shared" si="833"/>
        <v>2400</v>
      </c>
      <c r="N851" s="27">
        <f t="shared" si="833"/>
        <v>1654.4</v>
      </c>
      <c r="O851" s="27">
        <f t="shared" si="825"/>
        <v>68.933333333333337</v>
      </c>
    </row>
    <row r="852" spans="1:16" ht="31.5" x14ac:dyDescent="0.25">
      <c r="A852" s="31" t="s">
        <v>208</v>
      </c>
      <c r="B852" s="220">
        <v>907</v>
      </c>
      <c r="C852" s="218" t="s">
        <v>543</v>
      </c>
      <c r="D852" s="218" t="s">
        <v>285</v>
      </c>
      <c r="E852" s="221" t="s">
        <v>555</v>
      </c>
      <c r="F852" s="218"/>
      <c r="G852" s="27">
        <f>G855+G853</f>
        <v>3047</v>
      </c>
      <c r="H852" s="27">
        <f>H855+H853</f>
        <v>2050.4</v>
      </c>
      <c r="I852" s="27">
        <f t="shared" ref="I852:L852" si="834">I855+I853</f>
        <v>3047</v>
      </c>
      <c r="J852" s="27">
        <f t="shared" si="834"/>
        <v>3177.9</v>
      </c>
      <c r="K852" s="27">
        <f t="shared" si="834"/>
        <v>3314.6</v>
      </c>
      <c r="L852" s="27">
        <f t="shared" si="834"/>
        <v>3457.1</v>
      </c>
      <c r="M852" s="27">
        <v>2400</v>
      </c>
      <c r="N852" s="27">
        <f>N854+N855</f>
        <v>1654.4</v>
      </c>
      <c r="O852" s="27">
        <f t="shared" si="825"/>
        <v>68.933333333333337</v>
      </c>
      <c r="P852" s="142"/>
    </row>
    <row r="853" spans="1:16" ht="94.5" x14ac:dyDescent="0.25">
      <c r="A853" s="26" t="s">
        <v>178</v>
      </c>
      <c r="B853" s="220">
        <v>907</v>
      </c>
      <c r="C853" s="218" t="s">
        <v>543</v>
      </c>
      <c r="D853" s="218" t="s">
        <v>285</v>
      </c>
      <c r="E853" s="221" t="s">
        <v>555</v>
      </c>
      <c r="F853" s="218" t="s">
        <v>179</v>
      </c>
      <c r="G853" s="27">
        <f>G854</f>
        <v>2111</v>
      </c>
      <c r="H853" s="27">
        <f>H854</f>
        <v>1124.7</v>
      </c>
      <c r="I853" s="27">
        <f t="shared" ref="I853:L853" si="835">I854</f>
        <v>2111</v>
      </c>
      <c r="J853" s="27">
        <f t="shared" si="835"/>
        <v>2111</v>
      </c>
      <c r="K853" s="27">
        <f t="shared" si="835"/>
        <v>2111</v>
      </c>
      <c r="L853" s="27">
        <f t="shared" si="835"/>
        <v>2111</v>
      </c>
      <c r="M853" s="27">
        <f t="shared" ref="M853:N853" si="836">M854</f>
        <v>1611</v>
      </c>
      <c r="N853" s="27">
        <f t="shared" si="836"/>
        <v>1212.5</v>
      </c>
      <c r="O853" s="27">
        <f t="shared" si="825"/>
        <v>75.263811297330847</v>
      </c>
    </row>
    <row r="854" spans="1:16" ht="31.5" x14ac:dyDescent="0.25">
      <c r="A854" s="26" t="s">
        <v>180</v>
      </c>
      <c r="B854" s="220">
        <v>907</v>
      </c>
      <c r="C854" s="218" t="s">
        <v>543</v>
      </c>
      <c r="D854" s="218" t="s">
        <v>285</v>
      </c>
      <c r="E854" s="221" t="s">
        <v>555</v>
      </c>
      <c r="F854" s="218" t="s">
        <v>181</v>
      </c>
      <c r="G854" s="27">
        <v>2111</v>
      </c>
      <c r="H854" s="27">
        <v>1124.7</v>
      </c>
      <c r="I854" s="27">
        <v>2111</v>
      </c>
      <c r="J854" s="27">
        <v>2111</v>
      </c>
      <c r="K854" s="27">
        <v>2111</v>
      </c>
      <c r="L854" s="27">
        <v>2111</v>
      </c>
      <c r="M854" s="27">
        <f>2111-500</f>
        <v>1611</v>
      </c>
      <c r="N854" s="27">
        <v>1212.5</v>
      </c>
      <c r="O854" s="27">
        <f t="shared" si="825"/>
        <v>75.263811297330847</v>
      </c>
    </row>
    <row r="855" spans="1:16" ht="31.5" x14ac:dyDescent="0.25">
      <c r="A855" s="31" t="s">
        <v>182</v>
      </c>
      <c r="B855" s="220">
        <v>907</v>
      </c>
      <c r="C855" s="218" t="s">
        <v>543</v>
      </c>
      <c r="D855" s="218" t="s">
        <v>285</v>
      </c>
      <c r="E855" s="221" t="s">
        <v>555</v>
      </c>
      <c r="F855" s="218" t="s">
        <v>183</v>
      </c>
      <c r="G855" s="27">
        <f t="shared" ref="G855:L855" si="837">G856</f>
        <v>936</v>
      </c>
      <c r="H855" s="27">
        <f t="shared" si="837"/>
        <v>925.7</v>
      </c>
      <c r="I855" s="27">
        <f t="shared" si="837"/>
        <v>936</v>
      </c>
      <c r="J855" s="27">
        <f t="shared" si="837"/>
        <v>1066.9000000000001</v>
      </c>
      <c r="K855" s="27">
        <f t="shared" si="837"/>
        <v>1203.5999999999999</v>
      </c>
      <c r="L855" s="27">
        <f t="shared" si="837"/>
        <v>1346.1</v>
      </c>
      <c r="M855" s="27">
        <f>M856</f>
        <v>789</v>
      </c>
      <c r="N855" s="27">
        <f>N856</f>
        <v>441.9</v>
      </c>
      <c r="O855" s="27">
        <f t="shared" si="825"/>
        <v>56.007604562737647</v>
      </c>
    </row>
    <row r="856" spans="1:16" ht="47.25" x14ac:dyDescent="0.25">
      <c r="A856" s="31" t="s">
        <v>184</v>
      </c>
      <c r="B856" s="220">
        <v>907</v>
      </c>
      <c r="C856" s="218" t="s">
        <v>543</v>
      </c>
      <c r="D856" s="218" t="s">
        <v>285</v>
      </c>
      <c r="E856" s="221" t="s">
        <v>555</v>
      </c>
      <c r="F856" s="218" t="s">
        <v>185</v>
      </c>
      <c r="G856" s="27">
        <f>3047-2111</f>
        <v>936</v>
      </c>
      <c r="H856" s="27">
        <v>925.7</v>
      </c>
      <c r="I856" s="27">
        <f t="shared" ref="I856" si="838">3047-2111</f>
        <v>936</v>
      </c>
      <c r="J856" s="27">
        <f>3047-2111+130.9</f>
        <v>1066.9000000000001</v>
      </c>
      <c r="K856" s="27">
        <f>3047-2111+267.6</f>
        <v>1203.5999999999999</v>
      </c>
      <c r="L856" s="27">
        <f>3047-2111+410.1</f>
        <v>1346.1</v>
      </c>
      <c r="M856" s="27">
        <f>M852-M853</f>
        <v>789</v>
      </c>
      <c r="N856" s="27">
        <v>441.9</v>
      </c>
      <c r="O856" s="27">
        <f t="shared" si="825"/>
        <v>56.007604562737647</v>
      </c>
    </row>
    <row r="857" spans="1:16" ht="15.75" x14ac:dyDescent="0.25">
      <c r="A857" s="26" t="s">
        <v>172</v>
      </c>
      <c r="B857" s="220">
        <v>907</v>
      </c>
      <c r="C857" s="218" t="s">
        <v>543</v>
      </c>
      <c r="D857" s="218" t="s">
        <v>285</v>
      </c>
      <c r="E857" s="218" t="s">
        <v>173</v>
      </c>
      <c r="F857" s="218"/>
      <c r="G857" s="27">
        <f>G858+G864</f>
        <v>8481.7999999999993</v>
      </c>
      <c r="H857" s="27">
        <f>H858+H864</f>
        <v>6854.1</v>
      </c>
      <c r="I857" s="27">
        <f t="shared" ref="I857:L857" si="839">I858+I864</f>
        <v>9372.7999999999993</v>
      </c>
      <c r="J857" s="27">
        <f t="shared" si="839"/>
        <v>8114.7000000000007</v>
      </c>
      <c r="K857" s="27">
        <f t="shared" si="839"/>
        <v>8145</v>
      </c>
      <c r="L857" s="27">
        <f t="shared" si="839"/>
        <v>8175.7000000000007</v>
      </c>
      <c r="M857" s="27">
        <f t="shared" ref="M857:N857" si="840">M858+M864</f>
        <v>8412.2999999999993</v>
      </c>
      <c r="N857" s="27">
        <f t="shared" si="840"/>
        <v>6067.5</v>
      </c>
      <c r="O857" s="27">
        <f t="shared" si="825"/>
        <v>72.126529011090909</v>
      </c>
    </row>
    <row r="858" spans="1:16" ht="31.5" x14ac:dyDescent="0.25">
      <c r="A858" s="26" t="s">
        <v>174</v>
      </c>
      <c r="B858" s="220">
        <v>907</v>
      </c>
      <c r="C858" s="218" t="s">
        <v>543</v>
      </c>
      <c r="D858" s="218" t="s">
        <v>285</v>
      </c>
      <c r="E858" s="218" t="s">
        <v>175</v>
      </c>
      <c r="F858" s="218"/>
      <c r="G858" s="27">
        <f>G859</f>
        <v>3599.8</v>
      </c>
      <c r="H858" s="27">
        <f>H859</f>
        <v>3056.2</v>
      </c>
      <c r="I858" s="27">
        <f t="shared" ref="I858:L858" si="841">I859</f>
        <v>4307.8999999999996</v>
      </c>
      <c r="J858" s="27">
        <f t="shared" si="841"/>
        <v>3788.6</v>
      </c>
      <c r="K858" s="27">
        <f t="shared" si="841"/>
        <v>3788.6</v>
      </c>
      <c r="L858" s="27">
        <f t="shared" si="841"/>
        <v>3788.6</v>
      </c>
      <c r="M858" s="27">
        <f t="shared" ref="M858:N858" si="842">M859</f>
        <v>3829.8</v>
      </c>
      <c r="N858" s="27">
        <f t="shared" si="842"/>
        <v>3045.9</v>
      </c>
      <c r="O858" s="27">
        <f t="shared" si="825"/>
        <v>79.531568228105911</v>
      </c>
    </row>
    <row r="859" spans="1:16" ht="47.25" x14ac:dyDescent="0.25">
      <c r="A859" s="26" t="s">
        <v>176</v>
      </c>
      <c r="B859" s="220">
        <v>907</v>
      </c>
      <c r="C859" s="218" t="s">
        <v>543</v>
      </c>
      <c r="D859" s="218" t="s">
        <v>285</v>
      </c>
      <c r="E859" s="218" t="s">
        <v>177</v>
      </c>
      <c r="F859" s="218"/>
      <c r="G859" s="27">
        <f t="shared" ref="G859:L859" si="843">G860+G862</f>
        <v>3599.8</v>
      </c>
      <c r="H859" s="27">
        <f t="shared" si="843"/>
        <v>3056.2</v>
      </c>
      <c r="I859" s="27">
        <f t="shared" si="843"/>
        <v>4307.8999999999996</v>
      </c>
      <c r="J859" s="27">
        <f t="shared" si="843"/>
        <v>3788.6</v>
      </c>
      <c r="K859" s="27">
        <f t="shared" si="843"/>
        <v>3788.6</v>
      </c>
      <c r="L859" s="27">
        <f t="shared" si="843"/>
        <v>3788.6</v>
      </c>
      <c r="M859" s="27">
        <f t="shared" ref="M859:N859" si="844">M860+M862</f>
        <v>3829.8</v>
      </c>
      <c r="N859" s="27">
        <f t="shared" si="844"/>
        <v>3045.9</v>
      </c>
      <c r="O859" s="27">
        <f t="shared" si="825"/>
        <v>79.531568228105911</v>
      </c>
    </row>
    <row r="860" spans="1:16" ht="94.5" x14ac:dyDescent="0.25">
      <c r="A860" s="26" t="s">
        <v>178</v>
      </c>
      <c r="B860" s="220">
        <v>907</v>
      </c>
      <c r="C860" s="218" t="s">
        <v>543</v>
      </c>
      <c r="D860" s="218" t="s">
        <v>285</v>
      </c>
      <c r="E860" s="218" t="s">
        <v>177</v>
      </c>
      <c r="F860" s="218" t="s">
        <v>179</v>
      </c>
      <c r="G860" s="27">
        <f>G861</f>
        <v>3599.8</v>
      </c>
      <c r="H860" s="27">
        <f>H861</f>
        <v>3056.2</v>
      </c>
      <c r="I860" s="27">
        <f t="shared" ref="I860:L860" si="845">I861</f>
        <v>4307.8999999999996</v>
      </c>
      <c r="J860" s="27">
        <f t="shared" si="845"/>
        <v>3135.5</v>
      </c>
      <c r="K860" s="27">
        <f t="shared" si="845"/>
        <v>3135.5</v>
      </c>
      <c r="L860" s="27">
        <f t="shared" si="845"/>
        <v>3135.5</v>
      </c>
      <c r="M860" s="27">
        <f t="shared" ref="M860:N860" si="846">M861</f>
        <v>3829.8</v>
      </c>
      <c r="N860" s="27">
        <f t="shared" si="846"/>
        <v>3045.9</v>
      </c>
      <c r="O860" s="27">
        <f t="shared" si="825"/>
        <v>79.531568228105911</v>
      </c>
    </row>
    <row r="861" spans="1:16" ht="31.5" x14ac:dyDescent="0.25">
      <c r="A861" s="26" t="s">
        <v>180</v>
      </c>
      <c r="B861" s="220">
        <v>907</v>
      </c>
      <c r="C861" s="218" t="s">
        <v>543</v>
      </c>
      <c r="D861" s="218" t="s">
        <v>285</v>
      </c>
      <c r="E861" s="218" t="s">
        <v>177</v>
      </c>
      <c r="F861" s="218" t="s">
        <v>181</v>
      </c>
      <c r="G861" s="28">
        <v>3599.8</v>
      </c>
      <c r="H861" s="28">
        <v>3056.2</v>
      </c>
      <c r="I861" s="28">
        <v>4307.8999999999996</v>
      </c>
      <c r="J861" s="28">
        <v>3135.5</v>
      </c>
      <c r="K861" s="28">
        <v>3135.5</v>
      </c>
      <c r="L861" s="28">
        <v>3135.5</v>
      </c>
      <c r="M861" s="28">
        <f>3499.8+330</f>
        <v>3829.8</v>
      </c>
      <c r="N861" s="28">
        <v>3045.9</v>
      </c>
      <c r="O861" s="27">
        <f t="shared" si="825"/>
        <v>79.531568228105911</v>
      </c>
    </row>
    <row r="862" spans="1:16" ht="31.5" hidden="1" customHeight="1" x14ac:dyDescent="0.25">
      <c r="A862" s="26" t="s">
        <v>182</v>
      </c>
      <c r="B862" s="220">
        <v>907</v>
      </c>
      <c r="C862" s="218" t="s">
        <v>543</v>
      </c>
      <c r="D862" s="218" t="s">
        <v>285</v>
      </c>
      <c r="E862" s="218" t="s">
        <v>177</v>
      </c>
      <c r="F862" s="218" t="s">
        <v>183</v>
      </c>
      <c r="G862" s="27">
        <f t="shared" ref="G862:L862" si="847">G863</f>
        <v>0</v>
      </c>
      <c r="H862" s="27">
        <f t="shared" si="847"/>
        <v>0</v>
      </c>
      <c r="I862" s="27">
        <f t="shared" si="847"/>
        <v>0</v>
      </c>
      <c r="J862" s="27">
        <f t="shared" si="847"/>
        <v>653.1</v>
      </c>
      <c r="K862" s="27">
        <f t="shared" si="847"/>
        <v>653.1</v>
      </c>
      <c r="L862" s="27">
        <f t="shared" si="847"/>
        <v>653.1</v>
      </c>
      <c r="M862" s="27">
        <f t="shared" ref="M862:N862" si="848">M863</f>
        <v>0</v>
      </c>
      <c r="N862" s="27">
        <f t="shared" si="848"/>
        <v>0</v>
      </c>
      <c r="O862" s="27" t="e">
        <f t="shared" si="825"/>
        <v>#DIV/0!</v>
      </c>
    </row>
    <row r="863" spans="1:16" ht="47.25" hidden="1" customHeight="1" x14ac:dyDescent="0.25">
      <c r="A863" s="26" t="s">
        <v>184</v>
      </c>
      <c r="B863" s="220">
        <v>907</v>
      </c>
      <c r="C863" s="218" t="s">
        <v>543</v>
      </c>
      <c r="D863" s="218" t="s">
        <v>285</v>
      </c>
      <c r="E863" s="218" t="s">
        <v>177</v>
      </c>
      <c r="F863" s="218" t="s">
        <v>185</v>
      </c>
      <c r="G863" s="27">
        <v>0</v>
      </c>
      <c r="H863" s="27">
        <v>0</v>
      </c>
      <c r="I863" s="27">
        <v>0</v>
      </c>
      <c r="J863" s="27">
        <v>653.1</v>
      </c>
      <c r="K863" s="27">
        <v>653.1</v>
      </c>
      <c r="L863" s="27">
        <v>653.1</v>
      </c>
      <c r="M863" s="27">
        <v>0</v>
      </c>
      <c r="N863" s="27">
        <v>0</v>
      </c>
      <c r="O863" s="27" t="e">
        <f t="shared" si="825"/>
        <v>#DIV/0!</v>
      </c>
    </row>
    <row r="864" spans="1:16" ht="15.75" x14ac:dyDescent="0.25">
      <c r="A864" s="26" t="s">
        <v>192</v>
      </c>
      <c r="B864" s="220">
        <v>907</v>
      </c>
      <c r="C864" s="218" t="s">
        <v>543</v>
      </c>
      <c r="D864" s="218" t="s">
        <v>285</v>
      </c>
      <c r="E864" s="218" t="s">
        <v>193</v>
      </c>
      <c r="F864" s="218"/>
      <c r="G864" s="27">
        <f>G865</f>
        <v>4882</v>
      </c>
      <c r="H864" s="27">
        <f>H865</f>
        <v>3797.9</v>
      </c>
      <c r="I864" s="27">
        <f t="shared" ref="I864:L864" si="849">I865</f>
        <v>5064.9000000000005</v>
      </c>
      <c r="J864" s="27">
        <f t="shared" si="849"/>
        <v>4326.1000000000004</v>
      </c>
      <c r="K864" s="27">
        <f t="shared" si="849"/>
        <v>4356.4000000000005</v>
      </c>
      <c r="L864" s="27">
        <f t="shared" si="849"/>
        <v>4387.1000000000004</v>
      </c>
      <c r="M864" s="27">
        <f t="shared" ref="M864:N864" si="850">M865</f>
        <v>4582.4999999999991</v>
      </c>
      <c r="N864" s="27">
        <f t="shared" si="850"/>
        <v>3021.6</v>
      </c>
      <c r="O864" s="27">
        <f t="shared" si="825"/>
        <v>65.937806873977095</v>
      </c>
    </row>
    <row r="865" spans="1:15" ht="31.5" x14ac:dyDescent="0.25">
      <c r="A865" s="26" t="s">
        <v>391</v>
      </c>
      <c r="B865" s="220">
        <v>907</v>
      </c>
      <c r="C865" s="218" t="s">
        <v>543</v>
      </c>
      <c r="D865" s="218" t="s">
        <v>285</v>
      </c>
      <c r="E865" s="218" t="s">
        <v>392</v>
      </c>
      <c r="F865" s="218"/>
      <c r="G865" s="27">
        <f>G866+G868+G870</f>
        <v>4882</v>
      </c>
      <c r="H865" s="27">
        <f>H866+H868+H870</f>
        <v>3797.9</v>
      </c>
      <c r="I865" s="27">
        <f t="shared" ref="I865:L865" si="851">I866+I868+I870</f>
        <v>5064.9000000000005</v>
      </c>
      <c r="J865" s="27">
        <f t="shared" si="851"/>
        <v>4326.1000000000004</v>
      </c>
      <c r="K865" s="27">
        <f t="shared" si="851"/>
        <v>4356.4000000000005</v>
      </c>
      <c r="L865" s="27">
        <f t="shared" si="851"/>
        <v>4387.1000000000004</v>
      </c>
      <c r="M865" s="27">
        <f t="shared" ref="M865:N865" si="852">M866+M868+M870</f>
        <v>4582.4999999999991</v>
      </c>
      <c r="N865" s="27">
        <f t="shared" si="852"/>
        <v>3021.6</v>
      </c>
      <c r="O865" s="27">
        <f t="shared" si="825"/>
        <v>65.937806873977095</v>
      </c>
    </row>
    <row r="866" spans="1:15" ht="94.5" x14ac:dyDescent="0.25">
      <c r="A866" s="26" t="s">
        <v>178</v>
      </c>
      <c r="B866" s="220">
        <v>907</v>
      </c>
      <c r="C866" s="218" t="s">
        <v>543</v>
      </c>
      <c r="D866" s="218" t="s">
        <v>285</v>
      </c>
      <c r="E866" s="218" t="s">
        <v>392</v>
      </c>
      <c r="F866" s="218" t="s">
        <v>179</v>
      </c>
      <c r="G866" s="27">
        <f>G867</f>
        <v>3660.7</v>
      </c>
      <c r="H866" s="27">
        <f>H867</f>
        <v>2950.5</v>
      </c>
      <c r="I866" s="27">
        <f t="shared" ref="I866:L866" si="853">I867</f>
        <v>3779.8</v>
      </c>
      <c r="J866" s="27">
        <f t="shared" si="853"/>
        <v>3033</v>
      </c>
      <c r="K866" s="27">
        <f t="shared" si="853"/>
        <v>3063.3</v>
      </c>
      <c r="L866" s="27">
        <f t="shared" si="853"/>
        <v>3094</v>
      </c>
      <c r="M866" s="27">
        <f t="shared" ref="M866:N866" si="854">M867</f>
        <v>3767.1</v>
      </c>
      <c r="N866" s="27">
        <f t="shared" si="854"/>
        <v>2616.1999999999998</v>
      </c>
      <c r="O866" s="27">
        <f t="shared" si="825"/>
        <v>69.448647500730004</v>
      </c>
    </row>
    <row r="867" spans="1:15" ht="31.5" x14ac:dyDescent="0.25">
      <c r="A867" s="26" t="s">
        <v>393</v>
      </c>
      <c r="B867" s="220">
        <v>907</v>
      </c>
      <c r="C867" s="218" t="s">
        <v>543</v>
      </c>
      <c r="D867" s="218" t="s">
        <v>285</v>
      </c>
      <c r="E867" s="218" t="s">
        <v>392</v>
      </c>
      <c r="F867" s="218" t="s">
        <v>260</v>
      </c>
      <c r="G867" s="28">
        <f>4240.2-579.5</f>
        <v>3660.7</v>
      </c>
      <c r="H867" s="28">
        <v>2950.5</v>
      </c>
      <c r="I867" s="28">
        <v>3779.8</v>
      </c>
      <c r="J867" s="28">
        <v>3033</v>
      </c>
      <c r="K867" s="28">
        <v>3063.3</v>
      </c>
      <c r="L867" s="28">
        <v>3094</v>
      </c>
      <c r="M867" s="28">
        <f>3033+100+634.1</f>
        <v>3767.1</v>
      </c>
      <c r="N867" s="28">
        <v>2616.1999999999998</v>
      </c>
      <c r="O867" s="27">
        <f t="shared" si="825"/>
        <v>69.448647500730004</v>
      </c>
    </row>
    <row r="868" spans="1:15" ht="31.5" x14ac:dyDescent="0.25">
      <c r="A868" s="26" t="s">
        <v>182</v>
      </c>
      <c r="B868" s="220">
        <v>907</v>
      </c>
      <c r="C868" s="218" t="s">
        <v>543</v>
      </c>
      <c r="D868" s="218" t="s">
        <v>285</v>
      </c>
      <c r="E868" s="218" t="s">
        <v>392</v>
      </c>
      <c r="F868" s="218" t="s">
        <v>183</v>
      </c>
      <c r="G868" s="27">
        <f>G869</f>
        <v>1194.1999999999998</v>
      </c>
      <c r="H868" s="27">
        <f>H869</f>
        <v>833</v>
      </c>
      <c r="I868" s="27">
        <f t="shared" ref="I868:L868" si="855">I869</f>
        <v>1258</v>
      </c>
      <c r="J868" s="27">
        <f t="shared" si="855"/>
        <v>1266</v>
      </c>
      <c r="K868" s="27">
        <f t="shared" si="855"/>
        <v>1266</v>
      </c>
      <c r="L868" s="27">
        <f t="shared" si="855"/>
        <v>1266</v>
      </c>
      <c r="M868" s="27">
        <f t="shared" ref="M868:N868" si="856">M869</f>
        <v>764.19999999999982</v>
      </c>
      <c r="N868" s="27">
        <f t="shared" si="856"/>
        <v>400.3</v>
      </c>
      <c r="O868" s="27">
        <f t="shared" si="825"/>
        <v>52.381575503794828</v>
      </c>
    </row>
    <row r="869" spans="1:15" ht="47.25" x14ac:dyDescent="0.25">
      <c r="A869" s="26" t="s">
        <v>184</v>
      </c>
      <c r="B869" s="220">
        <v>907</v>
      </c>
      <c r="C869" s="218" t="s">
        <v>543</v>
      </c>
      <c r="D869" s="218" t="s">
        <v>285</v>
      </c>
      <c r="E869" s="218" t="s">
        <v>392</v>
      </c>
      <c r="F869" s="218" t="s">
        <v>185</v>
      </c>
      <c r="G869" s="28">
        <f>1339.6-145.4</f>
        <v>1194.1999999999998</v>
      </c>
      <c r="H869" s="28">
        <v>833</v>
      </c>
      <c r="I869" s="28">
        <v>1258</v>
      </c>
      <c r="J869" s="28">
        <f>1293.1-J871</f>
        <v>1266</v>
      </c>
      <c r="K869" s="28">
        <f>J869</f>
        <v>1266</v>
      </c>
      <c r="L869" s="28">
        <f>K869</f>
        <v>1266</v>
      </c>
      <c r="M869" s="28">
        <f>1339.6-145.4-430</f>
        <v>764.19999999999982</v>
      </c>
      <c r="N869" s="28">
        <v>400.3</v>
      </c>
      <c r="O869" s="27">
        <f t="shared" si="825"/>
        <v>52.381575503794828</v>
      </c>
    </row>
    <row r="870" spans="1:15" ht="15.75" x14ac:dyDescent="0.25">
      <c r="A870" s="26" t="s">
        <v>186</v>
      </c>
      <c r="B870" s="220">
        <v>907</v>
      </c>
      <c r="C870" s="218" t="s">
        <v>543</v>
      </c>
      <c r="D870" s="218" t="s">
        <v>285</v>
      </c>
      <c r="E870" s="218" t="s">
        <v>392</v>
      </c>
      <c r="F870" s="218" t="s">
        <v>196</v>
      </c>
      <c r="G870" s="27">
        <f>G871</f>
        <v>27.1</v>
      </c>
      <c r="H870" s="27">
        <f>H871</f>
        <v>14.4</v>
      </c>
      <c r="I870" s="27">
        <f t="shared" ref="I870:L870" si="857">I871</f>
        <v>27.1</v>
      </c>
      <c r="J870" s="27">
        <f t="shared" si="857"/>
        <v>27.1</v>
      </c>
      <c r="K870" s="27">
        <f t="shared" si="857"/>
        <v>27.1</v>
      </c>
      <c r="L870" s="27">
        <f t="shared" si="857"/>
        <v>27.1</v>
      </c>
      <c r="M870" s="27">
        <f t="shared" ref="M870:N870" si="858">M871</f>
        <v>51.2</v>
      </c>
      <c r="N870" s="27">
        <f t="shared" si="858"/>
        <v>5.0999999999999996</v>
      </c>
      <c r="O870" s="27">
        <f t="shared" si="825"/>
        <v>9.9609374999999982</v>
      </c>
    </row>
    <row r="871" spans="1:15" ht="15.75" x14ac:dyDescent="0.25">
      <c r="A871" s="26" t="s">
        <v>620</v>
      </c>
      <c r="B871" s="220">
        <v>907</v>
      </c>
      <c r="C871" s="218" t="s">
        <v>543</v>
      </c>
      <c r="D871" s="218" t="s">
        <v>285</v>
      </c>
      <c r="E871" s="218" t="s">
        <v>392</v>
      </c>
      <c r="F871" s="218" t="s">
        <v>189</v>
      </c>
      <c r="G871" s="27">
        <f>27.1</f>
        <v>27.1</v>
      </c>
      <c r="H871" s="27">
        <v>14.4</v>
      </c>
      <c r="I871" s="27">
        <f t="shared" ref="I871:L871" si="859">27.1</f>
        <v>27.1</v>
      </c>
      <c r="J871" s="27">
        <f t="shared" si="859"/>
        <v>27.1</v>
      </c>
      <c r="K871" s="27">
        <f t="shared" si="859"/>
        <v>27.1</v>
      </c>
      <c r="L871" s="27">
        <f t="shared" si="859"/>
        <v>27.1</v>
      </c>
      <c r="M871" s="27">
        <f>27.1+24.1</f>
        <v>51.2</v>
      </c>
      <c r="N871" s="27">
        <v>5.0999999999999996</v>
      </c>
      <c r="O871" s="27">
        <f t="shared" si="825"/>
        <v>9.9609374999999982</v>
      </c>
    </row>
    <row r="872" spans="1:15" ht="47.25" x14ac:dyDescent="0.25">
      <c r="A872" s="20" t="s">
        <v>556</v>
      </c>
      <c r="B872" s="217">
        <v>908</v>
      </c>
      <c r="C872" s="218"/>
      <c r="D872" s="218"/>
      <c r="E872" s="218"/>
      <c r="F872" s="218"/>
      <c r="G872" s="22">
        <f t="shared" ref="G872:M872" si="860">G887+G894+G908+G1068+G873</f>
        <v>143249.5</v>
      </c>
      <c r="H872" s="22">
        <f t="shared" si="860"/>
        <v>47511.600000000006</v>
      </c>
      <c r="I872" s="22">
        <f t="shared" si="860"/>
        <v>118750.52588235296</v>
      </c>
      <c r="J872" s="22">
        <f t="shared" si="860"/>
        <v>117821.90000000001</v>
      </c>
      <c r="K872" s="22">
        <f t="shared" si="860"/>
        <v>118390.20000000001</v>
      </c>
      <c r="L872" s="22">
        <f t="shared" si="860"/>
        <v>120684.30000000002</v>
      </c>
      <c r="M872" s="22">
        <f t="shared" si="860"/>
        <v>177694.58000000002</v>
      </c>
      <c r="N872" s="22">
        <f t="shared" ref="N872" si="861">N887+N894+N908+N1068+N873</f>
        <v>105605.09999999999</v>
      </c>
      <c r="O872" s="22">
        <f t="shared" si="825"/>
        <v>59.430681566089405</v>
      </c>
    </row>
    <row r="873" spans="1:15" ht="15.75" x14ac:dyDescent="0.25">
      <c r="A873" s="36" t="s">
        <v>168</v>
      </c>
      <c r="B873" s="217">
        <v>908</v>
      </c>
      <c r="C873" s="219" t="s">
        <v>169</v>
      </c>
      <c r="D873" s="218"/>
      <c r="E873" s="218"/>
      <c r="F873" s="218"/>
      <c r="G873" s="22">
        <f>G874</f>
        <v>16714.8</v>
      </c>
      <c r="H873" s="22">
        <f t="shared" ref="H873:L873" si="862">H874</f>
        <v>4329.8999999999996</v>
      </c>
      <c r="I873" s="22">
        <f t="shared" si="862"/>
        <v>10398.02</v>
      </c>
      <c r="J873" s="22">
        <f t="shared" si="862"/>
        <v>33970.5</v>
      </c>
      <c r="K873" s="22">
        <f t="shared" si="862"/>
        <v>34241.9</v>
      </c>
      <c r="L873" s="22">
        <f t="shared" si="862"/>
        <v>34516</v>
      </c>
      <c r="M873" s="22">
        <f t="shared" ref="M873:N873" si="863">M874</f>
        <v>36461.1</v>
      </c>
      <c r="N873" s="22">
        <f t="shared" si="863"/>
        <v>28992.100000000002</v>
      </c>
      <c r="O873" s="22">
        <f t="shared" si="825"/>
        <v>79.515154507132266</v>
      </c>
    </row>
    <row r="874" spans="1:15" ht="15.75" x14ac:dyDescent="0.25">
      <c r="A874" s="36" t="s">
        <v>190</v>
      </c>
      <c r="B874" s="217">
        <v>908</v>
      </c>
      <c r="C874" s="219" t="s">
        <v>169</v>
      </c>
      <c r="D874" s="219" t="s">
        <v>191</v>
      </c>
      <c r="E874" s="218"/>
      <c r="F874" s="218"/>
      <c r="G874" s="22">
        <f>G876+G879</f>
        <v>16714.8</v>
      </c>
      <c r="H874" s="22">
        <f t="shared" ref="H874" si="864">H876+H879</f>
        <v>4329.8999999999996</v>
      </c>
      <c r="I874" s="22">
        <f t="shared" ref="I874:L874" si="865">I876+I879</f>
        <v>10398.02</v>
      </c>
      <c r="J874" s="22">
        <f t="shared" si="865"/>
        <v>33970.5</v>
      </c>
      <c r="K874" s="22">
        <f t="shared" si="865"/>
        <v>34241.9</v>
      </c>
      <c r="L874" s="22">
        <f t="shared" si="865"/>
        <v>34516</v>
      </c>
      <c r="M874" s="22">
        <f t="shared" ref="M874:N874" si="866">M876+M879</f>
        <v>36461.1</v>
      </c>
      <c r="N874" s="22">
        <f t="shared" si="866"/>
        <v>28992.100000000002</v>
      </c>
      <c r="O874" s="22">
        <f t="shared" si="825"/>
        <v>79.515154507132266</v>
      </c>
    </row>
    <row r="875" spans="1:15" ht="15.75" hidden="1" x14ac:dyDescent="0.25">
      <c r="A875" s="26" t="s">
        <v>192</v>
      </c>
      <c r="B875" s="220">
        <v>908</v>
      </c>
      <c r="C875" s="218" t="s">
        <v>169</v>
      </c>
      <c r="D875" s="218" t="s">
        <v>191</v>
      </c>
      <c r="E875" s="218" t="s">
        <v>193</v>
      </c>
      <c r="F875" s="218"/>
      <c r="G875" s="27">
        <f>G876</f>
        <v>262.5</v>
      </c>
      <c r="H875" s="27">
        <f t="shared" ref="H875:H877" si="867">H876</f>
        <v>32.700000000000003</v>
      </c>
      <c r="I875" s="27">
        <f t="shared" ref="I875:L877" si="868">I876</f>
        <v>262.5</v>
      </c>
      <c r="J875" s="27">
        <f t="shared" si="868"/>
        <v>0</v>
      </c>
      <c r="K875" s="27">
        <f t="shared" si="868"/>
        <v>0</v>
      </c>
      <c r="L875" s="27">
        <f t="shared" si="868"/>
        <v>0</v>
      </c>
      <c r="M875" s="27">
        <f t="shared" ref="M875:N877" si="869">M876</f>
        <v>0</v>
      </c>
      <c r="N875" s="27">
        <f t="shared" si="869"/>
        <v>0</v>
      </c>
      <c r="O875" s="27" t="e">
        <f t="shared" si="825"/>
        <v>#DIV/0!</v>
      </c>
    </row>
    <row r="876" spans="1:15" ht="15.75" hidden="1" x14ac:dyDescent="0.25">
      <c r="A876" s="26" t="s">
        <v>194</v>
      </c>
      <c r="B876" s="220">
        <v>908</v>
      </c>
      <c r="C876" s="218" t="s">
        <v>169</v>
      </c>
      <c r="D876" s="218" t="s">
        <v>191</v>
      </c>
      <c r="E876" s="218" t="s">
        <v>195</v>
      </c>
      <c r="F876" s="218"/>
      <c r="G876" s="27">
        <f>G877</f>
        <v>262.5</v>
      </c>
      <c r="H876" s="27">
        <f t="shared" si="867"/>
        <v>32.700000000000003</v>
      </c>
      <c r="I876" s="27">
        <f t="shared" si="868"/>
        <v>262.5</v>
      </c>
      <c r="J876" s="27">
        <f t="shared" si="868"/>
        <v>0</v>
      </c>
      <c r="K876" s="27">
        <f t="shared" si="868"/>
        <v>0</v>
      </c>
      <c r="L876" s="27">
        <f t="shared" si="868"/>
        <v>0</v>
      </c>
      <c r="M876" s="27">
        <f t="shared" si="869"/>
        <v>0</v>
      </c>
      <c r="N876" s="27">
        <f t="shared" si="869"/>
        <v>0</v>
      </c>
      <c r="O876" s="27" t="e">
        <f t="shared" si="825"/>
        <v>#DIV/0!</v>
      </c>
    </row>
    <row r="877" spans="1:15" ht="15.75" hidden="1" x14ac:dyDescent="0.25">
      <c r="A877" s="26" t="s">
        <v>186</v>
      </c>
      <c r="B877" s="220">
        <v>908</v>
      </c>
      <c r="C877" s="218" t="s">
        <v>169</v>
      </c>
      <c r="D877" s="218" t="s">
        <v>191</v>
      </c>
      <c r="E877" s="218" t="s">
        <v>195</v>
      </c>
      <c r="F877" s="218" t="s">
        <v>196</v>
      </c>
      <c r="G877" s="27">
        <f>G878</f>
        <v>262.5</v>
      </c>
      <c r="H877" s="27">
        <f t="shared" si="867"/>
        <v>32.700000000000003</v>
      </c>
      <c r="I877" s="27">
        <f t="shared" si="868"/>
        <v>262.5</v>
      </c>
      <c r="J877" s="27">
        <f t="shared" si="868"/>
        <v>0</v>
      </c>
      <c r="K877" s="27">
        <f t="shared" si="868"/>
        <v>0</v>
      </c>
      <c r="L877" s="27">
        <f t="shared" si="868"/>
        <v>0</v>
      </c>
      <c r="M877" s="27">
        <f t="shared" si="869"/>
        <v>0</v>
      </c>
      <c r="N877" s="27">
        <f t="shared" si="869"/>
        <v>0</v>
      </c>
      <c r="O877" s="27" t="e">
        <f t="shared" si="825"/>
        <v>#DIV/0!</v>
      </c>
    </row>
    <row r="878" spans="1:15" ht="15.75" hidden="1" x14ac:dyDescent="0.25">
      <c r="A878" s="26" t="s">
        <v>620</v>
      </c>
      <c r="B878" s="220">
        <v>908</v>
      </c>
      <c r="C878" s="218" t="s">
        <v>169</v>
      </c>
      <c r="D878" s="218" t="s">
        <v>191</v>
      </c>
      <c r="E878" s="218" t="s">
        <v>195</v>
      </c>
      <c r="F878" s="218" t="s">
        <v>189</v>
      </c>
      <c r="G878" s="27">
        <v>262.5</v>
      </c>
      <c r="H878" s="27">
        <v>32.700000000000003</v>
      </c>
      <c r="I878" s="27">
        <v>262.5</v>
      </c>
      <c r="J878" s="27">
        <v>0</v>
      </c>
      <c r="K878" s="27">
        <v>0</v>
      </c>
      <c r="L878" s="27">
        <v>0</v>
      </c>
      <c r="M878" s="27">
        <v>0</v>
      </c>
      <c r="N878" s="27">
        <v>0</v>
      </c>
      <c r="O878" s="27" t="e">
        <f t="shared" si="825"/>
        <v>#DIV/0!</v>
      </c>
    </row>
    <row r="879" spans="1:15" ht="31.5" x14ac:dyDescent="0.25">
      <c r="A879" s="26" t="s">
        <v>636</v>
      </c>
      <c r="B879" s="220">
        <v>908</v>
      </c>
      <c r="C879" s="218" t="s">
        <v>169</v>
      </c>
      <c r="D879" s="218" t="s">
        <v>191</v>
      </c>
      <c r="E879" s="218" t="s">
        <v>637</v>
      </c>
      <c r="F879" s="218"/>
      <c r="G879" s="28">
        <f>G880</f>
        <v>16452.3</v>
      </c>
      <c r="H879" s="28">
        <f>H880</f>
        <v>4297.2</v>
      </c>
      <c r="I879" s="28">
        <f t="shared" ref="I879:L879" si="870">I880</f>
        <v>10135.52</v>
      </c>
      <c r="J879" s="28">
        <f t="shared" si="870"/>
        <v>33970.5</v>
      </c>
      <c r="K879" s="28">
        <f t="shared" si="870"/>
        <v>34241.9</v>
      </c>
      <c r="L879" s="28">
        <f t="shared" si="870"/>
        <v>34516</v>
      </c>
      <c r="M879" s="28">
        <f t="shared" ref="M879:N879" si="871">M880</f>
        <v>36461.1</v>
      </c>
      <c r="N879" s="28">
        <f t="shared" si="871"/>
        <v>28992.100000000002</v>
      </c>
      <c r="O879" s="27">
        <f t="shared" si="825"/>
        <v>79.515154507132266</v>
      </c>
    </row>
    <row r="880" spans="1:15" ht="31.5" x14ac:dyDescent="0.25">
      <c r="A880" s="26" t="s">
        <v>361</v>
      </c>
      <c r="B880" s="220">
        <v>908</v>
      </c>
      <c r="C880" s="218" t="s">
        <v>169</v>
      </c>
      <c r="D880" s="218" t="s">
        <v>191</v>
      </c>
      <c r="E880" s="218" t="s">
        <v>638</v>
      </c>
      <c r="F880" s="218"/>
      <c r="G880" s="28">
        <f>G881+G883+G885</f>
        <v>16452.3</v>
      </c>
      <c r="H880" s="28">
        <f>H881+H883+H885</f>
        <v>4297.2</v>
      </c>
      <c r="I880" s="28">
        <f t="shared" ref="I880:L880" si="872">I881+I883+I885</f>
        <v>10135.52</v>
      </c>
      <c r="J880" s="28">
        <f>J881+J883+J885</f>
        <v>33970.5</v>
      </c>
      <c r="K880" s="28">
        <f t="shared" si="872"/>
        <v>34241.9</v>
      </c>
      <c r="L880" s="28">
        <f t="shared" si="872"/>
        <v>34516</v>
      </c>
      <c r="M880" s="28">
        <f t="shared" ref="M880:N880" si="873">M881+M883+M885</f>
        <v>36461.1</v>
      </c>
      <c r="N880" s="28">
        <f t="shared" si="873"/>
        <v>28992.100000000002</v>
      </c>
      <c r="O880" s="27">
        <f t="shared" si="825"/>
        <v>79.515154507132266</v>
      </c>
    </row>
    <row r="881" spans="1:18" ht="94.5" x14ac:dyDescent="0.25">
      <c r="A881" s="26" t="s">
        <v>178</v>
      </c>
      <c r="B881" s="220">
        <v>908</v>
      </c>
      <c r="C881" s="218" t="s">
        <v>169</v>
      </c>
      <c r="D881" s="218" t="s">
        <v>191</v>
      </c>
      <c r="E881" s="218" t="s">
        <v>638</v>
      </c>
      <c r="F881" s="218" t="s">
        <v>179</v>
      </c>
      <c r="G881" s="28">
        <f>G882</f>
        <v>13760</v>
      </c>
      <c r="H881" s="28">
        <f>H882</f>
        <v>3865.3</v>
      </c>
      <c r="I881" s="28">
        <f t="shared" ref="I881:L881" si="874">I882</f>
        <v>9276.7200000000012</v>
      </c>
      <c r="J881" s="28">
        <f t="shared" si="874"/>
        <v>27139</v>
      </c>
      <c r="K881" s="28">
        <f t="shared" si="874"/>
        <v>27410.400000000001</v>
      </c>
      <c r="L881" s="28">
        <f t="shared" si="874"/>
        <v>27684.5</v>
      </c>
      <c r="M881" s="28">
        <f t="shared" ref="M881:N881" si="875">M882</f>
        <v>25572.400000000001</v>
      </c>
      <c r="N881" s="28">
        <f t="shared" si="875"/>
        <v>22836.7</v>
      </c>
      <c r="O881" s="27">
        <f t="shared" si="825"/>
        <v>89.302138242793006</v>
      </c>
    </row>
    <row r="882" spans="1:18" ht="31.5" x14ac:dyDescent="0.25">
      <c r="A882" s="48" t="s">
        <v>393</v>
      </c>
      <c r="B882" s="220">
        <v>908</v>
      </c>
      <c r="C882" s="218" t="s">
        <v>169</v>
      </c>
      <c r="D882" s="218" t="s">
        <v>191</v>
      </c>
      <c r="E882" s="218" t="s">
        <v>638</v>
      </c>
      <c r="F882" s="218" t="s">
        <v>260</v>
      </c>
      <c r="G882" s="28">
        <f>13403.8+356.2</f>
        <v>13760</v>
      </c>
      <c r="H882" s="28">
        <v>3865.3</v>
      </c>
      <c r="I882" s="28">
        <f>H882/2.5*6</f>
        <v>9276.7200000000012</v>
      </c>
      <c r="J882" s="28">
        <v>27139</v>
      </c>
      <c r="K882" s="28">
        <v>27410.400000000001</v>
      </c>
      <c r="L882" s="28">
        <v>27684.5</v>
      </c>
      <c r="M882" s="28">
        <f>24666+500-1100-300+107.4-300-1+2000</f>
        <v>25572.400000000001</v>
      </c>
      <c r="N882" s="28">
        <v>22836.7</v>
      </c>
      <c r="O882" s="27">
        <f t="shared" si="825"/>
        <v>89.302138242793006</v>
      </c>
      <c r="Q882" s="296"/>
    </row>
    <row r="883" spans="1:18" ht="31.5" x14ac:dyDescent="0.25">
      <c r="A883" s="26" t="s">
        <v>182</v>
      </c>
      <c r="B883" s="220">
        <v>908</v>
      </c>
      <c r="C883" s="218" t="s">
        <v>169</v>
      </c>
      <c r="D883" s="218" t="s">
        <v>191</v>
      </c>
      <c r="E883" s="218" t="s">
        <v>638</v>
      </c>
      <c r="F883" s="218" t="s">
        <v>183</v>
      </c>
      <c r="G883" s="28">
        <f>G884</f>
        <v>2678</v>
      </c>
      <c r="H883" s="28">
        <f>H884</f>
        <v>422.5</v>
      </c>
      <c r="I883" s="28">
        <f t="shared" ref="I883:L883" si="876">I884</f>
        <v>845</v>
      </c>
      <c r="J883" s="28">
        <f t="shared" si="876"/>
        <v>6803</v>
      </c>
      <c r="K883" s="28">
        <f t="shared" si="876"/>
        <v>6803</v>
      </c>
      <c r="L883" s="28">
        <f t="shared" si="876"/>
        <v>6803</v>
      </c>
      <c r="M883" s="28">
        <f t="shared" ref="M883:N883" si="877">M884</f>
        <v>10750</v>
      </c>
      <c r="N883" s="28">
        <f t="shared" si="877"/>
        <v>6050</v>
      </c>
      <c r="O883" s="27">
        <f t="shared" si="825"/>
        <v>56.279069767441861</v>
      </c>
    </row>
    <row r="884" spans="1:18" ht="47.25" x14ac:dyDescent="0.25">
      <c r="A884" s="26" t="s">
        <v>184</v>
      </c>
      <c r="B884" s="220">
        <v>908</v>
      </c>
      <c r="C884" s="218" t="s">
        <v>169</v>
      </c>
      <c r="D884" s="218" t="s">
        <v>191</v>
      </c>
      <c r="E884" s="218" t="s">
        <v>638</v>
      </c>
      <c r="F884" s="218" t="s">
        <v>185</v>
      </c>
      <c r="G884" s="28">
        <f>3034.2-356.2</f>
        <v>2678</v>
      </c>
      <c r="H884" s="28">
        <v>422.5</v>
      </c>
      <c r="I884" s="28">
        <f>H884/3*6</f>
        <v>845</v>
      </c>
      <c r="J884" s="28">
        <f>6831.5-J886</f>
        <v>6803</v>
      </c>
      <c r="K884" s="28">
        <f>6831.5-K886</f>
        <v>6803</v>
      </c>
      <c r="L884" s="28">
        <f>6831.5-L886</f>
        <v>6803</v>
      </c>
      <c r="M884" s="28">
        <f>5529.6+1100+300+300+2000+140+1380.4</f>
        <v>10750</v>
      </c>
      <c r="N884" s="28">
        <v>6050</v>
      </c>
      <c r="O884" s="27">
        <f t="shared" si="825"/>
        <v>56.279069767441861</v>
      </c>
      <c r="R884" s="135"/>
    </row>
    <row r="885" spans="1:18" ht="15.75" x14ac:dyDescent="0.25">
      <c r="A885" s="26" t="s">
        <v>186</v>
      </c>
      <c r="B885" s="220">
        <v>908</v>
      </c>
      <c r="C885" s="218" t="s">
        <v>169</v>
      </c>
      <c r="D885" s="218" t="s">
        <v>191</v>
      </c>
      <c r="E885" s="218" t="s">
        <v>638</v>
      </c>
      <c r="F885" s="218" t="s">
        <v>196</v>
      </c>
      <c r="G885" s="28">
        <f>G886</f>
        <v>14.3</v>
      </c>
      <c r="H885" s="28">
        <f>H886</f>
        <v>9.4</v>
      </c>
      <c r="I885" s="28">
        <f t="shared" ref="I885:L885" si="878">I886</f>
        <v>13.8</v>
      </c>
      <c r="J885" s="28">
        <f t="shared" si="878"/>
        <v>28.5</v>
      </c>
      <c r="K885" s="28">
        <f t="shared" si="878"/>
        <v>28.5</v>
      </c>
      <c r="L885" s="28">
        <f t="shared" si="878"/>
        <v>28.5</v>
      </c>
      <c r="M885" s="28">
        <f t="shared" ref="M885:N885" si="879">M886</f>
        <v>138.69999999999999</v>
      </c>
      <c r="N885" s="28">
        <f t="shared" si="879"/>
        <v>105.4</v>
      </c>
      <c r="O885" s="27">
        <f t="shared" si="825"/>
        <v>75.991348233597705</v>
      </c>
    </row>
    <row r="886" spans="1:18" ht="15.75" x14ac:dyDescent="0.25">
      <c r="A886" s="26" t="s">
        <v>797</v>
      </c>
      <c r="B886" s="220">
        <v>908</v>
      </c>
      <c r="C886" s="218" t="s">
        <v>169</v>
      </c>
      <c r="D886" s="218" t="s">
        <v>191</v>
      </c>
      <c r="E886" s="218" t="s">
        <v>638</v>
      </c>
      <c r="F886" s="218" t="s">
        <v>189</v>
      </c>
      <c r="G886" s="28">
        <v>14.3</v>
      </c>
      <c r="H886" s="28">
        <v>9.4</v>
      </c>
      <c r="I886" s="28">
        <v>13.8</v>
      </c>
      <c r="J886" s="28">
        <f>14.3+14.2</f>
        <v>28.5</v>
      </c>
      <c r="K886" s="28">
        <v>28.5</v>
      </c>
      <c r="L886" s="28">
        <v>28.5</v>
      </c>
      <c r="M886" s="28">
        <f>50.5+47.2+40+1</f>
        <v>138.69999999999999</v>
      </c>
      <c r="N886" s="28">
        <v>105.4</v>
      </c>
      <c r="O886" s="27">
        <f t="shared" si="825"/>
        <v>75.991348233597705</v>
      </c>
    </row>
    <row r="887" spans="1:18" ht="31.5" hidden="1" x14ac:dyDescent="0.25">
      <c r="A887" s="24" t="s">
        <v>273</v>
      </c>
      <c r="B887" s="217">
        <v>908</v>
      </c>
      <c r="C887" s="219" t="s">
        <v>266</v>
      </c>
      <c r="D887" s="219"/>
      <c r="E887" s="219"/>
      <c r="F887" s="219"/>
      <c r="G887" s="22">
        <f t="shared" ref="G887:L892" si="880">G888</f>
        <v>50</v>
      </c>
      <c r="H887" s="22">
        <f t="shared" si="880"/>
        <v>0</v>
      </c>
      <c r="I887" s="22">
        <f t="shared" si="880"/>
        <v>0</v>
      </c>
      <c r="J887" s="22">
        <f t="shared" si="880"/>
        <v>0</v>
      </c>
      <c r="K887" s="22">
        <f t="shared" si="880"/>
        <v>0</v>
      </c>
      <c r="L887" s="22">
        <f t="shared" si="880"/>
        <v>0</v>
      </c>
      <c r="M887" s="22">
        <f t="shared" ref="M887:N892" si="881">M888</f>
        <v>0</v>
      </c>
      <c r="N887" s="22">
        <f t="shared" si="881"/>
        <v>0</v>
      </c>
      <c r="O887" s="27" t="e">
        <f t="shared" si="825"/>
        <v>#DIV/0!</v>
      </c>
    </row>
    <row r="888" spans="1:18" ht="63" hidden="1" x14ac:dyDescent="0.25">
      <c r="A888" s="24" t="s">
        <v>274</v>
      </c>
      <c r="B888" s="217">
        <v>908</v>
      </c>
      <c r="C888" s="219" t="s">
        <v>266</v>
      </c>
      <c r="D888" s="219" t="s">
        <v>270</v>
      </c>
      <c r="E888" s="219"/>
      <c r="F888" s="219"/>
      <c r="G888" s="22">
        <f t="shared" si="880"/>
        <v>50</v>
      </c>
      <c r="H888" s="22">
        <f t="shared" si="880"/>
        <v>0</v>
      </c>
      <c r="I888" s="22">
        <f t="shared" si="880"/>
        <v>0</v>
      </c>
      <c r="J888" s="22">
        <f t="shared" si="880"/>
        <v>0</v>
      </c>
      <c r="K888" s="22">
        <f t="shared" si="880"/>
        <v>0</v>
      </c>
      <c r="L888" s="22">
        <f t="shared" si="880"/>
        <v>0</v>
      </c>
      <c r="M888" s="22">
        <f t="shared" si="881"/>
        <v>0</v>
      </c>
      <c r="N888" s="22">
        <f t="shared" si="881"/>
        <v>0</v>
      </c>
      <c r="O888" s="27" t="e">
        <f t="shared" si="825"/>
        <v>#DIV/0!</v>
      </c>
    </row>
    <row r="889" spans="1:18" ht="21.75" hidden="1" customHeight="1" x14ac:dyDescent="0.25">
      <c r="A889" s="26" t="s">
        <v>172</v>
      </c>
      <c r="B889" s="220">
        <v>908</v>
      </c>
      <c r="C889" s="218" t="s">
        <v>266</v>
      </c>
      <c r="D889" s="218" t="s">
        <v>270</v>
      </c>
      <c r="E889" s="218" t="s">
        <v>173</v>
      </c>
      <c r="F889" s="218"/>
      <c r="G889" s="27">
        <f t="shared" si="880"/>
        <v>50</v>
      </c>
      <c r="H889" s="27">
        <f t="shared" si="880"/>
        <v>0</v>
      </c>
      <c r="I889" s="27">
        <f t="shared" si="880"/>
        <v>0</v>
      </c>
      <c r="J889" s="27">
        <f t="shared" si="880"/>
        <v>0</v>
      </c>
      <c r="K889" s="27">
        <f t="shared" si="880"/>
        <v>0</v>
      </c>
      <c r="L889" s="27">
        <f t="shared" si="880"/>
        <v>0</v>
      </c>
      <c r="M889" s="27">
        <f t="shared" si="881"/>
        <v>0</v>
      </c>
      <c r="N889" s="27">
        <f t="shared" si="881"/>
        <v>0</v>
      </c>
      <c r="O889" s="27" t="e">
        <f t="shared" si="825"/>
        <v>#DIV/0!</v>
      </c>
    </row>
    <row r="890" spans="1:18" ht="15.75" hidden="1" x14ac:dyDescent="0.25">
      <c r="A890" s="26" t="s">
        <v>192</v>
      </c>
      <c r="B890" s="220">
        <v>908</v>
      </c>
      <c r="C890" s="218" t="s">
        <v>266</v>
      </c>
      <c r="D890" s="218" t="s">
        <v>270</v>
      </c>
      <c r="E890" s="218" t="s">
        <v>193</v>
      </c>
      <c r="F890" s="218"/>
      <c r="G890" s="27">
        <f t="shared" si="880"/>
        <v>50</v>
      </c>
      <c r="H890" s="27">
        <f t="shared" si="880"/>
        <v>0</v>
      </c>
      <c r="I890" s="27">
        <f t="shared" si="880"/>
        <v>0</v>
      </c>
      <c r="J890" s="27">
        <f t="shared" si="880"/>
        <v>0</v>
      </c>
      <c r="K890" s="27">
        <f t="shared" si="880"/>
        <v>0</v>
      </c>
      <c r="L890" s="27">
        <f t="shared" si="880"/>
        <v>0</v>
      </c>
      <c r="M890" s="27">
        <f t="shared" si="881"/>
        <v>0</v>
      </c>
      <c r="N890" s="27">
        <f t="shared" si="881"/>
        <v>0</v>
      </c>
      <c r="O890" s="27" t="e">
        <f t="shared" si="825"/>
        <v>#DIV/0!</v>
      </c>
    </row>
    <row r="891" spans="1:18" ht="15.75" hidden="1" x14ac:dyDescent="0.25">
      <c r="A891" s="26" t="s">
        <v>281</v>
      </c>
      <c r="B891" s="220">
        <v>908</v>
      </c>
      <c r="C891" s="218" t="s">
        <v>266</v>
      </c>
      <c r="D891" s="218" t="s">
        <v>270</v>
      </c>
      <c r="E891" s="218" t="s">
        <v>282</v>
      </c>
      <c r="F891" s="218"/>
      <c r="G891" s="27">
        <f t="shared" si="880"/>
        <v>50</v>
      </c>
      <c r="H891" s="27">
        <f t="shared" si="880"/>
        <v>0</v>
      </c>
      <c r="I891" s="27">
        <f t="shared" si="880"/>
        <v>0</v>
      </c>
      <c r="J891" s="27">
        <f t="shared" si="880"/>
        <v>0</v>
      </c>
      <c r="K891" s="27">
        <f t="shared" si="880"/>
        <v>0</v>
      </c>
      <c r="L891" s="27">
        <f t="shared" si="880"/>
        <v>0</v>
      </c>
      <c r="M891" s="27">
        <f t="shared" si="881"/>
        <v>0</v>
      </c>
      <c r="N891" s="27">
        <f t="shared" si="881"/>
        <v>0</v>
      </c>
      <c r="O891" s="27" t="e">
        <f t="shared" si="825"/>
        <v>#DIV/0!</v>
      </c>
    </row>
    <row r="892" spans="1:18" ht="31.5" hidden="1" x14ac:dyDescent="0.25">
      <c r="A892" s="26" t="s">
        <v>182</v>
      </c>
      <c r="B892" s="220">
        <v>908</v>
      </c>
      <c r="C892" s="218" t="s">
        <v>266</v>
      </c>
      <c r="D892" s="218" t="s">
        <v>270</v>
      </c>
      <c r="E892" s="218" t="s">
        <v>282</v>
      </c>
      <c r="F892" s="218" t="s">
        <v>183</v>
      </c>
      <c r="G892" s="27">
        <f t="shared" si="880"/>
        <v>50</v>
      </c>
      <c r="H892" s="27">
        <f t="shared" si="880"/>
        <v>0</v>
      </c>
      <c r="I892" s="27">
        <f t="shared" si="880"/>
        <v>0</v>
      </c>
      <c r="J892" s="27">
        <f t="shared" si="880"/>
        <v>0</v>
      </c>
      <c r="K892" s="27">
        <f t="shared" si="880"/>
        <v>0</v>
      </c>
      <c r="L892" s="27">
        <f t="shared" si="880"/>
        <v>0</v>
      </c>
      <c r="M892" s="27">
        <f t="shared" si="881"/>
        <v>0</v>
      </c>
      <c r="N892" s="27">
        <f t="shared" si="881"/>
        <v>0</v>
      </c>
      <c r="O892" s="27" t="e">
        <f t="shared" si="825"/>
        <v>#DIV/0!</v>
      </c>
    </row>
    <row r="893" spans="1:18" ht="47.25" hidden="1" x14ac:dyDescent="0.25">
      <c r="A893" s="26" t="s">
        <v>184</v>
      </c>
      <c r="B893" s="220">
        <v>908</v>
      </c>
      <c r="C893" s="218" t="s">
        <v>266</v>
      </c>
      <c r="D893" s="218" t="s">
        <v>270</v>
      </c>
      <c r="E893" s="218" t="s">
        <v>282</v>
      </c>
      <c r="F893" s="218" t="s">
        <v>185</v>
      </c>
      <c r="G893" s="27">
        <v>50</v>
      </c>
      <c r="H893" s="27">
        <v>0</v>
      </c>
      <c r="I893" s="27">
        <v>0</v>
      </c>
      <c r="J893" s="27">
        <v>0</v>
      </c>
      <c r="K893" s="27">
        <v>0</v>
      </c>
      <c r="L893" s="27">
        <v>0</v>
      </c>
      <c r="M893" s="27">
        <v>0</v>
      </c>
      <c r="N893" s="27">
        <v>0</v>
      </c>
      <c r="O893" s="27" t="e">
        <f t="shared" si="825"/>
        <v>#DIV/0!</v>
      </c>
    </row>
    <row r="894" spans="1:18" ht="15.75" x14ac:dyDescent="0.25">
      <c r="A894" s="24" t="s">
        <v>283</v>
      </c>
      <c r="B894" s="217">
        <v>908</v>
      </c>
      <c r="C894" s="219" t="s">
        <v>201</v>
      </c>
      <c r="D894" s="219"/>
      <c r="E894" s="219"/>
      <c r="F894" s="219"/>
      <c r="G894" s="22">
        <f>G895+G901</f>
        <v>18331.8</v>
      </c>
      <c r="H894" s="22">
        <f t="shared" ref="H894" si="882">H895+H901</f>
        <v>10388.9</v>
      </c>
      <c r="I894" s="22">
        <f t="shared" ref="I894:L894" si="883">I895+I901</f>
        <v>18331.8</v>
      </c>
      <c r="J894" s="22">
        <f t="shared" si="883"/>
        <v>18331.8</v>
      </c>
      <c r="K894" s="22">
        <f t="shared" si="883"/>
        <v>18331.8</v>
      </c>
      <c r="L894" s="22">
        <f t="shared" si="883"/>
        <v>18331.8</v>
      </c>
      <c r="M894" s="22">
        <f t="shared" ref="M894:N894" si="884">M895+M901</f>
        <v>10153.6</v>
      </c>
      <c r="N894" s="22">
        <f t="shared" si="884"/>
        <v>5820.4</v>
      </c>
      <c r="O894" s="22">
        <f t="shared" si="825"/>
        <v>57.323510872990859</v>
      </c>
    </row>
    <row r="895" spans="1:18" ht="15.75" x14ac:dyDescent="0.25">
      <c r="A895" s="24" t="s">
        <v>557</v>
      </c>
      <c r="B895" s="217">
        <v>908</v>
      </c>
      <c r="C895" s="219" t="s">
        <v>201</v>
      </c>
      <c r="D895" s="219" t="s">
        <v>350</v>
      </c>
      <c r="E895" s="219"/>
      <c r="F895" s="219"/>
      <c r="G895" s="22">
        <f>G896</f>
        <v>3207.7</v>
      </c>
      <c r="H895" s="22">
        <f t="shared" ref="H895:L899" si="885">H896</f>
        <v>1328.6</v>
      </c>
      <c r="I895" s="22">
        <f t="shared" si="885"/>
        <v>3207.7</v>
      </c>
      <c r="J895" s="22">
        <f t="shared" si="885"/>
        <v>3207.7</v>
      </c>
      <c r="K895" s="22">
        <f t="shared" si="885"/>
        <v>3207.7</v>
      </c>
      <c r="L895" s="22">
        <f t="shared" si="885"/>
        <v>3207.7</v>
      </c>
      <c r="M895" s="22">
        <f t="shared" ref="M895:N899" si="886">M896</f>
        <v>3258.3</v>
      </c>
      <c r="N895" s="22">
        <f t="shared" si="886"/>
        <v>2144.5</v>
      </c>
      <c r="O895" s="22">
        <f t="shared" si="825"/>
        <v>65.816530092379452</v>
      </c>
    </row>
    <row r="896" spans="1:18" ht="15.75" x14ac:dyDescent="0.25">
      <c r="A896" s="26" t="s">
        <v>172</v>
      </c>
      <c r="B896" s="220">
        <v>908</v>
      </c>
      <c r="C896" s="218" t="s">
        <v>201</v>
      </c>
      <c r="D896" s="218" t="s">
        <v>350</v>
      </c>
      <c r="E896" s="218" t="s">
        <v>173</v>
      </c>
      <c r="F896" s="219"/>
      <c r="G896" s="27">
        <f>G897</f>
        <v>3207.7</v>
      </c>
      <c r="H896" s="27">
        <f t="shared" ref="H896:H899" si="887">H897</f>
        <v>1328.6</v>
      </c>
      <c r="I896" s="27">
        <f t="shared" si="885"/>
        <v>3207.7</v>
      </c>
      <c r="J896" s="27">
        <f t="shared" si="885"/>
        <v>3207.7</v>
      </c>
      <c r="K896" s="27">
        <f t="shared" si="885"/>
        <v>3207.7</v>
      </c>
      <c r="L896" s="27">
        <f t="shared" si="885"/>
        <v>3207.7</v>
      </c>
      <c r="M896" s="27">
        <f t="shared" si="886"/>
        <v>3258.3</v>
      </c>
      <c r="N896" s="27">
        <f t="shared" si="886"/>
        <v>2144.5</v>
      </c>
      <c r="O896" s="27">
        <f t="shared" si="825"/>
        <v>65.816530092379452</v>
      </c>
    </row>
    <row r="897" spans="1:15" ht="15.75" x14ac:dyDescent="0.25">
      <c r="A897" s="26" t="s">
        <v>192</v>
      </c>
      <c r="B897" s="220">
        <v>908</v>
      </c>
      <c r="C897" s="218" t="s">
        <v>201</v>
      </c>
      <c r="D897" s="218" t="s">
        <v>350</v>
      </c>
      <c r="E897" s="218" t="s">
        <v>193</v>
      </c>
      <c r="F897" s="219"/>
      <c r="G897" s="27">
        <f>G898</f>
        <v>3207.7</v>
      </c>
      <c r="H897" s="27">
        <f t="shared" si="887"/>
        <v>1328.6</v>
      </c>
      <c r="I897" s="27">
        <f t="shared" si="885"/>
        <v>3207.7</v>
      </c>
      <c r="J897" s="27">
        <f t="shared" si="885"/>
        <v>3207.7</v>
      </c>
      <c r="K897" s="27">
        <f t="shared" si="885"/>
        <v>3207.7</v>
      </c>
      <c r="L897" s="27">
        <f t="shared" si="885"/>
        <v>3207.7</v>
      </c>
      <c r="M897" s="27">
        <f t="shared" si="886"/>
        <v>3258.3</v>
      </c>
      <c r="N897" s="27">
        <f t="shared" si="886"/>
        <v>2144.5</v>
      </c>
      <c r="O897" s="27">
        <f t="shared" si="825"/>
        <v>65.816530092379452</v>
      </c>
    </row>
    <row r="898" spans="1:15" ht="39" customHeight="1" x14ac:dyDescent="0.25">
      <c r="A898" s="26" t="s">
        <v>558</v>
      </c>
      <c r="B898" s="220">
        <v>908</v>
      </c>
      <c r="C898" s="218" t="s">
        <v>201</v>
      </c>
      <c r="D898" s="218" t="s">
        <v>350</v>
      </c>
      <c r="E898" s="218" t="s">
        <v>559</v>
      </c>
      <c r="F898" s="218"/>
      <c r="G898" s="27">
        <f>G899</f>
        <v>3207.7</v>
      </c>
      <c r="H898" s="27">
        <f t="shared" si="887"/>
        <v>1328.6</v>
      </c>
      <c r="I898" s="27">
        <f t="shared" si="885"/>
        <v>3207.7</v>
      </c>
      <c r="J898" s="27">
        <f t="shared" si="885"/>
        <v>3207.7</v>
      </c>
      <c r="K898" s="27">
        <f t="shared" si="885"/>
        <v>3207.7</v>
      </c>
      <c r="L898" s="27">
        <f t="shared" si="885"/>
        <v>3207.7</v>
      </c>
      <c r="M898" s="27">
        <f t="shared" si="886"/>
        <v>3258.3</v>
      </c>
      <c r="N898" s="27">
        <f t="shared" si="886"/>
        <v>2144.5</v>
      </c>
      <c r="O898" s="27">
        <f t="shared" si="825"/>
        <v>65.816530092379452</v>
      </c>
    </row>
    <row r="899" spans="1:15" ht="31.5" x14ac:dyDescent="0.25">
      <c r="A899" s="26" t="s">
        <v>182</v>
      </c>
      <c r="B899" s="220">
        <v>908</v>
      </c>
      <c r="C899" s="218" t="s">
        <v>201</v>
      </c>
      <c r="D899" s="218" t="s">
        <v>350</v>
      </c>
      <c r="E899" s="218" t="s">
        <v>559</v>
      </c>
      <c r="F899" s="218" t="s">
        <v>183</v>
      </c>
      <c r="G899" s="27">
        <f>G900</f>
        <v>3207.7</v>
      </c>
      <c r="H899" s="27">
        <f t="shared" si="887"/>
        <v>1328.6</v>
      </c>
      <c r="I899" s="27">
        <f t="shared" si="885"/>
        <v>3207.7</v>
      </c>
      <c r="J899" s="27">
        <f t="shared" si="885"/>
        <v>3207.7</v>
      </c>
      <c r="K899" s="27">
        <f t="shared" si="885"/>
        <v>3207.7</v>
      </c>
      <c r="L899" s="27">
        <f t="shared" si="885"/>
        <v>3207.7</v>
      </c>
      <c r="M899" s="27">
        <f t="shared" si="886"/>
        <v>3258.3</v>
      </c>
      <c r="N899" s="27">
        <f t="shared" si="886"/>
        <v>2144.5</v>
      </c>
      <c r="O899" s="27">
        <f t="shared" si="825"/>
        <v>65.816530092379452</v>
      </c>
    </row>
    <row r="900" spans="1:15" ht="47.25" x14ac:dyDescent="0.25">
      <c r="A900" s="26" t="s">
        <v>184</v>
      </c>
      <c r="B900" s="220">
        <v>908</v>
      </c>
      <c r="C900" s="218" t="s">
        <v>201</v>
      </c>
      <c r="D900" s="218" t="s">
        <v>350</v>
      </c>
      <c r="E900" s="218" t="s">
        <v>559</v>
      </c>
      <c r="F900" s="218" t="s">
        <v>185</v>
      </c>
      <c r="G900" s="27">
        <v>3207.7</v>
      </c>
      <c r="H900" s="27">
        <v>1328.6</v>
      </c>
      <c r="I900" s="27">
        <v>3207.7</v>
      </c>
      <c r="J900" s="27">
        <v>3207.7</v>
      </c>
      <c r="K900" s="27">
        <v>3207.7</v>
      </c>
      <c r="L900" s="27">
        <v>3207.7</v>
      </c>
      <c r="M900" s="27">
        <f>3207.7+25.3+25.3</f>
        <v>3258.3</v>
      </c>
      <c r="N900" s="27">
        <v>2144.5</v>
      </c>
      <c r="O900" s="27">
        <f t="shared" si="825"/>
        <v>65.816530092379452</v>
      </c>
    </row>
    <row r="901" spans="1:15" ht="15.75" x14ac:dyDescent="0.25">
      <c r="A901" s="24" t="s">
        <v>560</v>
      </c>
      <c r="B901" s="217">
        <v>908</v>
      </c>
      <c r="C901" s="219" t="s">
        <v>201</v>
      </c>
      <c r="D901" s="219" t="s">
        <v>270</v>
      </c>
      <c r="E901" s="218"/>
      <c r="F901" s="219"/>
      <c r="G901" s="22">
        <f>G902</f>
        <v>15124.1</v>
      </c>
      <c r="H901" s="22">
        <f t="shared" ref="H901:L902" si="888">H902</f>
        <v>9060.2999999999993</v>
      </c>
      <c r="I901" s="22">
        <f t="shared" si="888"/>
        <v>15124.1</v>
      </c>
      <c r="J901" s="22">
        <f t="shared" si="888"/>
        <v>15124.1</v>
      </c>
      <c r="K901" s="22">
        <f t="shared" si="888"/>
        <v>15124.1</v>
      </c>
      <c r="L901" s="22">
        <f t="shared" si="888"/>
        <v>15124.1</v>
      </c>
      <c r="M901" s="22">
        <f t="shared" ref="M901:N902" si="889">M902</f>
        <v>6895.3</v>
      </c>
      <c r="N901" s="22">
        <f t="shared" si="889"/>
        <v>3675.9</v>
      </c>
      <c r="O901" s="22">
        <f t="shared" si="825"/>
        <v>53.310225805983791</v>
      </c>
    </row>
    <row r="902" spans="1:15" ht="47.25" x14ac:dyDescent="0.25">
      <c r="A902" s="33" t="s">
        <v>989</v>
      </c>
      <c r="B902" s="220">
        <v>908</v>
      </c>
      <c r="C902" s="218" t="s">
        <v>201</v>
      </c>
      <c r="D902" s="218" t="s">
        <v>270</v>
      </c>
      <c r="E902" s="218" t="s">
        <v>562</v>
      </c>
      <c r="F902" s="218"/>
      <c r="G902" s="27">
        <f>G903</f>
        <v>15124.1</v>
      </c>
      <c r="H902" s="27">
        <f>H903</f>
        <v>9060.2999999999993</v>
      </c>
      <c r="I902" s="27">
        <f t="shared" si="888"/>
        <v>15124.1</v>
      </c>
      <c r="J902" s="27">
        <f t="shared" si="888"/>
        <v>15124.1</v>
      </c>
      <c r="K902" s="27">
        <f t="shared" si="888"/>
        <v>15124.1</v>
      </c>
      <c r="L902" s="27">
        <f t="shared" si="888"/>
        <v>15124.1</v>
      </c>
      <c r="M902" s="27">
        <f t="shared" si="889"/>
        <v>6895.3</v>
      </c>
      <c r="N902" s="27">
        <f t="shared" si="889"/>
        <v>3675.9</v>
      </c>
      <c r="O902" s="27">
        <f t="shared" si="825"/>
        <v>53.310225805983791</v>
      </c>
    </row>
    <row r="903" spans="1:15" ht="15.75" x14ac:dyDescent="0.25">
      <c r="A903" s="31" t="s">
        <v>563</v>
      </c>
      <c r="B903" s="220">
        <v>908</v>
      </c>
      <c r="C903" s="218" t="s">
        <v>201</v>
      </c>
      <c r="D903" s="218" t="s">
        <v>270</v>
      </c>
      <c r="E903" s="221" t="s">
        <v>564</v>
      </c>
      <c r="F903" s="218"/>
      <c r="G903" s="27">
        <f>G904+G906</f>
        <v>15124.1</v>
      </c>
      <c r="H903" s="27">
        <f>H904+H906</f>
        <v>9060.2999999999993</v>
      </c>
      <c r="I903" s="27">
        <f t="shared" ref="I903:L903" si="890">I904+I906</f>
        <v>15124.1</v>
      </c>
      <c r="J903" s="27">
        <f t="shared" si="890"/>
        <v>15124.1</v>
      </c>
      <c r="K903" s="27">
        <f t="shared" si="890"/>
        <v>15124.1</v>
      </c>
      <c r="L903" s="27">
        <f t="shared" si="890"/>
        <v>15124.1</v>
      </c>
      <c r="M903" s="27">
        <f t="shared" ref="M903:N903" si="891">M904+M906</f>
        <v>6895.3</v>
      </c>
      <c r="N903" s="27">
        <f t="shared" si="891"/>
        <v>3675.9</v>
      </c>
      <c r="O903" s="27">
        <f t="shared" si="825"/>
        <v>53.310225805983791</v>
      </c>
    </row>
    <row r="904" spans="1:15" ht="31.5" x14ac:dyDescent="0.25">
      <c r="A904" s="26" t="s">
        <v>182</v>
      </c>
      <c r="B904" s="220">
        <v>908</v>
      </c>
      <c r="C904" s="218" t="s">
        <v>201</v>
      </c>
      <c r="D904" s="218" t="s">
        <v>270</v>
      </c>
      <c r="E904" s="221" t="s">
        <v>564</v>
      </c>
      <c r="F904" s="218" t="s">
        <v>183</v>
      </c>
      <c r="G904" s="27">
        <f>G905</f>
        <v>15108.1</v>
      </c>
      <c r="H904" s="27">
        <f>H905</f>
        <v>9050.2999999999993</v>
      </c>
      <c r="I904" s="27">
        <f t="shared" ref="I904:L904" si="892">I905</f>
        <v>15108.1</v>
      </c>
      <c r="J904" s="27">
        <f t="shared" si="892"/>
        <v>15108.1</v>
      </c>
      <c r="K904" s="27">
        <f t="shared" si="892"/>
        <v>15108.1</v>
      </c>
      <c r="L904" s="27">
        <f t="shared" si="892"/>
        <v>15108.1</v>
      </c>
      <c r="M904" s="27">
        <f t="shared" ref="M904:N904" si="893">M905</f>
        <v>6879.3</v>
      </c>
      <c r="N904" s="27">
        <f t="shared" si="893"/>
        <v>3675.9</v>
      </c>
      <c r="O904" s="27">
        <f t="shared" si="825"/>
        <v>53.434215690549912</v>
      </c>
    </row>
    <row r="905" spans="1:15" ht="47.25" x14ac:dyDescent="0.25">
      <c r="A905" s="26" t="s">
        <v>184</v>
      </c>
      <c r="B905" s="220">
        <v>908</v>
      </c>
      <c r="C905" s="218" t="s">
        <v>201</v>
      </c>
      <c r="D905" s="218" t="s">
        <v>270</v>
      </c>
      <c r="E905" s="221" t="s">
        <v>564</v>
      </c>
      <c r="F905" s="218" t="s">
        <v>185</v>
      </c>
      <c r="G905" s="27">
        <f>15124.1-10-6</f>
        <v>15108.1</v>
      </c>
      <c r="H905" s="27">
        <v>9050.2999999999993</v>
      </c>
      <c r="I905" s="27">
        <f t="shared" ref="I905" si="894">15124.1-10-6</f>
        <v>15108.1</v>
      </c>
      <c r="J905" s="27">
        <f>I905</f>
        <v>15108.1</v>
      </c>
      <c r="K905" s="27">
        <f>J905</f>
        <v>15108.1</v>
      </c>
      <c r="L905" s="27">
        <f>K905</f>
        <v>15108.1</v>
      </c>
      <c r="M905" s="27">
        <f>6904.6-25.3</f>
        <v>6879.3</v>
      </c>
      <c r="N905" s="27">
        <v>3675.9</v>
      </c>
      <c r="O905" s="27">
        <f t="shared" si="825"/>
        <v>53.434215690549912</v>
      </c>
    </row>
    <row r="906" spans="1:15" ht="15.75" x14ac:dyDescent="0.25">
      <c r="A906" s="26" t="s">
        <v>186</v>
      </c>
      <c r="B906" s="220">
        <v>908</v>
      </c>
      <c r="C906" s="218" t="s">
        <v>201</v>
      </c>
      <c r="D906" s="218" t="s">
        <v>270</v>
      </c>
      <c r="E906" s="221" t="s">
        <v>564</v>
      </c>
      <c r="F906" s="218" t="s">
        <v>196</v>
      </c>
      <c r="G906" s="27">
        <f>G907</f>
        <v>16</v>
      </c>
      <c r="H906" s="27">
        <f>H907</f>
        <v>10</v>
      </c>
      <c r="I906" s="27">
        <f t="shared" ref="I906:L906" si="895">I907</f>
        <v>16</v>
      </c>
      <c r="J906" s="27">
        <f t="shared" si="895"/>
        <v>16</v>
      </c>
      <c r="K906" s="27">
        <f t="shared" si="895"/>
        <v>16</v>
      </c>
      <c r="L906" s="27">
        <f t="shared" si="895"/>
        <v>16</v>
      </c>
      <c r="M906" s="27">
        <f t="shared" ref="M906:N906" si="896">M907</f>
        <v>16</v>
      </c>
      <c r="N906" s="27">
        <f t="shared" si="896"/>
        <v>0</v>
      </c>
      <c r="O906" s="27">
        <f t="shared" si="825"/>
        <v>0</v>
      </c>
    </row>
    <row r="907" spans="1:15" ht="15.75" x14ac:dyDescent="0.25">
      <c r="A907" s="26" t="s">
        <v>620</v>
      </c>
      <c r="B907" s="220">
        <v>908</v>
      </c>
      <c r="C907" s="218" t="s">
        <v>201</v>
      </c>
      <c r="D907" s="218" t="s">
        <v>270</v>
      </c>
      <c r="E907" s="221" t="s">
        <v>564</v>
      </c>
      <c r="F907" s="218" t="s">
        <v>189</v>
      </c>
      <c r="G907" s="27">
        <f>10+6</f>
        <v>16</v>
      </c>
      <c r="H907" s="27">
        <v>10</v>
      </c>
      <c r="I907" s="27">
        <f t="shared" ref="I907:L907" si="897">10+6</f>
        <v>16</v>
      </c>
      <c r="J907" s="27">
        <f t="shared" si="897"/>
        <v>16</v>
      </c>
      <c r="K907" s="27">
        <f t="shared" si="897"/>
        <v>16</v>
      </c>
      <c r="L907" s="27">
        <f t="shared" si="897"/>
        <v>16</v>
      </c>
      <c r="M907" s="27">
        <f t="shared" ref="M907" si="898">10+6</f>
        <v>16</v>
      </c>
      <c r="N907" s="27">
        <v>0</v>
      </c>
      <c r="O907" s="27">
        <f t="shared" si="825"/>
        <v>0</v>
      </c>
    </row>
    <row r="908" spans="1:15" ht="15.75" x14ac:dyDescent="0.25">
      <c r="A908" s="24" t="s">
        <v>442</v>
      </c>
      <c r="B908" s="217">
        <v>908</v>
      </c>
      <c r="C908" s="219" t="s">
        <v>285</v>
      </c>
      <c r="D908" s="219"/>
      <c r="E908" s="219"/>
      <c r="F908" s="219"/>
      <c r="G908" s="22">
        <f t="shared" ref="G908:M908" si="899">G909+G925+G989+G1049</f>
        <v>108065.8</v>
      </c>
      <c r="H908" s="22">
        <f t="shared" si="899"/>
        <v>32792.800000000003</v>
      </c>
      <c r="I908" s="22">
        <f t="shared" si="899"/>
        <v>89933.605882352946</v>
      </c>
      <c r="J908" s="22">
        <f t="shared" si="899"/>
        <v>65411.8</v>
      </c>
      <c r="K908" s="22">
        <f t="shared" si="899"/>
        <v>65708.7</v>
      </c>
      <c r="L908" s="22">
        <f t="shared" si="899"/>
        <v>67728.700000000012</v>
      </c>
      <c r="M908" s="22">
        <f t="shared" si="899"/>
        <v>130992.78</v>
      </c>
      <c r="N908" s="22">
        <f t="shared" ref="N908" si="900">N909+N925+N989+N1049</f>
        <v>70740.299999999988</v>
      </c>
      <c r="O908" s="22">
        <f t="shared" ref="O908:O971" si="901">N908/M908*100</f>
        <v>54.003205367501927</v>
      </c>
    </row>
    <row r="909" spans="1:15" ht="15.75" x14ac:dyDescent="0.25">
      <c r="A909" s="24" t="s">
        <v>443</v>
      </c>
      <c r="B909" s="217">
        <v>908</v>
      </c>
      <c r="C909" s="219" t="s">
        <v>285</v>
      </c>
      <c r="D909" s="219" t="s">
        <v>169</v>
      </c>
      <c r="E909" s="219"/>
      <c r="F909" s="219"/>
      <c r="G909" s="22">
        <f>G910</f>
        <v>7765.4000000000005</v>
      </c>
      <c r="H909" s="22">
        <f>H910</f>
        <v>3704.6</v>
      </c>
      <c r="I909" s="22">
        <f t="shared" ref="I909:L909" si="902">I910</f>
        <v>7765.4000000000005</v>
      </c>
      <c r="J909" s="22">
        <f t="shared" si="902"/>
        <v>8701.2000000000007</v>
      </c>
      <c r="K909" s="22">
        <f t="shared" si="902"/>
        <v>8701.2000000000007</v>
      </c>
      <c r="L909" s="22">
        <f t="shared" si="902"/>
        <v>8701.2000000000007</v>
      </c>
      <c r="M909" s="22">
        <f t="shared" ref="M909:N909" si="903">M910</f>
        <v>7558.5</v>
      </c>
      <c r="N909" s="22">
        <f t="shared" si="903"/>
        <v>5485.7</v>
      </c>
      <c r="O909" s="22">
        <f t="shared" si="901"/>
        <v>72.576569425150495</v>
      </c>
    </row>
    <row r="910" spans="1:15" ht="15.75" x14ac:dyDescent="0.25">
      <c r="A910" s="26" t="s">
        <v>172</v>
      </c>
      <c r="B910" s="220">
        <v>908</v>
      </c>
      <c r="C910" s="218" t="s">
        <v>285</v>
      </c>
      <c r="D910" s="218" t="s">
        <v>169</v>
      </c>
      <c r="E910" s="218" t="s">
        <v>173</v>
      </c>
      <c r="F910" s="218"/>
      <c r="G910" s="27">
        <f>G915</f>
        <v>7765.4000000000005</v>
      </c>
      <c r="H910" s="27">
        <f>H915</f>
        <v>3704.6</v>
      </c>
      <c r="I910" s="27">
        <f t="shared" ref="I910:L910" si="904">I915</f>
        <v>7765.4000000000005</v>
      </c>
      <c r="J910" s="27">
        <f t="shared" si="904"/>
        <v>8701.2000000000007</v>
      </c>
      <c r="K910" s="27">
        <f t="shared" si="904"/>
        <v>8701.2000000000007</v>
      </c>
      <c r="L910" s="27">
        <f t="shared" si="904"/>
        <v>8701.2000000000007</v>
      </c>
      <c r="M910" s="27">
        <f t="shared" ref="M910:N910" si="905">M915</f>
        <v>7558.5</v>
      </c>
      <c r="N910" s="27">
        <f t="shared" si="905"/>
        <v>5485.7</v>
      </c>
      <c r="O910" s="27">
        <f t="shared" si="901"/>
        <v>72.576569425150495</v>
      </c>
    </row>
    <row r="911" spans="1:15" ht="31.5" hidden="1" customHeight="1" x14ac:dyDescent="0.25">
      <c r="A911" s="26" t="s">
        <v>236</v>
      </c>
      <c r="B911" s="220">
        <v>908</v>
      </c>
      <c r="C911" s="218" t="s">
        <v>285</v>
      </c>
      <c r="D911" s="218" t="s">
        <v>169</v>
      </c>
      <c r="E911" s="218" t="s">
        <v>237</v>
      </c>
      <c r="F911" s="218"/>
      <c r="G911" s="27">
        <f t="shared" ref="G911:L913" si="906">G912</f>
        <v>0</v>
      </c>
      <c r="H911" s="27">
        <f t="shared" si="906"/>
        <v>0</v>
      </c>
      <c r="I911" s="27">
        <f t="shared" si="906"/>
        <v>0</v>
      </c>
      <c r="J911" s="27">
        <f t="shared" si="906"/>
        <v>0</v>
      </c>
      <c r="K911" s="27">
        <f t="shared" si="906"/>
        <v>0</v>
      </c>
      <c r="L911" s="27">
        <f t="shared" si="906"/>
        <v>0</v>
      </c>
      <c r="M911" s="27">
        <f t="shared" ref="M911:N913" si="907">M912</f>
        <v>0</v>
      </c>
      <c r="N911" s="27">
        <f t="shared" si="907"/>
        <v>0</v>
      </c>
      <c r="O911" s="27" t="e">
        <f t="shared" si="901"/>
        <v>#DIV/0!</v>
      </c>
    </row>
    <row r="912" spans="1:15" ht="15.75" hidden="1" customHeight="1" x14ac:dyDescent="0.25">
      <c r="A912" s="26" t="s">
        <v>565</v>
      </c>
      <c r="B912" s="220">
        <v>908</v>
      </c>
      <c r="C912" s="218" t="s">
        <v>285</v>
      </c>
      <c r="D912" s="218" t="s">
        <v>169</v>
      </c>
      <c r="E912" s="218" t="s">
        <v>566</v>
      </c>
      <c r="F912" s="218"/>
      <c r="G912" s="27">
        <f t="shared" si="906"/>
        <v>0</v>
      </c>
      <c r="H912" s="27">
        <f t="shared" si="906"/>
        <v>0</v>
      </c>
      <c r="I912" s="27">
        <f t="shared" si="906"/>
        <v>0</v>
      </c>
      <c r="J912" s="27">
        <f t="shared" si="906"/>
        <v>0</v>
      </c>
      <c r="K912" s="27">
        <f t="shared" si="906"/>
        <v>0</v>
      </c>
      <c r="L912" s="27">
        <f t="shared" si="906"/>
        <v>0</v>
      </c>
      <c r="M912" s="27">
        <f t="shared" si="907"/>
        <v>0</v>
      </c>
      <c r="N912" s="27">
        <f t="shared" si="907"/>
        <v>0</v>
      </c>
      <c r="O912" s="27" t="e">
        <f t="shared" si="901"/>
        <v>#DIV/0!</v>
      </c>
    </row>
    <row r="913" spans="1:18" ht="15.75" hidden="1" customHeight="1" x14ac:dyDescent="0.25">
      <c r="A913" s="26" t="s">
        <v>186</v>
      </c>
      <c r="B913" s="220">
        <v>908</v>
      </c>
      <c r="C913" s="218" t="s">
        <v>285</v>
      </c>
      <c r="D913" s="218" t="s">
        <v>169</v>
      </c>
      <c r="E913" s="218" t="s">
        <v>566</v>
      </c>
      <c r="F913" s="218" t="s">
        <v>196</v>
      </c>
      <c r="G913" s="27">
        <f t="shared" si="906"/>
        <v>0</v>
      </c>
      <c r="H913" s="27">
        <f t="shared" si="906"/>
        <v>0</v>
      </c>
      <c r="I913" s="27">
        <f t="shared" si="906"/>
        <v>0</v>
      </c>
      <c r="J913" s="27">
        <f t="shared" si="906"/>
        <v>0</v>
      </c>
      <c r="K913" s="27">
        <f t="shared" si="906"/>
        <v>0</v>
      </c>
      <c r="L913" s="27">
        <f t="shared" si="906"/>
        <v>0</v>
      </c>
      <c r="M913" s="27">
        <f t="shared" si="907"/>
        <v>0</v>
      </c>
      <c r="N913" s="27">
        <f t="shared" si="907"/>
        <v>0</v>
      </c>
      <c r="O913" s="27" t="e">
        <f t="shared" si="901"/>
        <v>#DIV/0!</v>
      </c>
    </row>
    <row r="914" spans="1:18" ht="63" hidden="1" customHeight="1" x14ac:dyDescent="0.25">
      <c r="A914" s="26" t="s">
        <v>235</v>
      </c>
      <c r="B914" s="220">
        <v>908</v>
      </c>
      <c r="C914" s="218" t="s">
        <v>285</v>
      </c>
      <c r="D914" s="218" t="s">
        <v>169</v>
      </c>
      <c r="E914" s="218" t="s">
        <v>566</v>
      </c>
      <c r="F914" s="218" t="s">
        <v>211</v>
      </c>
      <c r="G914" s="27">
        <v>0</v>
      </c>
      <c r="H914" s="27">
        <v>0</v>
      </c>
      <c r="I914" s="27">
        <v>0</v>
      </c>
      <c r="J914" s="27">
        <v>0</v>
      </c>
      <c r="K914" s="27">
        <v>0</v>
      </c>
      <c r="L914" s="27">
        <v>0</v>
      </c>
      <c r="M914" s="27">
        <v>0</v>
      </c>
      <c r="N914" s="27">
        <v>0</v>
      </c>
      <c r="O914" s="27" t="e">
        <f t="shared" si="901"/>
        <v>#DIV/0!</v>
      </c>
    </row>
    <row r="915" spans="1:18" ht="15.75" x14ac:dyDescent="0.25">
      <c r="A915" s="26" t="s">
        <v>192</v>
      </c>
      <c r="B915" s="220">
        <v>908</v>
      </c>
      <c r="C915" s="218" t="s">
        <v>285</v>
      </c>
      <c r="D915" s="218" t="s">
        <v>169</v>
      </c>
      <c r="E915" s="218" t="s">
        <v>193</v>
      </c>
      <c r="F915" s="219"/>
      <c r="G915" s="27">
        <f>G922+G919+G916</f>
        <v>7765.4000000000005</v>
      </c>
      <c r="H915" s="27">
        <f t="shared" ref="H915:M915" si="908">H922+H919+H916</f>
        <v>3704.6</v>
      </c>
      <c r="I915" s="27">
        <f t="shared" si="908"/>
        <v>7765.4000000000005</v>
      </c>
      <c r="J915" s="27">
        <f>J922+J919+J916</f>
        <v>8701.2000000000007</v>
      </c>
      <c r="K915" s="27">
        <f t="shared" si="908"/>
        <v>8701.2000000000007</v>
      </c>
      <c r="L915" s="27">
        <f t="shared" si="908"/>
        <v>8701.2000000000007</v>
      </c>
      <c r="M915" s="27">
        <f t="shared" si="908"/>
        <v>7558.5</v>
      </c>
      <c r="N915" s="27">
        <f t="shared" ref="N915" si="909">N922+N919+N916</f>
        <v>5485.7</v>
      </c>
      <c r="O915" s="27">
        <f t="shared" si="901"/>
        <v>72.576569425150495</v>
      </c>
    </row>
    <row r="916" spans="1:18" ht="15.75" x14ac:dyDescent="0.25">
      <c r="A916" s="26" t="s">
        <v>567</v>
      </c>
      <c r="B916" s="220">
        <v>908</v>
      </c>
      <c r="C916" s="218" t="s">
        <v>925</v>
      </c>
      <c r="D916" s="218" t="s">
        <v>169</v>
      </c>
      <c r="E916" s="218" t="s">
        <v>568</v>
      </c>
      <c r="F916" s="219"/>
      <c r="G916" s="27">
        <f>G917</f>
        <v>2400</v>
      </c>
      <c r="H916" s="27">
        <f t="shared" ref="H916:N916" si="910">H917</f>
        <v>500</v>
      </c>
      <c r="I916" s="27">
        <f t="shared" si="910"/>
        <v>2400</v>
      </c>
      <c r="J916" s="27">
        <f t="shared" si="910"/>
        <v>3744.1</v>
      </c>
      <c r="K916" s="27">
        <f t="shared" si="910"/>
        <v>3744.1</v>
      </c>
      <c r="L916" s="27">
        <f t="shared" si="910"/>
        <v>3744.1</v>
      </c>
      <c r="M916" s="27">
        <f t="shared" si="910"/>
        <v>2040.8999999999999</v>
      </c>
      <c r="N916" s="27">
        <f t="shared" si="910"/>
        <v>1630.3</v>
      </c>
      <c r="O916" s="27">
        <f t="shared" si="901"/>
        <v>79.881424861580669</v>
      </c>
    </row>
    <row r="917" spans="1:18" ht="15.75" x14ac:dyDescent="0.25">
      <c r="A917" s="26" t="s">
        <v>186</v>
      </c>
      <c r="B917" s="220">
        <v>908</v>
      </c>
      <c r="C917" s="218" t="s">
        <v>285</v>
      </c>
      <c r="D917" s="218" t="s">
        <v>169</v>
      </c>
      <c r="E917" s="218" t="s">
        <v>568</v>
      </c>
      <c r="F917" s="218" t="s">
        <v>196</v>
      </c>
      <c r="G917" s="27">
        <f>G918</f>
        <v>2400</v>
      </c>
      <c r="H917" s="27">
        <f>H918</f>
        <v>500</v>
      </c>
      <c r="I917" s="27">
        <f t="shared" ref="I917:L917" si="911">I918</f>
        <v>2400</v>
      </c>
      <c r="J917" s="27">
        <f t="shared" si="911"/>
        <v>3744.1</v>
      </c>
      <c r="K917" s="27">
        <f t="shared" si="911"/>
        <v>3744.1</v>
      </c>
      <c r="L917" s="27">
        <f t="shared" si="911"/>
        <v>3744.1</v>
      </c>
      <c r="M917" s="27">
        <f t="shared" ref="M917:N917" si="912">M918</f>
        <v>2040.8999999999999</v>
      </c>
      <c r="N917" s="27">
        <f t="shared" si="912"/>
        <v>1630.3</v>
      </c>
      <c r="O917" s="27">
        <f t="shared" si="901"/>
        <v>79.881424861580669</v>
      </c>
    </row>
    <row r="918" spans="1:18" ht="48.75" customHeight="1" x14ac:dyDescent="0.25">
      <c r="A918" s="26" t="s">
        <v>235</v>
      </c>
      <c r="B918" s="220">
        <v>908</v>
      </c>
      <c r="C918" s="218" t="s">
        <v>285</v>
      </c>
      <c r="D918" s="218" t="s">
        <v>169</v>
      </c>
      <c r="E918" s="218" t="s">
        <v>568</v>
      </c>
      <c r="F918" s="218" t="s">
        <v>211</v>
      </c>
      <c r="G918" s="27">
        <f>1500+900</f>
        <v>2400</v>
      </c>
      <c r="H918" s="27">
        <v>500</v>
      </c>
      <c r="I918" s="27">
        <f t="shared" ref="I918" si="913">1500+900</f>
        <v>2400</v>
      </c>
      <c r="J918" s="27">
        <v>3744.1</v>
      </c>
      <c r="K918" s="27">
        <f>J918</f>
        <v>3744.1</v>
      </c>
      <c r="L918" s="27">
        <f>K918</f>
        <v>3744.1</v>
      </c>
      <c r="M918" s="27">
        <f>515.3+1525.6</f>
        <v>2040.8999999999999</v>
      </c>
      <c r="N918" s="27">
        <v>1630.3</v>
      </c>
      <c r="O918" s="27">
        <f t="shared" si="901"/>
        <v>79.881424861580669</v>
      </c>
    </row>
    <row r="919" spans="1:18" ht="31.5" x14ac:dyDescent="0.25">
      <c r="A919" s="31" t="s">
        <v>450</v>
      </c>
      <c r="B919" s="220">
        <v>908</v>
      </c>
      <c r="C919" s="218" t="s">
        <v>285</v>
      </c>
      <c r="D919" s="218" t="s">
        <v>169</v>
      </c>
      <c r="E919" s="218" t="s">
        <v>451</v>
      </c>
      <c r="F919" s="219"/>
      <c r="G919" s="27">
        <f>G920</f>
        <v>4234.1000000000004</v>
      </c>
      <c r="H919" s="27">
        <f>H920</f>
        <v>2632.5</v>
      </c>
      <c r="I919" s="27">
        <f t="shared" ref="I919:L920" si="914">I920</f>
        <v>4234.1000000000004</v>
      </c>
      <c r="J919" s="27">
        <f t="shared" si="914"/>
        <v>3825.8</v>
      </c>
      <c r="K919" s="27">
        <f t="shared" si="914"/>
        <v>3825.8</v>
      </c>
      <c r="L919" s="27">
        <f t="shared" si="914"/>
        <v>3825.8</v>
      </c>
      <c r="M919" s="27">
        <f t="shared" ref="M919:N919" si="915">M920</f>
        <v>4017.6000000000004</v>
      </c>
      <c r="N919" s="27">
        <f t="shared" si="915"/>
        <v>3062.7</v>
      </c>
      <c r="O919" s="27">
        <f t="shared" si="901"/>
        <v>76.232078853046588</v>
      </c>
    </row>
    <row r="920" spans="1:18" ht="31.5" x14ac:dyDescent="0.25">
      <c r="A920" s="26" t="s">
        <v>182</v>
      </c>
      <c r="B920" s="220">
        <v>908</v>
      </c>
      <c r="C920" s="218" t="s">
        <v>285</v>
      </c>
      <c r="D920" s="218" t="s">
        <v>169</v>
      </c>
      <c r="E920" s="218" t="s">
        <v>451</v>
      </c>
      <c r="F920" s="218" t="s">
        <v>183</v>
      </c>
      <c r="G920" s="27">
        <f>G921</f>
        <v>4234.1000000000004</v>
      </c>
      <c r="H920" s="27">
        <f>H921</f>
        <v>2632.5</v>
      </c>
      <c r="I920" s="27">
        <f t="shared" si="914"/>
        <v>4234.1000000000004</v>
      </c>
      <c r="J920" s="27">
        <f t="shared" si="914"/>
        <v>3825.8</v>
      </c>
      <c r="K920" s="27">
        <f t="shared" si="914"/>
        <v>3825.8</v>
      </c>
      <c r="L920" s="27">
        <f t="shared" si="914"/>
        <v>3825.8</v>
      </c>
      <c r="M920" s="27">
        <f>M921</f>
        <v>4017.6000000000004</v>
      </c>
      <c r="N920" s="27">
        <f>N921</f>
        <v>3062.7</v>
      </c>
      <c r="O920" s="27">
        <f t="shared" si="901"/>
        <v>76.232078853046588</v>
      </c>
    </row>
    <row r="921" spans="1:18" ht="47.25" x14ac:dyDescent="0.25">
      <c r="A921" s="26" t="s">
        <v>184</v>
      </c>
      <c r="B921" s="220">
        <v>908</v>
      </c>
      <c r="C921" s="218" t="s">
        <v>285</v>
      </c>
      <c r="D921" s="218" t="s">
        <v>169</v>
      </c>
      <c r="E921" s="218" t="s">
        <v>451</v>
      </c>
      <c r="F921" s="218" t="s">
        <v>185</v>
      </c>
      <c r="G921" s="28">
        <f>3811.8+422.3</f>
        <v>4234.1000000000004</v>
      </c>
      <c r="H921" s="28">
        <v>2632.5</v>
      </c>
      <c r="I921" s="28">
        <f t="shared" ref="I921" si="916">3811.8+422.3</f>
        <v>4234.1000000000004</v>
      </c>
      <c r="J921" s="28">
        <v>3825.8</v>
      </c>
      <c r="K921" s="28">
        <f>J921</f>
        <v>3825.8</v>
      </c>
      <c r="L921" s="28">
        <f>K921</f>
        <v>3825.8</v>
      </c>
      <c r="M921" s="28">
        <f>4117.6-100</f>
        <v>4017.6000000000004</v>
      </c>
      <c r="N921" s="28">
        <v>3062.7</v>
      </c>
      <c r="O921" s="27">
        <f t="shared" si="901"/>
        <v>76.232078853046588</v>
      </c>
      <c r="Q921" s="142"/>
      <c r="R921" s="142"/>
    </row>
    <row r="922" spans="1:18" ht="15.75" x14ac:dyDescent="0.25">
      <c r="A922" s="26" t="s">
        <v>591</v>
      </c>
      <c r="B922" s="220">
        <v>908</v>
      </c>
      <c r="C922" s="218" t="s">
        <v>285</v>
      </c>
      <c r="D922" s="218" t="s">
        <v>169</v>
      </c>
      <c r="E922" s="218" t="s">
        <v>592</v>
      </c>
      <c r="F922" s="219"/>
      <c r="G922" s="27">
        <f>G923</f>
        <v>1131.3</v>
      </c>
      <c r="H922" s="27">
        <f t="shared" ref="H922:N922" si="917">H923</f>
        <v>572.1</v>
      </c>
      <c r="I922" s="27">
        <f t="shared" si="917"/>
        <v>1131.3</v>
      </c>
      <c r="J922" s="27">
        <f t="shared" si="917"/>
        <v>1131.3</v>
      </c>
      <c r="K922" s="27">
        <f t="shared" si="917"/>
        <v>1131.3</v>
      </c>
      <c r="L922" s="27">
        <f t="shared" si="917"/>
        <v>1131.3</v>
      </c>
      <c r="M922" s="27">
        <f t="shared" si="917"/>
        <v>1500</v>
      </c>
      <c r="N922" s="27">
        <f t="shared" si="917"/>
        <v>792.7</v>
      </c>
      <c r="O922" s="27">
        <f t="shared" si="901"/>
        <v>52.846666666666678</v>
      </c>
    </row>
    <row r="923" spans="1:18" ht="31.5" x14ac:dyDescent="0.25">
      <c r="A923" s="26" t="s">
        <v>182</v>
      </c>
      <c r="B923" s="220">
        <v>908</v>
      </c>
      <c r="C923" s="218" t="s">
        <v>285</v>
      </c>
      <c r="D923" s="218" t="s">
        <v>169</v>
      </c>
      <c r="E923" s="218" t="s">
        <v>592</v>
      </c>
      <c r="F923" s="218" t="s">
        <v>183</v>
      </c>
      <c r="G923" s="27">
        <f>G924</f>
        <v>1131.3</v>
      </c>
      <c r="H923" s="27">
        <f>H924</f>
        <v>572.1</v>
      </c>
      <c r="I923" s="27">
        <f t="shared" ref="I923:L923" si="918">I924</f>
        <v>1131.3</v>
      </c>
      <c r="J923" s="27">
        <f t="shared" si="918"/>
        <v>1131.3</v>
      </c>
      <c r="K923" s="27">
        <f t="shared" si="918"/>
        <v>1131.3</v>
      </c>
      <c r="L923" s="27">
        <f t="shared" si="918"/>
        <v>1131.3</v>
      </c>
      <c r="M923" s="27">
        <f t="shared" ref="M923:N923" si="919">M924</f>
        <v>1500</v>
      </c>
      <c r="N923" s="27">
        <f t="shared" si="919"/>
        <v>792.7</v>
      </c>
      <c r="O923" s="27">
        <f t="shared" si="901"/>
        <v>52.846666666666678</v>
      </c>
    </row>
    <row r="924" spans="1:18" ht="47.25" x14ac:dyDescent="0.25">
      <c r="A924" s="26" t="s">
        <v>184</v>
      </c>
      <c r="B924" s="220">
        <v>908</v>
      </c>
      <c r="C924" s="218" t="s">
        <v>285</v>
      </c>
      <c r="D924" s="218" t="s">
        <v>169</v>
      </c>
      <c r="E924" s="218" t="s">
        <v>592</v>
      </c>
      <c r="F924" s="218" t="s">
        <v>185</v>
      </c>
      <c r="G924" s="27">
        <v>1131.3</v>
      </c>
      <c r="H924" s="27">
        <v>572.1</v>
      </c>
      <c r="I924" s="27">
        <v>1131.3</v>
      </c>
      <c r="J924" s="27">
        <v>1131.3</v>
      </c>
      <c r="K924" s="27">
        <v>1131.3</v>
      </c>
      <c r="L924" s="27">
        <v>1131.3</v>
      </c>
      <c r="M924" s="27">
        <f>100+1400</f>
        <v>1500</v>
      </c>
      <c r="N924" s="27">
        <v>792.7</v>
      </c>
      <c r="O924" s="27">
        <f t="shared" si="901"/>
        <v>52.846666666666678</v>
      </c>
    </row>
    <row r="925" spans="1:18" ht="15.75" x14ac:dyDescent="0.25">
      <c r="A925" s="24" t="s">
        <v>569</v>
      </c>
      <c r="B925" s="217">
        <v>908</v>
      </c>
      <c r="C925" s="219" t="s">
        <v>285</v>
      </c>
      <c r="D925" s="219" t="s">
        <v>264</v>
      </c>
      <c r="E925" s="219"/>
      <c r="F925" s="219"/>
      <c r="G925" s="22">
        <f>G926+G955</f>
        <v>53711.1</v>
      </c>
      <c r="H925" s="22">
        <f t="shared" ref="H925:L925" si="920">H926+H955</f>
        <v>8510</v>
      </c>
      <c r="I925" s="22">
        <f t="shared" si="920"/>
        <v>44351.4</v>
      </c>
      <c r="J925" s="22">
        <f t="shared" si="920"/>
        <v>12383.3</v>
      </c>
      <c r="K925" s="22">
        <f t="shared" si="920"/>
        <v>12383.3</v>
      </c>
      <c r="L925" s="22">
        <f t="shared" si="920"/>
        <v>12383.3</v>
      </c>
      <c r="M925" s="22">
        <f t="shared" ref="M925:N925" si="921">M926+M955</f>
        <v>74243.400000000009</v>
      </c>
      <c r="N925" s="22">
        <f t="shared" si="921"/>
        <v>45884.399999999994</v>
      </c>
      <c r="O925" s="22">
        <f t="shared" si="901"/>
        <v>61.80266528741948</v>
      </c>
    </row>
    <row r="926" spans="1:18" ht="82.5" customHeight="1" x14ac:dyDescent="0.25">
      <c r="A926" s="26" t="s">
        <v>654</v>
      </c>
      <c r="B926" s="220">
        <v>908</v>
      </c>
      <c r="C926" s="218" t="s">
        <v>285</v>
      </c>
      <c r="D926" s="218" t="s">
        <v>264</v>
      </c>
      <c r="E926" s="218" t="s">
        <v>570</v>
      </c>
      <c r="F926" s="219"/>
      <c r="G926" s="27">
        <f t="shared" ref="G926:I926" si="922">G930+G933+G938+G943+G946+G952+G949</f>
        <v>5427.9</v>
      </c>
      <c r="H926" s="27">
        <f t="shared" si="922"/>
        <v>61.8</v>
      </c>
      <c r="I926" s="27">
        <f t="shared" si="922"/>
        <v>5427.9</v>
      </c>
      <c r="J926" s="27">
        <f>J930+J933+J938+J943+J946+J952+J949</f>
        <v>967</v>
      </c>
      <c r="K926" s="27">
        <f t="shared" ref="K926:M926" si="923">K930+K933+K938+K943+K946+K952+K949</f>
        <v>967</v>
      </c>
      <c r="L926" s="27">
        <f t="shared" si="923"/>
        <v>967</v>
      </c>
      <c r="M926" s="27">
        <f t="shared" si="923"/>
        <v>6625.1</v>
      </c>
      <c r="N926" s="27">
        <f t="shared" ref="N926" si="924">N930+N933+N938+N943+N946+N952+N949</f>
        <v>3232.2000000000003</v>
      </c>
      <c r="O926" s="27">
        <f t="shared" si="901"/>
        <v>48.787188117915207</v>
      </c>
      <c r="P926" s="142"/>
    </row>
    <row r="927" spans="1:18" ht="47.25" hidden="1" customHeight="1" x14ac:dyDescent="0.25">
      <c r="A927" s="37" t="s">
        <v>571</v>
      </c>
      <c r="B927" s="220">
        <v>908</v>
      </c>
      <c r="C927" s="218" t="s">
        <v>285</v>
      </c>
      <c r="D927" s="218" t="s">
        <v>264</v>
      </c>
      <c r="E927" s="218" t="s">
        <v>572</v>
      </c>
      <c r="F927" s="218"/>
      <c r="G927" s="27">
        <f t="shared" ref="G927:L928" si="925">G928</f>
        <v>0</v>
      </c>
      <c r="H927" s="27">
        <f t="shared" si="925"/>
        <v>0</v>
      </c>
      <c r="I927" s="27">
        <f t="shared" si="925"/>
        <v>0</v>
      </c>
      <c r="J927" s="27">
        <f t="shared" si="925"/>
        <v>0</v>
      </c>
      <c r="K927" s="27">
        <f t="shared" si="925"/>
        <v>0</v>
      </c>
      <c r="L927" s="27">
        <f t="shared" si="925"/>
        <v>0</v>
      </c>
      <c r="M927" s="27">
        <f t="shared" ref="M927:N928" si="926">M928</f>
        <v>0</v>
      </c>
      <c r="N927" s="27">
        <f t="shared" si="926"/>
        <v>0</v>
      </c>
      <c r="O927" s="27" t="e">
        <f t="shared" si="901"/>
        <v>#DIV/0!</v>
      </c>
    </row>
    <row r="928" spans="1:18" ht="31.5" hidden="1" customHeight="1" x14ac:dyDescent="0.25">
      <c r="A928" s="26" t="s">
        <v>182</v>
      </c>
      <c r="B928" s="220">
        <v>908</v>
      </c>
      <c r="C928" s="218" t="s">
        <v>285</v>
      </c>
      <c r="D928" s="218" t="s">
        <v>264</v>
      </c>
      <c r="E928" s="218" t="s">
        <v>572</v>
      </c>
      <c r="F928" s="218" t="s">
        <v>183</v>
      </c>
      <c r="G928" s="27">
        <f t="shared" si="925"/>
        <v>0</v>
      </c>
      <c r="H928" s="27">
        <f t="shared" si="925"/>
        <v>0</v>
      </c>
      <c r="I928" s="27">
        <f t="shared" si="925"/>
        <v>0</v>
      </c>
      <c r="J928" s="27">
        <f t="shared" si="925"/>
        <v>0</v>
      </c>
      <c r="K928" s="27">
        <f t="shared" si="925"/>
        <v>0</v>
      </c>
      <c r="L928" s="27">
        <f t="shared" si="925"/>
        <v>0</v>
      </c>
      <c r="M928" s="27">
        <f t="shared" si="926"/>
        <v>0</v>
      </c>
      <c r="N928" s="27">
        <f t="shared" si="926"/>
        <v>0</v>
      </c>
      <c r="O928" s="27" t="e">
        <f t="shared" si="901"/>
        <v>#DIV/0!</v>
      </c>
    </row>
    <row r="929" spans="1:18" ht="47.25" hidden="1" customHeight="1" x14ac:dyDescent="0.25">
      <c r="A929" s="26" t="s">
        <v>184</v>
      </c>
      <c r="B929" s="220">
        <v>908</v>
      </c>
      <c r="C929" s="218" t="s">
        <v>285</v>
      </c>
      <c r="D929" s="218" t="s">
        <v>264</v>
      </c>
      <c r="E929" s="218" t="s">
        <v>572</v>
      </c>
      <c r="F929" s="218" t="s">
        <v>185</v>
      </c>
      <c r="G929" s="27">
        <v>0</v>
      </c>
      <c r="H929" s="27">
        <v>0</v>
      </c>
      <c r="I929" s="27">
        <v>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 t="e">
        <f t="shared" si="901"/>
        <v>#DIV/0!</v>
      </c>
    </row>
    <row r="930" spans="1:18" ht="15.75" x14ac:dyDescent="0.25">
      <c r="A930" s="47" t="s">
        <v>573</v>
      </c>
      <c r="B930" s="220">
        <v>908</v>
      </c>
      <c r="C930" s="221" t="s">
        <v>285</v>
      </c>
      <c r="D930" s="221" t="s">
        <v>264</v>
      </c>
      <c r="E930" s="218" t="s">
        <v>574</v>
      </c>
      <c r="F930" s="221"/>
      <c r="G930" s="27">
        <f>G931</f>
        <v>450</v>
      </c>
      <c r="H930" s="27">
        <f>H931</f>
        <v>0</v>
      </c>
      <c r="I930" s="27">
        <f t="shared" ref="I930:L931" si="927">I931</f>
        <v>450</v>
      </c>
      <c r="J930" s="27">
        <f t="shared" si="927"/>
        <v>450</v>
      </c>
      <c r="K930" s="27">
        <f t="shared" si="927"/>
        <v>450</v>
      </c>
      <c r="L930" s="27">
        <f t="shared" si="927"/>
        <v>450</v>
      </c>
      <c r="M930" s="27">
        <f t="shared" ref="M930:N931" si="928">M931</f>
        <v>2078.5</v>
      </c>
      <c r="N930" s="27">
        <f t="shared" si="928"/>
        <v>1548.2</v>
      </c>
      <c r="O930" s="27">
        <f t="shared" si="901"/>
        <v>74.486408467644935</v>
      </c>
    </row>
    <row r="931" spans="1:18" ht="31.5" x14ac:dyDescent="0.25">
      <c r="A931" s="33" t="s">
        <v>182</v>
      </c>
      <c r="B931" s="220">
        <v>908</v>
      </c>
      <c r="C931" s="221" t="s">
        <v>285</v>
      </c>
      <c r="D931" s="221" t="s">
        <v>264</v>
      </c>
      <c r="E931" s="218" t="s">
        <v>574</v>
      </c>
      <c r="F931" s="221" t="s">
        <v>183</v>
      </c>
      <c r="G931" s="27">
        <f>G932</f>
        <v>450</v>
      </c>
      <c r="H931" s="27">
        <f>H932</f>
        <v>0</v>
      </c>
      <c r="I931" s="27">
        <f t="shared" si="927"/>
        <v>450</v>
      </c>
      <c r="J931" s="27">
        <f t="shared" si="927"/>
        <v>450</v>
      </c>
      <c r="K931" s="27">
        <f t="shared" si="927"/>
        <v>450</v>
      </c>
      <c r="L931" s="27">
        <f t="shared" si="927"/>
        <v>450</v>
      </c>
      <c r="M931" s="27">
        <f t="shared" si="928"/>
        <v>2078.5</v>
      </c>
      <c r="N931" s="27">
        <f t="shared" si="928"/>
        <v>1548.2</v>
      </c>
      <c r="O931" s="27">
        <f t="shared" si="901"/>
        <v>74.486408467644935</v>
      </c>
    </row>
    <row r="932" spans="1:18" ht="47.25" x14ac:dyDescent="0.25">
      <c r="A932" s="33" t="s">
        <v>184</v>
      </c>
      <c r="B932" s="220">
        <v>908</v>
      </c>
      <c r="C932" s="221" t="s">
        <v>285</v>
      </c>
      <c r="D932" s="221" t="s">
        <v>264</v>
      </c>
      <c r="E932" s="218" t="s">
        <v>574</v>
      </c>
      <c r="F932" s="221" t="s">
        <v>185</v>
      </c>
      <c r="G932" s="27">
        <v>450</v>
      </c>
      <c r="H932" s="27">
        <v>0</v>
      </c>
      <c r="I932" s="27">
        <v>450</v>
      </c>
      <c r="J932" s="27">
        <v>450</v>
      </c>
      <c r="K932" s="27">
        <v>450</v>
      </c>
      <c r="L932" s="27">
        <v>450</v>
      </c>
      <c r="M932" s="27">
        <f>450+1200+78.5+169+81-390+490</f>
        <v>2078.5</v>
      </c>
      <c r="N932" s="27">
        <v>1548.2</v>
      </c>
      <c r="O932" s="27">
        <f t="shared" si="901"/>
        <v>74.486408467644935</v>
      </c>
      <c r="Q932" s="135"/>
    </row>
    <row r="933" spans="1:18" ht="15.75" x14ac:dyDescent="0.25">
      <c r="A933" s="47" t="s">
        <v>575</v>
      </c>
      <c r="B933" s="220">
        <v>908</v>
      </c>
      <c r="C933" s="221" t="s">
        <v>285</v>
      </c>
      <c r="D933" s="221" t="s">
        <v>264</v>
      </c>
      <c r="E933" s="218" t="s">
        <v>576</v>
      </c>
      <c r="F933" s="221"/>
      <c r="G933" s="27">
        <f>G934</f>
        <v>3107</v>
      </c>
      <c r="H933" s="27">
        <f>H934</f>
        <v>0</v>
      </c>
      <c r="I933" s="27">
        <f t="shared" ref="I933:L934" si="929">I934</f>
        <v>3107</v>
      </c>
      <c r="J933" s="27">
        <f t="shared" si="929"/>
        <v>160</v>
      </c>
      <c r="K933" s="27">
        <f t="shared" si="929"/>
        <v>160</v>
      </c>
      <c r="L933" s="27">
        <f t="shared" si="929"/>
        <v>160</v>
      </c>
      <c r="M933" s="27">
        <f>M934+M936</f>
        <v>40.6</v>
      </c>
      <c r="N933" s="27">
        <f>N934+N936</f>
        <v>40.6</v>
      </c>
      <c r="O933" s="27">
        <f t="shared" si="901"/>
        <v>100</v>
      </c>
    </row>
    <row r="934" spans="1:18" ht="31.5" hidden="1" x14ac:dyDescent="0.25">
      <c r="A934" s="33" t="s">
        <v>182</v>
      </c>
      <c r="B934" s="220">
        <v>908</v>
      </c>
      <c r="C934" s="221" t="s">
        <v>285</v>
      </c>
      <c r="D934" s="221" t="s">
        <v>264</v>
      </c>
      <c r="E934" s="218" t="s">
        <v>576</v>
      </c>
      <c r="F934" s="221" t="s">
        <v>183</v>
      </c>
      <c r="G934" s="27">
        <f>G935</f>
        <v>3107</v>
      </c>
      <c r="H934" s="27">
        <f>H935</f>
        <v>0</v>
      </c>
      <c r="I934" s="27">
        <f t="shared" si="929"/>
        <v>3107</v>
      </c>
      <c r="J934" s="27">
        <f t="shared" si="929"/>
        <v>160</v>
      </c>
      <c r="K934" s="27">
        <f t="shared" si="929"/>
        <v>160</v>
      </c>
      <c r="L934" s="27">
        <f t="shared" si="929"/>
        <v>160</v>
      </c>
      <c r="M934" s="27">
        <f t="shared" ref="M934:N934" si="930">M935</f>
        <v>0</v>
      </c>
      <c r="N934" s="27">
        <f t="shared" si="930"/>
        <v>0</v>
      </c>
      <c r="O934" s="27" t="e">
        <f t="shared" si="901"/>
        <v>#DIV/0!</v>
      </c>
    </row>
    <row r="935" spans="1:18" ht="47.25" hidden="1" x14ac:dyDescent="0.25">
      <c r="A935" s="33" t="s">
        <v>184</v>
      </c>
      <c r="B935" s="220">
        <v>908</v>
      </c>
      <c r="C935" s="221" t="s">
        <v>285</v>
      </c>
      <c r="D935" s="221" t="s">
        <v>264</v>
      </c>
      <c r="E935" s="218" t="s">
        <v>576</v>
      </c>
      <c r="F935" s="221" t="s">
        <v>185</v>
      </c>
      <c r="G935" s="7">
        <f>110+20+2977</f>
        <v>3107</v>
      </c>
      <c r="H935" s="7">
        <v>0</v>
      </c>
      <c r="I935" s="7">
        <f t="shared" ref="I935" si="931">110+20+2977</f>
        <v>3107</v>
      </c>
      <c r="J935" s="7">
        <f t="shared" ref="J935:L935" si="932">25+135</f>
        <v>160</v>
      </c>
      <c r="K935" s="7">
        <f t="shared" si="932"/>
        <v>160</v>
      </c>
      <c r="L935" s="7">
        <f t="shared" si="932"/>
        <v>160</v>
      </c>
      <c r="M935" s="7">
        <f>160+440+200-800</f>
        <v>0</v>
      </c>
      <c r="N935" s="7">
        <f>160+440+200-800</f>
        <v>0</v>
      </c>
      <c r="O935" s="27" t="e">
        <f t="shared" si="901"/>
        <v>#DIV/0!</v>
      </c>
    </row>
    <row r="936" spans="1:18" ht="15.75" x14ac:dyDescent="0.25">
      <c r="A936" s="26" t="s">
        <v>186</v>
      </c>
      <c r="B936" s="220">
        <v>908</v>
      </c>
      <c r="C936" s="221" t="s">
        <v>285</v>
      </c>
      <c r="D936" s="221" t="s">
        <v>264</v>
      </c>
      <c r="E936" s="218" t="s">
        <v>576</v>
      </c>
      <c r="F936" s="221" t="s">
        <v>196</v>
      </c>
      <c r="G936" s="7"/>
      <c r="H936" s="7"/>
      <c r="I936" s="7"/>
      <c r="J936" s="7"/>
      <c r="K936" s="7"/>
      <c r="L936" s="7"/>
      <c r="M936" s="7">
        <f>M937</f>
        <v>40.6</v>
      </c>
      <c r="N936" s="7">
        <f>N937</f>
        <v>40.6</v>
      </c>
      <c r="O936" s="27">
        <f t="shared" si="901"/>
        <v>100</v>
      </c>
    </row>
    <row r="937" spans="1:18" ht="15.75" x14ac:dyDescent="0.25">
      <c r="A937" s="26" t="s">
        <v>197</v>
      </c>
      <c r="B937" s="220">
        <v>908</v>
      </c>
      <c r="C937" s="221" t="s">
        <v>285</v>
      </c>
      <c r="D937" s="221" t="s">
        <v>264</v>
      </c>
      <c r="E937" s="218" t="s">
        <v>576</v>
      </c>
      <c r="F937" s="221" t="s">
        <v>198</v>
      </c>
      <c r="G937" s="7"/>
      <c r="H937" s="7"/>
      <c r="I937" s="7"/>
      <c r="J937" s="7"/>
      <c r="K937" s="7"/>
      <c r="L937" s="7"/>
      <c r="M937" s="7">
        <v>40.6</v>
      </c>
      <c r="N937" s="7">
        <v>40.6</v>
      </c>
      <c r="O937" s="27">
        <f t="shared" si="901"/>
        <v>100</v>
      </c>
    </row>
    <row r="938" spans="1:18" ht="15.75" x14ac:dyDescent="0.25">
      <c r="A938" s="47" t="s">
        <v>577</v>
      </c>
      <c r="B938" s="220">
        <v>908</v>
      </c>
      <c r="C938" s="221" t="s">
        <v>285</v>
      </c>
      <c r="D938" s="221" t="s">
        <v>264</v>
      </c>
      <c r="E938" s="218" t="s">
        <v>578</v>
      </c>
      <c r="F938" s="221"/>
      <c r="G938" s="27">
        <f>G939</f>
        <v>1389.8999999999999</v>
      </c>
      <c r="H938" s="27">
        <f>H939</f>
        <v>36.5</v>
      </c>
      <c r="I938" s="27">
        <f t="shared" ref="I938:L939" si="933">I939</f>
        <v>1389.8999999999999</v>
      </c>
      <c r="J938" s="27">
        <f t="shared" si="933"/>
        <v>40</v>
      </c>
      <c r="K938" s="27">
        <f t="shared" si="933"/>
        <v>40</v>
      </c>
      <c r="L938" s="27">
        <f t="shared" si="933"/>
        <v>40</v>
      </c>
      <c r="M938" s="27">
        <f>M939+M941</f>
        <v>1634.7</v>
      </c>
      <c r="N938" s="27">
        <f>N939+N941</f>
        <v>1031.5</v>
      </c>
      <c r="O938" s="27">
        <f t="shared" si="901"/>
        <v>63.100263045207072</v>
      </c>
    </row>
    <row r="939" spans="1:18" ht="31.5" x14ac:dyDescent="0.25">
      <c r="A939" s="33" t="s">
        <v>182</v>
      </c>
      <c r="B939" s="220">
        <v>908</v>
      </c>
      <c r="C939" s="221" t="s">
        <v>285</v>
      </c>
      <c r="D939" s="221" t="s">
        <v>264</v>
      </c>
      <c r="E939" s="218" t="s">
        <v>578</v>
      </c>
      <c r="F939" s="221" t="s">
        <v>183</v>
      </c>
      <c r="G939" s="27">
        <f>G940</f>
        <v>1389.8999999999999</v>
      </c>
      <c r="H939" s="27">
        <f>H940</f>
        <v>36.5</v>
      </c>
      <c r="I939" s="27">
        <f t="shared" si="933"/>
        <v>1389.8999999999999</v>
      </c>
      <c r="J939" s="27">
        <f t="shared" si="933"/>
        <v>40</v>
      </c>
      <c r="K939" s="27">
        <f t="shared" si="933"/>
        <v>40</v>
      </c>
      <c r="L939" s="27">
        <f t="shared" si="933"/>
        <v>40</v>
      </c>
      <c r="M939" s="27">
        <f>M940</f>
        <v>1633.9</v>
      </c>
      <c r="N939" s="27">
        <f>N940</f>
        <v>1030.7</v>
      </c>
      <c r="O939" s="27">
        <f t="shared" si="901"/>
        <v>63.082195972825751</v>
      </c>
    </row>
    <row r="940" spans="1:18" ht="47.25" x14ac:dyDescent="0.25">
      <c r="A940" s="33" t="s">
        <v>184</v>
      </c>
      <c r="B940" s="220">
        <v>908</v>
      </c>
      <c r="C940" s="221" t="s">
        <v>285</v>
      </c>
      <c r="D940" s="221" t="s">
        <v>264</v>
      </c>
      <c r="E940" s="218" t="s">
        <v>578</v>
      </c>
      <c r="F940" s="221" t="s">
        <v>185</v>
      </c>
      <c r="G940" s="7">
        <f>10+30+3534.6-2200+15.3</f>
        <v>1389.8999999999999</v>
      </c>
      <c r="H940" s="7">
        <v>36.5</v>
      </c>
      <c r="I940" s="7">
        <f t="shared" ref="I940" si="934">10+30+3534.6-2200+15.3</f>
        <v>1389.8999999999999</v>
      </c>
      <c r="J940" s="7">
        <f t="shared" ref="J940:L940" si="935">10+30</f>
        <v>40</v>
      </c>
      <c r="K940" s="7">
        <f t="shared" si="935"/>
        <v>40</v>
      </c>
      <c r="L940" s="7">
        <f t="shared" si="935"/>
        <v>40</v>
      </c>
      <c r="M940" s="7">
        <f>40+627+1150-637-0.8-630+390+300+194.7+200</f>
        <v>1633.9</v>
      </c>
      <c r="N940" s="7">
        <v>1030.7</v>
      </c>
      <c r="O940" s="27">
        <f t="shared" si="901"/>
        <v>63.082195972825751</v>
      </c>
      <c r="Q940" s="135"/>
      <c r="R940" s="135"/>
    </row>
    <row r="941" spans="1:18" ht="15.75" x14ac:dyDescent="0.25">
      <c r="A941" s="26" t="s">
        <v>186</v>
      </c>
      <c r="B941" s="220">
        <v>908</v>
      </c>
      <c r="C941" s="221" t="s">
        <v>285</v>
      </c>
      <c r="D941" s="221" t="s">
        <v>264</v>
      </c>
      <c r="E941" s="218" t="s">
        <v>578</v>
      </c>
      <c r="F941" s="221" t="s">
        <v>196</v>
      </c>
      <c r="G941" s="7"/>
      <c r="H941" s="7"/>
      <c r="I941" s="7"/>
      <c r="J941" s="7"/>
      <c r="K941" s="7"/>
      <c r="L941" s="7"/>
      <c r="M941" s="7">
        <f>M942</f>
        <v>0.8</v>
      </c>
      <c r="N941" s="7">
        <f>N942</f>
        <v>0.8</v>
      </c>
      <c r="O941" s="27">
        <f t="shared" si="901"/>
        <v>100</v>
      </c>
    </row>
    <row r="942" spans="1:18" ht="15.75" x14ac:dyDescent="0.25">
      <c r="A942" s="26" t="s">
        <v>797</v>
      </c>
      <c r="B942" s="220">
        <v>908</v>
      </c>
      <c r="C942" s="221" t="s">
        <v>285</v>
      </c>
      <c r="D942" s="221" t="s">
        <v>264</v>
      </c>
      <c r="E942" s="218" t="s">
        <v>578</v>
      </c>
      <c r="F942" s="221" t="s">
        <v>189</v>
      </c>
      <c r="G942" s="7"/>
      <c r="H942" s="7"/>
      <c r="I942" s="7"/>
      <c r="J942" s="7"/>
      <c r="K942" s="7"/>
      <c r="L942" s="7"/>
      <c r="M942" s="7">
        <v>0.8</v>
      </c>
      <c r="N942" s="7">
        <v>0.8</v>
      </c>
      <c r="O942" s="27">
        <f t="shared" si="901"/>
        <v>100</v>
      </c>
    </row>
    <row r="943" spans="1:18" ht="15.75" x14ac:dyDescent="0.25">
      <c r="A943" s="47" t="s">
        <v>579</v>
      </c>
      <c r="B943" s="220">
        <v>908</v>
      </c>
      <c r="C943" s="221" t="s">
        <v>285</v>
      </c>
      <c r="D943" s="221" t="s">
        <v>264</v>
      </c>
      <c r="E943" s="218" t="s">
        <v>580</v>
      </c>
      <c r="F943" s="221"/>
      <c r="G943" s="27">
        <f>G944</f>
        <v>159.10000000000002</v>
      </c>
      <c r="H943" s="27">
        <f>H944</f>
        <v>13.3</v>
      </c>
      <c r="I943" s="27">
        <f t="shared" ref="I943:L944" si="936">I944</f>
        <v>159.10000000000002</v>
      </c>
      <c r="J943" s="27">
        <f t="shared" si="936"/>
        <v>305</v>
      </c>
      <c r="K943" s="27">
        <f t="shared" si="936"/>
        <v>305</v>
      </c>
      <c r="L943" s="27">
        <f t="shared" si="936"/>
        <v>305</v>
      </c>
      <c r="M943" s="27">
        <f t="shared" ref="M943:N944" si="937">M944</f>
        <v>1240.3</v>
      </c>
      <c r="N943" s="27">
        <f t="shared" si="937"/>
        <v>481.5</v>
      </c>
      <c r="O943" s="27">
        <f t="shared" si="901"/>
        <v>38.821252922680003</v>
      </c>
    </row>
    <row r="944" spans="1:18" ht="31.5" x14ac:dyDescent="0.25">
      <c r="A944" s="33" t="s">
        <v>182</v>
      </c>
      <c r="B944" s="220">
        <v>908</v>
      </c>
      <c r="C944" s="221" t="s">
        <v>285</v>
      </c>
      <c r="D944" s="221" t="s">
        <v>264</v>
      </c>
      <c r="E944" s="218" t="s">
        <v>580</v>
      </c>
      <c r="F944" s="221" t="s">
        <v>183</v>
      </c>
      <c r="G944" s="27">
        <f>G945</f>
        <v>159.10000000000002</v>
      </c>
      <c r="H944" s="27">
        <f>H945</f>
        <v>13.3</v>
      </c>
      <c r="I944" s="27">
        <f t="shared" si="936"/>
        <v>159.10000000000002</v>
      </c>
      <c r="J944" s="27">
        <f t="shared" si="936"/>
        <v>305</v>
      </c>
      <c r="K944" s="27">
        <f t="shared" si="936"/>
        <v>305</v>
      </c>
      <c r="L944" s="27">
        <f t="shared" si="936"/>
        <v>305</v>
      </c>
      <c r="M944" s="27">
        <f t="shared" si="937"/>
        <v>1240.3</v>
      </c>
      <c r="N944" s="27">
        <f t="shared" si="937"/>
        <v>481.5</v>
      </c>
      <c r="O944" s="27">
        <f t="shared" si="901"/>
        <v>38.821252922680003</v>
      </c>
    </row>
    <row r="945" spans="1:17" ht="47.25" x14ac:dyDescent="0.25">
      <c r="A945" s="33" t="s">
        <v>184</v>
      </c>
      <c r="B945" s="220">
        <v>908</v>
      </c>
      <c r="C945" s="221" t="s">
        <v>285</v>
      </c>
      <c r="D945" s="221" t="s">
        <v>264</v>
      </c>
      <c r="E945" s="218" t="s">
        <v>580</v>
      </c>
      <c r="F945" s="221" t="s">
        <v>185</v>
      </c>
      <c r="G945" s="7">
        <f>250+5+681.1-522-255</f>
        <v>159.10000000000002</v>
      </c>
      <c r="H945" s="7">
        <v>13.3</v>
      </c>
      <c r="I945" s="7">
        <f t="shared" ref="I945" si="938">250+5+681.1-522-255</f>
        <v>159.10000000000002</v>
      </c>
      <c r="J945" s="7">
        <f t="shared" ref="J945:L945" si="939">300+5</f>
        <v>305</v>
      </c>
      <c r="K945" s="7">
        <f t="shared" si="939"/>
        <v>305</v>
      </c>
      <c r="L945" s="7">
        <f t="shared" si="939"/>
        <v>305</v>
      </c>
      <c r="M945" s="7">
        <f>305+122+300+468+1361-131-300-194.7-200-490</f>
        <v>1240.3</v>
      </c>
      <c r="N945" s="7">
        <v>481.5</v>
      </c>
      <c r="O945" s="27">
        <f t="shared" si="901"/>
        <v>38.821252922680003</v>
      </c>
      <c r="Q945" s="135"/>
    </row>
    <row r="946" spans="1:17" ht="15.75" x14ac:dyDescent="0.25">
      <c r="A946" s="47" t="s">
        <v>581</v>
      </c>
      <c r="B946" s="220">
        <v>908</v>
      </c>
      <c r="C946" s="221" t="s">
        <v>285</v>
      </c>
      <c r="D946" s="221" t="s">
        <v>264</v>
      </c>
      <c r="E946" s="218" t="s">
        <v>582</v>
      </c>
      <c r="F946" s="221"/>
      <c r="G946" s="27">
        <f>G947</f>
        <v>272.89999999999998</v>
      </c>
      <c r="H946" s="27">
        <f>H947</f>
        <v>1.9</v>
      </c>
      <c r="I946" s="27">
        <f t="shared" ref="I946:L947" si="940">I947</f>
        <v>272.89999999999998</v>
      </c>
      <c r="J946" s="27">
        <f t="shared" si="940"/>
        <v>2</v>
      </c>
      <c r="K946" s="27">
        <f t="shared" si="940"/>
        <v>2</v>
      </c>
      <c r="L946" s="27">
        <f t="shared" si="940"/>
        <v>2</v>
      </c>
      <c r="M946" s="27">
        <f t="shared" ref="M946:N947" si="941">M947</f>
        <v>1631</v>
      </c>
      <c r="N946" s="27">
        <f t="shared" si="941"/>
        <v>130.4</v>
      </c>
      <c r="O946" s="27">
        <f t="shared" si="901"/>
        <v>7.9950950337216424</v>
      </c>
    </row>
    <row r="947" spans="1:17" ht="31.5" x14ac:dyDescent="0.25">
      <c r="A947" s="33" t="s">
        <v>182</v>
      </c>
      <c r="B947" s="220">
        <v>908</v>
      </c>
      <c r="C947" s="221" t="s">
        <v>285</v>
      </c>
      <c r="D947" s="221" t="s">
        <v>264</v>
      </c>
      <c r="E947" s="218" t="s">
        <v>582</v>
      </c>
      <c r="F947" s="221" t="s">
        <v>183</v>
      </c>
      <c r="G947" s="27">
        <f>G948</f>
        <v>272.89999999999998</v>
      </c>
      <c r="H947" s="27">
        <f>H948</f>
        <v>1.9</v>
      </c>
      <c r="I947" s="27">
        <f t="shared" si="940"/>
        <v>272.89999999999998</v>
      </c>
      <c r="J947" s="27">
        <f t="shared" si="940"/>
        <v>2</v>
      </c>
      <c r="K947" s="27">
        <f t="shared" si="940"/>
        <v>2</v>
      </c>
      <c r="L947" s="27">
        <f t="shared" si="940"/>
        <v>2</v>
      </c>
      <c r="M947" s="27">
        <f t="shared" si="941"/>
        <v>1631</v>
      </c>
      <c r="N947" s="27">
        <f t="shared" si="941"/>
        <v>130.4</v>
      </c>
      <c r="O947" s="27">
        <f t="shared" si="901"/>
        <v>7.9950950337216424</v>
      </c>
    </row>
    <row r="948" spans="1:17" ht="47.25" x14ac:dyDescent="0.25">
      <c r="A948" s="33" t="s">
        <v>184</v>
      </c>
      <c r="B948" s="220">
        <v>908</v>
      </c>
      <c r="C948" s="221" t="s">
        <v>285</v>
      </c>
      <c r="D948" s="221" t="s">
        <v>264</v>
      </c>
      <c r="E948" s="218" t="s">
        <v>582</v>
      </c>
      <c r="F948" s="221" t="s">
        <v>185</v>
      </c>
      <c r="G948" s="27">
        <f>2+286.2-15.3</f>
        <v>272.89999999999998</v>
      </c>
      <c r="H948" s="27">
        <v>1.9</v>
      </c>
      <c r="I948" s="27">
        <f t="shared" ref="I948" si="942">2+286.2-15.3</f>
        <v>272.89999999999998</v>
      </c>
      <c r="J948" s="27">
        <v>2</v>
      </c>
      <c r="K948" s="27">
        <v>2</v>
      </c>
      <c r="L948" s="27">
        <v>2</v>
      </c>
      <c r="M948" s="27">
        <f>2-2+131+450+1050</f>
        <v>1631</v>
      </c>
      <c r="N948" s="27">
        <v>130.4</v>
      </c>
      <c r="O948" s="27">
        <f t="shared" si="901"/>
        <v>7.9950950337216424</v>
      </c>
    </row>
    <row r="949" spans="1:17" ht="31.5" hidden="1" customHeight="1" x14ac:dyDescent="0.25">
      <c r="A949" s="210" t="s">
        <v>583</v>
      </c>
      <c r="B949" s="220">
        <v>908</v>
      </c>
      <c r="C949" s="221" t="s">
        <v>285</v>
      </c>
      <c r="D949" s="221" t="s">
        <v>264</v>
      </c>
      <c r="E949" s="218" t="s">
        <v>584</v>
      </c>
      <c r="F949" s="221"/>
      <c r="G949" s="27">
        <f>G950</f>
        <v>0</v>
      </c>
      <c r="H949" s="27">
        <v>0</v>
      </c>
      <c r="I949" s="27">
        <f t="shared" ref="I949:L950" si="943">I950</f>
        <v>0</v>
      </c>
      <c r="J949" s="27">
        <f t="shared" si="943"/>
        <v>0</v>
      </c>
      <c r="K949" s="27">
        <f t="shared" si="943"/>
        <v>0</v>
      </c>
      <c r="L949" s="27">
        <f t="shared" si="943"/>
        <v>0</v>
      </c>
      <c r="M949" s="27">
        <f t="shared" ref="M949:N950" si="944">M950</f>
        <v>0</v>
      </c>
      <c r="N949" s="27">
        <f t="shared" si="944"/>
        <v>0</v>
      </c>
      <c r="O949" s="27" t="e">
        <f t="shared" si="901"/>
        <v>#DIV/0!</v>
      </c>
    </row>
    <row r="950" spans="1:17" ht="31.5" hidden="1" customHeight="1" x14ac:dyDescent="0.25">
      <c r="A950" s="33" t="s">
        <v>182</v>
      </c>
      <c r="B950" s="220">
        <v>908</v>
      </c>
      <c r="C950" s="221" t="s">
        <v>285</v>
      </c>
      <c r="D950" s="221" t="s">
        <v>264</v>
      </c>
      <c r="E950" s="218" t="s">
        <v>584</v>
      </c>
      <c r="F950" s="221" t="s">
        <v>183</v>
      </c>
      <c r="G950" s="27">
        <f>G951</f>
        <v>0</v>
      </c>
      <c r="H950" s="27">
        <v>0</v>
      </c>
      <c r="I950" s="27">
        <f t="shared" si="943"/>
        <v>0</v>
      </c>
      <c r="J950" s="27">
        <f t="shared" si="943"/>
        <v>0</v>
      </c>
      <c r="K950" s="27">
        <f t="shared" si="943"/>
        <v>0</v>
      </c>
      <c r="L950" s="27">
        <f t="shared" si="943"/>
        <v>0</v>
      </c>
      <c r="M950" s="27">
        <f t="shared" si="944"/>
        <v>0</v>
      </c>
      <c r="N950" s="27">
        <f t="shared" si="944"/>
        <v>0</v>
      </c>
      <c r="O950" s="27" t="e">
        <f t="shared" si="901"/>
        <v>#DIV/0!</v>
      </c>
    </row>
    <row r="951" spans="1:17" ht="47.25" hidden="1" customHeight="1" x14ac:dyDescent="0.25">
      <c r="A951" s="33" t="s">
        <v>184</v>
      </c>
      <c r="B951" s="220">
        <v>908</v>
      </c>
      <c r="C951" s="221" t="s">
        <v>285</v>
      </c>
      <c r="D951" s="221" t="s">
        <v>264</v>
      </c>
      <c r="E951" s="218" t="s">
        <v>584</v>
      </c>
      <c r="F951" s="221" t="s">
        <v>185</v>
      </c>
      <c r="G951" s="27">
        <v>0</v>
      </c>
      <c r="H951" s="27">
        <v>0</v>
      </c>
      <c r="I951" s="27">
        <v>0</v>
      </c>
      <c r="J951" s="27">
        <v>0</v>
      </c>
      <c r="K951" s="27">
        <v>0</v>
      </c>
      <c r="L951" s="27">
        <v>0</v>
      </c>
      <c r="M951" s="27">
        <v>0</v>
      </c>
      <c r="N951" s="27">
        <v>0</v>
      </c>
      <c r="O951" s="27" t="e">
        <f t="shared" si="901"/>
        <v>#DIV/0!</v>
      </c>
    </row>
    <row r="952" spans="1:17" ht="15.75" hidden="1" x14ac:dyDescent="0.25">
      <c r="A952" s="210" t="s">
        <v>585</v>
      </c>
      <c r="B952" s="220">
        <v>908</v>
      </c>
      <c r="C952" s="221" t="s">
        <v>285</v>
      </c>
      <c r="D952" s="221" t="s">
        <v>264</v>
      </c>
      <c r="E952" s="218" t="s">
        <v>586</v>
      </c>
      <c r="F952" s="221"/>
      <c r="G952" s="27">
        <f>G953</f>
        <v>49</v>
      </c>
      <c r="H952" s="27">
        <f>H953</f>
        <v>10.1</v>
      </c>
      <c r="I952" s="27">
        <f t="shared" ref="I952:L953" si="945">I953</f>
        <v>49</v>
      </c>
      <c r="J952" s="27">
        <f t="shared" si="945"/>
        <v>10</v>
      </c>
      <c r="K952" s="27">
        <f t="shared" si="945"/>
        <v>10</v>
      </c>
      <c r="L952" s="27">
        <f t="shared" si="945"/>
        <v>10</v>
      </c>
      <c r="M952" s="27">
        <f t="shared" ref="M952:N953" si="946">M953</f>
        <v>0</v>
      </c>
      <c r="N952" s="27">
        <f t="shared" si="946"/>
        <v>0</v>
      </c>
      <c r="O952" s="27" t="e">
        <f t="shared" si="901"/>
        <v>#DIV/0!</v>
      </c>
    </row>
    <row r="953" spans="1:17" ht="31.5" hidden="1" x14ac:dyDescent="0.25">
      <c r="A953" s="26" t="s">
        <v>182</v>
      </c>
      <c r="B953" s="220">
        <v>908</v>
      </c>
      <c r="C953" s="221" t="s">
        <v>285</v>
      </c>
      <c r="D953" s="221" t="s">
        <v>264</v>
      </c>
      <c r="E953" s="218" t="s">
        <v>586</v>
      </c>
      <c r="F953" s="221" t="s">
        <v>183</v>
      </c>
      <c r="G953" s="27">
        <f>G954</f>
        <v>49</v>
      </c>
      <c r="H953" s="27">
        <f>H954</f>
        <v>10.1</v>
      </c>
      <c r="I953" s="27">
        <f t="shared" si="945"/>
        <v>49</v>
      </c>
      <c r="J953" s="27">
        <f t="shared" si="945"/>
        <v>10</v>
      </c>
      <c r="K953" s="27">
        <f t="shared" si="945"/>
        <v>10</v>
      </c>
      <c r="L953" s="27">
        <f t="shared" si="945"/>
        <v>10</v>
      </c>
      <c r="M953" s="27">
        <f t="shared" si="946"/>
        <v>0</v>
      </c>
      <c r="N953" s="27">
        <f t="shared" si="946"/>
        <v>0</v>
      </c>
      <c r="O953" s="27" t="e">
        <f t="shared" si="901"/>
        <v>#DIV/0!</v>
      </c>
    </row>
    <row r="954" spans="1:17" ht="47.25" hidden="1" x14ac:dyDescent="0.25">
      <c r="A954" s="26" t="s">
        <v>184</v>
      </c>
      <c r="B954" s="220">
        <v>908</v>
      </c>
      <c r="C954" s="221" t="s">
        <v>285</v>
      </c>
      <c r="D954" s="221" t="s">
        <v>264</v>
      </c>
      <c r="E954" s="218" t="s">
        <v>586</v>
      </c>
      <c r="F954" s="221" t="s">
        <v>185</v>
      </c>
      <c r="G954" s="27">
        <f>15+174-140</f>
        <v>49</v>
      </c>
      <c r="H954" s="27">
        <v>10.1</v>
      </c>
      <c r="I954" s="27">
        <f t="shared" ref="I954" si="947">15+174-140</f>
        <v>49</v>
      </c>
      <c r="J954" s="27">
        <v>10</v>
      </c>
      <c r="K954" s="27">
        <v>10</v>
      </c>
      <c r="L954" s="27">
        <v>10</v>
      </c>
      <c r="M954" s="27">
        <f>10-10</f>
        <v>0</v>
      </c>
      <c r="N954" s="27">
        <f>10-10</f>
        <v>0</v>
      </c>
      <c r="O954" s="27" t="e">
        <f t="shared" si="901"/>
        <v>#DIV/0!</v>
      </c>
    </row>
    <row r="955" spans="1:17" ht="15.75" x14ac:dyDescent="0.25">
      <c r="A955" s="26" t="s">
        <v>172</v>
      </c>
      <c r="B955" s="220">
        <v>908</v>
      </c>
      <c r="C955" s="218" t="s">
        <v>285</v>
      </c>
      <c r="D955" s="218" t="s">
        <v>264</v>
      </c>
      <c r="E955" s="218" t="s">
        <v>173</v>
      </c>
      <c r="F955" s="218"/>
      <c r="G955" s="27">
        <f>G956+G968</f>
        <v>48283.199999999997</v>
      </c>
      <c r="H955" s="27">
        <f>H956+H968</f>
        <v>8448.2000000000007</v>
      </c>
      <c r="I955" s="27">
        <f t="shared" ref="I955:L955" si="948">I956+I968</f>
        <v>38923.5</v>
      </c>
      <c r="J955" s="27">
        <f t="shared" si="948"/>
        <v>11416.3</v>
      </c>
      <c r="K955" s="27">
        <f t="shared" si="948"/>
        <v>11416.3</v>
      </c>
      <c r="L955" s="27">
        <f t="shared" si="948"/>
        <v>11416.3</v>
      </c>
      <c r="M955" s="27">
        <f t="shared" ref="M955:N955" si="949">M956+M968</f>
        <v>67618.3</v>
      </c>
      <c r="N955" s="27">
        <f t="shared" si="949"/>
        <v>42652.2</v>
      </c>
      <c r="O955" s="27">
        <f t="shared" si="901"/>
        <v>63.07789459362332</v>
      </c>
    </row>
    <row r="956" spans="1:17" ht="31.5" x14ac:dyDescent="0.25">
      <c r="A956" s="26" t="s">
        <v>236</v>
      </c>
      <c r="B956" s="220">
        <v>908</v>
      </c>
      <c r="C956" s="218" t="s">
        <v>285</v>
      </c>
      <c r="D956" s="218" t="s">
        <v>264</v>
      </c>
      <c r="E956" s="218" t="s">
        <v>237</v>
      </c>
      <c r="F956" s="218"/>
      <c r="G956" s="27">
        <f>G957+G960+G965</f>
        <v>25111.200000000001</v>
      </c>
      <c r="H956" s="27">
        <f>H957+H960+H965</f>
        <v>5518</v>
      </c>
      <c r="I956" s="27">
        <f t="shared" ref="I956:L956" si="950">I957+I960+I965</f>
        <v>25111.200000000001</v>
      </c>
      <c r="J956" s="27">
        <f t="shared" si="950"/>
        <v>0</v>
      </c>
      <c r="K956" s="27">
        <f t="shared" si="950"/>
        <v>0</v>
      </c>
      <c r="L956" s="27">
        <f t="shared" si="950"/>
        <v>0</v>
      </c>
      <c r="M956" s="27">
        <f t="shared" ref="M956:N956" si="951">M957+M960+M965</f>
        <v>16042</v>
      </c>
      <c r="N956" s="27">
        <f t="shared" si="951"/>
        <v>16042</v>
      </c>
      <c r="O956" s="27">
        <f t="shared" si="901"/>
        <v>100</v>
      </c>
    </row>
    <row r="957" spans="1:17" ht="47.25" hidden="1" x14ac:dyDescent="0.25">
      <c r="A957" s="126" t="s">
        <v>762</v>
      </c>
      <c r="B957" s="220">
        <v>908</v>
      </c>
      <c r="C957" s="218" t="s">
        <v>285</v>
      </c>
      <c r="D957" s="218" t="s">
        <v>264</v>
      </c>
      <c r="E957" s="218" t="s">
        <v>587</v>
      </c>
      <c r="F957" s="218"/>
      <c r="G957" s="27">
        <f>G958</f>
        <v>5000</v>
      </c>
      <c r="H957" s="27">
        <f>H958</f>
        <v>5000</v>
      </c>
      <c r="I957" s="27">
        <f t="shared" ref="I957:L958" si="952">I958</f>
        <v>5000</v>
      </c>
      <c r="J957" s="27">
        <f t="shared" si="952"/>
        <v>0</v>
      </c>
      <c r="K957" s="27">
        <f t="shared" si="952"/>
        <v>0</v>
      </c>
      <c r="L957" s="27">
        <f t="shared" si="952"/>
        <v>0</v>
      </c>
      <c r="M957" s="27">
        <f t="shared" ref="M957:N958" si="953">M958</f>
        <v>0</v>
      </c>
      <c r="N957" s="27">
        <f t="shared" si="953"/>
        <v>0</v>
      </c>
      <c r="O957" s="27" t="e">
        <f t="shared" si="901"/>
        <v>#DIV/0!</v>
      </c>
    </row>
    <row r="958" spans="1:17" ht="31.5" hidden="1" x14ac:dyDescent="0.25">
      <c r="A958" s="26" t="s">
        <v>182</v>
      </c>
      <c r="B958" s="220">
        <v>908</v>
      </c>
      <c r="C958" s="218" t="s">
        <v>285</v>
      </c>
      <c r="D958" s="218" t="s">
        <v>264</v>
      </c>
      <c r="E958" s="218" t="s">
        <v>587</v>
      </c>
      <c r="F958" s="218" t="s">
        <v>183</v>
      </c>
      <c r="G958" s="27">
        <f>G959</f>
        <v>5000</v>
      </c>
      <c r="H958" s="27">
        <f>H959</f>
        <v>5000</v>
      </c>
      <c r="I958" s="27">
        <f t="shared" si="952"/>
        <v>5000</v>
      </c>
      <c r="J958" s="27">
        <f t="shared" si="952"/>
        <v>0</v>
      </c>
      <c r="K958" s="27">
        <f t="shared" si="952"/>
        <v>0</v>
      </c>
      <c r="L958" s="27">
        <f t="shared" si="952"/>
        <v>0</v>
      </c>
      <c r="M958" s="27">
        <f t="shared" si="953"/>
        <v>0</v>
      </c>
      <c r="N958" s="27">
        <f t="shared" si="953"/>
        <v>0</v>
      </c>
      <c r="O958" s="27" t="e">
        <f t="shared" si="901"/>
        <v>#DIV/0!</v>
      </c>
    </row>
    <row r="959" spans="1:17" ht="47.25" hidden="1" x14ac:dyDescent="0.25">
      <c r="A959" s="26" t="s">
        <v>184</v>
      </c>
      <c r="B959" s="220">
        <v>908</v>
      </c>
      <c r="C959" s="218" t="s">
        <v>285</v>
      </c>
      <c r="D959" s="218" t="s">
        <v>264</v>
      </c>
      <c r="E959" s="218" t="s">
        <v>587</v>
      </c>
      <c r="F959" s="218" t="s">
        <v>185</v>
      </c>
      <c r="G959" s="27">
        <f>5000</f>
        <v>5000</v>
      </c>
      <c r="H959" s="27">
        <f>5000</f>
        <v>5000</v>
      </c>
      <c r="I959" s="27">
        <f>5000</f>
        <v>5000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 t="e">
        <f t="shared" si="901"/>
        <v>#DIV/0!</v>
      </c>
    </row>
    <row r="960" spans="1:17" ht="31.5" x14ac:dyDescent="0.25">
      <c r="A960" s="37" t="s">
        <v>768</v>
      </c>
      <c r="B960" s="220">
        <v>908</v>
      </c>
      <c r="C960" s="218" t="s">
        <v>285</v>
      </c>
      <c r="D960" s="218" t="s">
        <v>264</v>
      </c>
      <c r="E960" s="218" t="s">
        <v>588</v>
      </c>
      <c r="F960" s="218"/>
      <c r="G960" s="27">
        <f t="shared" ref="G960:L961" si="954">G961</f>
        <v>20000</v>
      </c>
      <c r="H960" s="27">
        <f t="shared" si="954"/>
        <v>518</v>
      </c>
      <c r="I960" s="27">
        <f t="shared" si="954"/>
        <v>20000</v>
      </c>
      <c r="J960" s="27">
        <f t="shared" si="954"/>
        <v>0</v>
      </c>
      <c r="K960" s="27">
        <f t="shared" si="954"/>
        <v>0</v>
      </c>
      <c r="L960" s="27">
        <f t="shared" si="954"/>
        <v>0</v>
      </c>
      <c r="M960" s="27">
        <f>M961+M963</f>
        <v>16042</v>
      </c>
      <c r="N960" s="27">
        <f>N961+N963</f>
        <v>16042</v>
      </c>
      <c r="O960" s="27">
        <f t="shared" si="901"/>
        <v>100</v>
      </c>
    </row>
    <row r="961" spans="1:21" ht="31.5" x14ac:dyDescent="0.25">
      <c r="A961" s="26" t="s">
        <v>182</v>
      </c>
      <c r="B961" s="220">
        <v>908</v>
      </c>
      <c r="C961" s="218" t="s">
        <v>285</v>
      </c>
      <c r="D961" s="218" t="s">
        <v>264</v>
      </c>
      <c r="E961" s="218" t="s">
        <v>588</v>
      </c>
      <c r="F961" s="218" t="s">
        <v>183</v>
      </c>
      <c r="G961" s="27">
        <f t="shared" si="954"/>
        <v>20000</v>
      </c>
      <c r="H961" s="27">
        <f t="shared" si="954"/>
        <v>518</v>
      </c>
      <c r="I961" s="27">
        <f t="shared" si="954"/>
        <v>20000</v>
      </c>
      <c r="J961" s="27">
        <f t="shared" si="954"/>
        <v>0</v>
      </c>
      <c r="K961" s="27">
        <f t="shared" si="954"/>
        <v>0</v>
      </c>
      <c r="L961" s="27">
        <f t="shared" si="954"/>
        <v>0</v>
      </c>
      <c r="M961" s="27">
        <f t="shared" ref="M961:N961" si="955">M962</f>
        <v>15905.43</v>
      </c>
      <c r="N961" s="27">
        <f t="shared" si="955"/>
        <v>15905.4</v>
      </c>
      <c r="O961" s="27">
        <f t="shared" si="901"/>
        <v>99.999811385168456</v>
      </c>
    </row>
    <row r="962" spans="1:21" ht="47.25" x14ac:dyDescent="0.25">
      <c r="A962" s="26" t="s">
        <v>184</v>
      </c>
      <c r="B962" s="220">
        <v>908</v>
      </c>
      <c r="C962" s="218" t="s">
        <v>285</v>
      </c>
      <c r="D962" s="218" t="s">
        <v>264</v>
      </c>
      <c r="E962" s="218" t="s">
        <v>588</v>
      </c>
      <c r="F962" s="218" t="s">
        <v>185</v>
      </c>
      <c r="G962" s="27">
        <v>20000</v>
      </c>
      <c r="H962" s="27">
        <v>518</v>
      </c>
      <c r="I962" s="27">
        <v>20000</v>
      </c>
      <c r="J962" s="27">
        <v>0</v>
      </c>
      <c r="K962" s="27">
        <v>0</v>
      </c>
      <c r="L962" s="27">
        <v>0</v>
      </c>
      <c r="M962" s="27">
        <f>4148.4-136.57+11893.6</f>
        <v>15905.43</v>
      </c>
      <c r="N962" s="27">
        <v>15905.4</v>
      </c>
      <c r="O962" s="27">
        <f t="shared" si="901"/>
        <v>99.999811385168456</v>
      </c>
    </row>
    <row r="963" spans="1:21" ht="15.75" x14ac:dyDescent="0.25">
      <c r="A963" s="26" t="s">
        <v>186</v>
      </c>
      <c r="B963" s="220">
        <v>908</v>
      </c>
      <c r="C963" s="218" t="s">
        <v>285</v>
      </c>
      <c r="D963" s="218" t="s">
        <v>264</v>
      </c>
      <c r="E963" s="218" t="s">
        <v>588</v>
      </c>
      <c r="F963" s="218" t="s">
        <v>196</v>
      </c>
      <c r="G963" s="27"/>
      <c r="H963" s="27"/>
      <c r="I963" s="27"/>
      <c r="J963" s="27"/>
      <c r="K963" s="27"/>
      <c r="L963" s="27"/>
      <c r="M963" s="27">
        <f>M964</f>
        <v>136.57</v>
      </c>
      <c r="N963" s="27">
        <f>N964</f>
        <v>136.6</v>
      </c>
      <c r="O963" s="27">
        <f t="shared" si="901"/>
        <v>100.02196675697445</v>
      </c>
    </row>
    <row r="964" spans="1:21" ht="15.75" x14ac:dyDescent="0.25">
      <c r="A964" s="26" t="s">
        <v>620</v>
      </c>
      <c r="B964" s="220">
        <v>908</v>
      </c>
      <c r="C964" s="218" t="s">
        <v>285</v>
      </c>
      <c r="D964" s="218" t="s">
        <v>264</v>
      </c>
      <c r="E964" s="218" t="s">
        <v>588</v>
      </c>
      <c r="F964" s="218" t="s">
        <v>189</v>
      </c>
      <c r="G964" s="27"/>
      <c r="H964" s="27"/>
      <c r="I964" s="27"/>
      <c r="J964" s="27"/>
      <c r="K964" s="27"/>
      <c r="L964" s="27"/>
      <c r="M964" s="27">
        <v>136.57</v>
      </c>
      <c r="N964" s="27">
        <v>136.6</v>
      </c>
      <c r="O964" s="27">
        <f t="shared" si="901"/>
        <v>100.02196675697445</v>
      </c>
    </row>
    <row r="965" spans="1:21" ht="47.25" hidden="1" x14ac:dyDescent="0.25">
      <c r="A965" s="26" t="s">
        <v>769</v>
      </c>
      <c r="B965" s="220">
        <v>908</v>
      </c>
      <c r="C965" s="218" t="s">
        <v>285</v>
      </c>
      <c r="D965" s="218" t="s">
        <v>264</v>
      </c>
      <c r="E965" s="218" t="s">
        <v>770</v>
      </c>
      <c r="F965" s="218"/>
      <c r="G965" s="27">
        <f>G966</f>
        <v>111.2</v>
      </c>
      <c r="H965" s="27">
        <f>H966</f>
        <v>0</v>
      </c>
      <c r="I965" s="27">
        <f t="shared" ref="I965:L966" si="956">I966</f>
        <v>111.2</v>
      </c>
      <c r="J965" s="27">
        <f t="shared" si="956"/>
        <v>0</v>
      </c>
      <c r="K965" s="27">
        <f t="shared" si="956"/>
        <v>0</v>
      </c>
      <c r="L965" s="27">
        <f t="shared" si="956"/>
        <v>0</v>
      </c>
      <c r="M965" s="27">
        <f t="shared" ref="M965:N966" si="957">M966</f>
        <v>0</v>
      </c>
      <c r="N965" s="27">
        <f t="shared" si="957"/>
        <v>0</v>
      </c>
      <c r="O965" s="27" t="e">
        <f t="shared" si="901"/>
        <v>#DIV/0!</v>
      </c>
    </row>
    <row r="966" spans="1:21" ht="31.5" hidden="1" x14ac:dyDescent="0.25">
      <c r="A966" s="26" t="s">
        <v>182</v>
      </c>
      <c r="B966" s="220">
        <v>908</v>
      </c>
      <c r="C966" s="218" t="s">
        <v>285</v>
      </c>
      <c r="D966" s="218" t="s">
        <v>264</v>
      </c>
      <c r="E966" s="218" t="s">
        <v>770</v>
      </c>
      <c r="F966" s="218" t="s">
        <v>183</v>
      </c>
      <c r="G966" s="27">
        <f>G967</f>
        <v>111.2</v>
      </c>
      <c r="H966" s="27">
        <f>H967</f>
        <v>0</v>
      </c>
      <c r="I966" s="27">
        <f t="shared" si="956"/>
        <v>111.2</v>
      </c>
      <c r="J966" s="27">
        <f t="shared" si="956"/>
        <v>0</v>
      </c>
      <c r="K966" s="27">
        <f t="shared" si="956"/>
        <v>0</v>
      </c>
      <c r="L966" s="27">
        <f t="shared" si="956"/>
        <v>0</v>
      </c>
      <c r="M966" s="27">
        <f t="shared" si="957"/>
        <v>0</v>
      </c>
      <c r="N966" s="27">
        <f t="shared" si="957"/>
        <v>0</v>
      </c>
      <c r="O966" s="27" t="e">
        <f t="shared" si="901"/>
        <v>#DIV/0!</v>
      </c>
    </row>
    <row r="967" spans="1:21" ht="47.25" hidden="1" x14ac:dyDescent="0.25">
      <c r="A967" s="26" t="s">
        <v>184</v>
      </c>
      <c r="B967" s="220">
        <v>908</v>
      </c>
      <c r="C967" s="218" t="s">
        <v>285</v>
      </c>
      <c r="D967" s="218" t="s">
        <v>264</v>
      </c>
      <c r="E967" s="218" t="s">
        <v>770</v>
      </c>
      <c r="F967" s="218" t="s">
        <v>185</v>
      </c>
      <c r="G967" s="27">
        <v>111.2</v>
      </c>
      <c r="H967" s="27">
        <v>0</v>
      </c>
      <c r="I967" s="27">
        <v>111.2</v>
      </c>
      <c r="J967" s="27">
        <v>0</v>
      </c>
      <c r="K967" s="27">
        <v>0</v>
      </c>
      <c r="L967" s="27">
        <v>0</v>
      </c>
      <c r="M967" s="27">
        <v>0</v>
      </c>
      <c r="N967" s="27">
        <v>0</v>
      </c>
      <c r="O967" s="27" t="e">
        <f t="shared" si="901"/>
        <v>#DIV/0!</v>
      </c>
    </row>
    <row r="968" spans="1:21" ht="15.75" x14ac:dyDescent="0.25">
      <c r="A968" s="26" t="s">
        <v>192</v>
      </c>
      <c r="B968" s="220">
        <v>908</v>
      </c>
      <c r="C968" s="218" t="s">
        <v>285</v>
      </c>
      <c r="D968" s="218" t="s">
        <v>264</v>
      </c>
      <c r="E968" s="218" t="s">
        <v>193</v>
      </c>
      <c r="F968" s="218"/>
      <c r="G968" s="27">
        <f>G969+G975</f>
        <v>23171.999999999996</v>
      </c>
      <c r="H968" s="27">
        <f>H969+H975</f>
        <v>2930.2000000000003</v>
      </c>
      <c r="I968" s="27">
        <f t="shared" ref="I968:L968" si="958">I969+I975</f>
        <v>13812.3</v>
      </c>
      <c r="J968" s="27">
        <f t="shared" si="958"/>
        <v>11416.3</v>
      </c>
      <c r="K968" s="27">
        <f t="shared" si="958"/>
        <v>11416.3</v>
      </c>
      <c r="L968" s="27">
        <f t="shared" si="958"/>
        <v>11416.3</v>
      </c>
      <c r="M968" s="27">
        <f>M969+M975+M980+M983+M986</f>
        <v>51576.3</v>
      </c>
      <c r="N968" s="27">
        <f>N969+N975+N980+N983+N986</f>
        <v>26610.2</v>
      </c>
      <c r="O968" s="27">
        <f t="shared" si="901"/>
        <v>51.59385221506777</v>
      </c>
    </row>
    <row r="969" spans="1:21" ht="31.5" x14ac:dyDescent="0.25">
      <c r="A969" s="37" t="s">
        <v>589</v>
      </c>
      <c r="B969" s="220">
        <v>908</v>
      </c>
      <c r="C969" s="218" t="s">
        <v>285</v>
      </c>
      <c r="D969" s="218" t="s">
        <v>264</v>
      </c>
      <c r="E969" s="218" t="s">
        <v>590</v>
      </c>
      <c r="F969" s="218"/>
      <c r="G969" s="27">
        <f>G970+G972</f>
        <v>20493.699999999997</v>
      </c>
      <c r="H969" s="27">
        <f>H970+H972</f>
        <v>251.9</v>
      </c>
      <c r="I969" s="27">
        <f t="shared" ref="I969:L969" si="959">I970+I972</f>
        <v>3493.7</v>
      </c>
      <c r="J969" s="27">
        <f t="shared" si="959"/>
        <v>0</v>
      </c>
      <c r="K969" s="27">
        <f t="shared" si="959"/>
        <v>0</v>
      </c>
      <c r="L969" s="27">
        <f t="shared" si="959"/>
        <v>0</v>
      </c>
      <c r="M969" s="27">
        <f t="shared" ref="M969:N969" si="960">M970+M972</f>
        <v>1725.8000000000015</v>
      </c>
      <c r="N969" s="27">
        <f t="shared" si="960"/>
        <v>0</v>
      </c>
      <c r="O969" s="27">
        <f t="shared" si="901"/>
        <v>0</v>
      </c>
    </row>
    <row r="970" spans="1:21" ht="31.5" x14ac:dyDescent="0.25">
      <c r="A970" s="26" t="s">
        <v>182</v>
      </c>
      <c r="B970" s="220">
        <v>908</v>
      </c>
      <c r="C970" s="218" t="s">
        <v>285</v>
      </c>
      <c r="D970" s="218" t="s">
        <v>264</v>
      </c>
      <c r="E970" s="218" t="s">
        <v>590</v>
      </c>
      <c r="F970" s="218" t="s">
        <v>183</v>
      </c>
      <c r="G970" s="27">
        <f>G971</f>
        <v>20462.099999999999</v>
      </c>
      <c r="H970" s="27">
        <f>H971</f>
        <v>251.9</v>
      </c>
      <c r="I970" s="27">
        <f t="shared" ref="I970:L970" si="961">I971</f>
        <v>3462.1</v>
      </c>
      <c r="J970" s="27">
        <f t="shared" si="961"/>
        <v>0</v>
      </c>
      <c r="K970" s="27">
        <f t="shared" si="961"/>
        <v>0</v>
      </c>
      <c r="L970" s="27">
        <f t="shared" si="961"/>
        <v>0</v>
      </c>
      <c r="M970" s="27">
        <f t="shared" ref="M970:N970" si="962">M971</f>
        <v>1725.8000000000015</v>
      </c>
      <c r="N970" s="27">
        <f t="shared" si="962"/>
        <v>0</v>
      </c>
      <c r="O970" s="27">
        <f t="shared" si="901"/>
        <v>0</v>
      </c>
    </row>
    <row r="971" spans="1:21" ht="45" customHeight="1" x14ac:dyDescent="0.25">
      <c r="A971" s="26" t="s">
        <v>184</v>
      </c>
      <c r="B971" s="220">
        <v>908</v>
      </c>
      <c r="C971" s="218" t="s">
        <v>285</v>
      </c>
      <c r="D971" s="218" t="s">
        <v>264</v>
      </c>
      <c r="E971" s="218" t="s">
        <v>590</v>
      </c>
      <c r="F971" s="218" t="s">
        <v>185</v>
      </c>
      <c r="G971" s="27">
        <f>10880-5000-2230+172.1+16500+140</f>
        <v>20462.099999999999</v>
      </c>
      <c r="H971" s="27">
        <v>251.9</v>
      </c>
      <c r="I971" s="27">
        <f>10880-5000-2230+172.1+140-500</f>
        <v>3462.1</v>
      </c>
      <c r="J971" s="27">
        <v>0</v>
      </c>
      <c r="K971" s="27">
        <v>0</v>
      </c>
      <c r="L971" s="27">
        <v>0</v>
      </c>
      <c r="M971" s="27">
        <f>17826-4117.5-515.3-40.6-1427.4-107.4-1525.6-450-1050-567.4-2000-140-1380.4-987.1-100-1691.5</f>
        <v>1725.8000000000015</v>
      </c>
      <c r="N971" s="27">
        <v>0</v>
      </c>
      <c r="O971" s="27">
        <f t="shared" si="901"/>
        <v>0</v>
      </c>
      <c r="Q971" s="135"/>
      <c r="R971" s="135"/>
      <c r="S971" s="135"/>
      <c r="T971" s="293"/>
      <c r="U971" s="293"/>
    </row>
    <row r="972" spans="1:21" ht="15.75" hidden="1" x14ac:dyDescent="0.25">
      <c r="A972" s="26" t="s">
        <v>186</v>
      </c>
      <c r="B972" s="220">
        <v>908</v>
      </c>
      <c r="C972" s="218" t="s">
        <v>285</v>
      </c>
      <c r="D972" s="218" t="s">
        <v>264</v>
      </c>
      <c r="E972" s="218" t="s">
        <v>590</v>
      </c>
      <c r="F972" s="218" t="s">
        <v>196</v>
      </c>
      <c r="G972" s="27">
        <f t="shared" ref="G972:L972" si="963">G973+G974</f>
        <v>31.6</v>
      </c>
      <c r="H972" s="27">
        <f t="shared" si="963"/>
        <v>0</v>
      </c>
      <c r="I972" s="27">
        <f t="shared" si="963"/>
        <v>31.6</v>
      </c>
      <c r="J972" s="27">
        <f t="shared" si="963"/>
        <v>0</v>
      </c>
      <c r="K972" s="27">
        <f t="shared" si="963"/>
        <v>0</v>
      </c>
      <c r="L972" s="27">
        <f t="shared" si="963"/>
        <v>0</v>
      </c>
      <c r="M972" s="27">
        <f t="shared" ref="M972:N972" si="964">M973+M974</f>
        <v>0</v>
      </c>
      <c r="N972" s="27">
        <f t="shared" si="964"/>
        <v>0</v>
      </c>
      <c r="O972" s="27" t="e">
        <f t="shared" ref="O972:O1035" si="965">N972/M972*100</f>
        <v>#DIV/0!</v>
      </c>
    </row>
    <row r="973" spans="1:21" ht="63" hidden="1" customHeight="1" x14ac:dyDescent="0.25">
      <c r="A973" s="26" t="s">
        <v>235</v>
      </c>
      <c r="B973" s="220">
        <v>908</v>
      </c>
      <c r="C973" s="218" t="s">
        <v>285</v>
      </c>
      <c r="D973" s="218" t="s">
        <v>264</v>
      </c>
      <c r="E973" s="218" t="s">
        <v>590</v>
      </c>
      <c r="F973" s="218" t="s">
        <v>211</v>
      </c>
      <c r="G973" s="27">
        <v>0</v>
      </c>
      <c r="H973" s="27">
        <v>0</v>
      </c>
      <c r="I973" s="27">
        <v>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 t="e">
        <f t="shared" si="965"/>
        <v>#DIV/0!</v>
      </c>
    </row>
    <row r="974" spans="1:21" ht="15.75" hidden="1" x14ac:dyDescent="0.25">
      <c r="A974" s="26" t="s">
        <v>620</v>
      </c>
      <c r="B974" s="220">
        <v>908</v>
      </c>
      <c r="C974" s="218" t="s">
        <v>285</v>
      </c>
      <c r="D974" s="218" t="s">
        <v>264</v>
      </c>
      <c r="E974" s="218" t="s">
        <v>590</v>
      </c>
      <c r="F974" s="218" t="s">
        <v>189</v>
      </c>
      <c r="G974" s="27">
        <v>31.6</v>
      </c>
      <c r="H974" s="27">
        <v>0</v>
      </c>
      <c r="I974" s="27">
        <v>31.6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 t="e">
        <f t="shared" si="965"/>
        <v>#DIV/0!</v>
      </c>
    </row>
    <row r="975" spans="1:21" ht="15.75" x14ac:dyDescent="0.25">
      <c r="A975" s="26" t="s">
        <v>591</v>
      </c>
      <c r="B975" s="220">
        <v>908</v>
      </c>
      <c r="C975" s="218" t="s">
        <v>285</v>
      </c>
      <c r="D975" s="218" t="s">
        <v>264</v>
      </c>
      <c r="E975" s="218" t="s">
        <v>592</v>
      </c>
      <c r="F975" s="218"/>
      <c r="G975" s="27">
        <f t="shared" ref="G975:L975" si="966">G978</f>
        <v>2678.3</v>
      </c>
      <c r="H975" s="27">
        <f t="shared" si="966"/>
        <v>2678.3</v>
      </c>
      <c r="I975" s="27">
        <f t="shared" si="966"/>
        <v>10318.6</v>
      </c>
      <c r="J975" s="27">
        <f t="shared" si="966"/>
        <v>11416.3</v>
      </c>
      <c r="K975" s="27">
        <f t="shared" si="966"/>
        <v>11416.3</v>
      </c>
      <c r="L975" s="27">
        <f t="shared" si="966"/>
        <v>11416.3</v>
      </c>
      <c r="M975" s="27">
        <f>M978+M976</f>
        <v>6883.2999999999993</v>
      </c>
      <c r="N975" s="27">
        <f>N978+N976</f>
        <v>3460.2</v>
      </c>
      <c r="O975" s="27">
        <f t="shared" si="965"/>
        <v>50.269492830473759</v>
      </c>
    </row>
    <row r="976" spans="1:21" ht="31.5" x14ac:dyDescent="0.25">
      <c r="A976" s="26" t="s">
        <v>182</v>
      </c>
      <c r="B976" s="220">
        <v>908</v>
      </c>
      <c r="C976" s="218" t="s">
        <v>285</v>
      </c>
      <c r="D976" s="218" t="s">
        <v>264</v>
      </c>
      <c r="E976" s="218" t="s">
        <v>592</v>
      </c>
      <c r="F976" s="218" t="s">
        <v>183</v>
      </c>
      <c r="G976" s="27"/>
      <c r="H976" s="27"/>
      <c r="I976" s="27"/>
      <c r="J976" s="27"/>
      <c r="K976" s="27"/>
      <c r="L976" s="27"/>
      <c r="M976" s="27">
        <f>M977</f>
        <v>5200</v>
      </c>
      <c r="N976" s="27">
        <f>N977</f>
        <v>3460.2</v>
      </c>
      <c r="O976" s="27">
        <f t="shared" si="965"/>
        <v>66.542307692307688</v>
      </c>
    </row>
    <row r="977" spans="1:16" ht="47.25" x14ac:dyDescent="0.25">
      <c r="A977" s="26" t="s">
        <v>184</v>
      </c>
      <c r="B977" s="220">
        <v>908</v>
      </c>
      <c r="C977" s="218" t="s">
        <v>285</v>
      </c>
      <c r="D977" s="218" t="s">
        <v>264</v>
      </c>
      <c r="E977" s="218" t="s">
        <v>592</v>
      </c>
      <c r="F977" s="218" t="s">
        <v>185</v>
      </c>
      <c r="G977" s="27"/>
      <c r="H977" s="27"/>
      <c r="I977" s="27"/>
      <c r="J977" s="27"/>
      <c r="K977" s="27"/>
      <c r="L977" s="27"/>
      <c r="M977" s="27">
        <f>5200</f>
        <v>5200</v>
      </c>
      <c r="N977" s="27">
        <v>3460.2</v>
      </c>
      <c r="O977" s="27">
        <f t="shared" si="965"/>
        <v>66.542307692307688</v>
      </c>
    </row>
    <row r="978" spans="1:16" ht="15.75" x14ac:dyDescent="0.25">
      <c r="A978" s="26" t="s">
        <v>186</v>
      </c>
      <c r="B978" s="220">
        <v>908</v>
      </c>
      <c r="C978" s="218" t="s">
        <v>285</v>
      </c>
      <c r="D978" s="218" t="s">
        <v>264</v>
      </c>
      <c r="E978" s="218" t="s">
        <v>592</v>
      </c>
      <c r="F978" s="218" t="s">
        <v>196</v>
      </c>
      <c r="G978" s="27">
        <f>G979</f>
        <v>2678.3</v>
      </c>
      <c r="H978" s="27">
        <f>H979</f>
        <v>2678.3</v>
      </c>
      <c r="I978" s="27">
        <f t="shared" ref="I978:L978" si="967">I979</f>
        <v>10318.6</v>
      </c>
      <c r="J978" s="27">
        <f t="shared" si="967"/>
        <v>11416.3</v>
      </c>
      <c r="K978" s="27">
        <f t="shared" si="967"/>
        <v>11416.3</v>
      </c>
      <c r="L978" s="27">
        <f t="shared" si="967"/>
        <v>11416.3</v>
      </c>
      <c r="M978" s="27">
        <f t="shared" ref="M978:N978" si="968">M979</f>
        <v>1683.2999999999993</v>
      </c>
      <c r="N978" s="27">
        <f t="shared" si="968"/>
        <v>0</v>
      </c>
      <c r="O978" s="27">
        <f t="shared" si="965"/>
        <v>0</v>
      </c>
    </row>
    <row r="979" spans="1:16" ht="15.75" x14ac:dyDescent="0.25">
      <c r="A979" s="26" t="s">
        <v>197</v>
      </c>
      <c r="B979" s="220">
        <v>908</v>
      </c>
      <c r="C979" s="218" t="s">
        <v>285</v>
      </c>
      <c r="D979" s="218" t="s">
        <v>264</v>
      </c>
      <c r="E979" s="218" t="s">
        <v>592</v>
      </c>
      <c r="F979" s="218" t="s">
        <v>198</v>
      </c>
      <c r="G979" s="27">
        <v>2678.3</v>
      </c>
      <c r="H979" s="27">
        <v>2678.3</v>
      </c>
      <c r="I979" s="27">
        <v>10318.6</v>
      </c>
      <c r="J979" s="27">
        <v>11416.3</v>
      </c>
      <c r="K979" s="27">
        <f>J979</f>
        <v>11416.3</v>
      </c>
      <c r="L979" s="27">
        <f>K979</f>
        <v>11416.3</v>
      </c>
      <c r="M979" s="27">
        <f>4283.3+4000-6600</f>
        <v>1683.2999999999993</v>
      </c>
      <c r="N979" s="27">
        <v>0</v>
      </c>
      <c r="O979" s="27">
        <f t="shared" si="965"/>
        <v>0</v>
      </c>
    </row>
    <row r="980" spans="1:16" ht="80.25" customHeight="1" x14ac:dyDescent="0.25">
      <c r="A980" s="26" t="s">
        <v>966</v>
      </c>
      <c r="B980" s="220">
        <v>908</v>
      </c>
      <c r="C980" s="218" t="s">
        <v>285</v>
      </c>
      <c r="D980" s="218" t="s">
        <v>264</v>
      </c>
      <c r="E980" s="218" t="s">
        <v>962</v>
      </c>
      <c r="F980" s="218"/>
      <c r="G980" s="27"/>
      <c r="H980" s="27"/>
      <c r="I980" s="27"/>
      <c r="J980" s="27"/>
      <c r="K980" s="27"/>
      <c r="L980" s="27"/>
      <c r="M980" s="27">
        <f>M981</f>
        <v>20000</v>
      </c>
      <c r="N980" s="27">
        <f>N981</f>
        <v>3650</v>
      </c>
      <c r="O980" s="27">
        <f t="shared" si="965"/>
        <v>18.25</v>
      </c>
    </row>
    <row r="981" spans="1:16" ht="31.5" x14ac:dyDescent="0.25">
      <c r="A981" s="26" t="s">
        <v>182</v>
      </c>
      <c r="B981" s="220">
        <v>908</v>
      </c>
      <c r="C981" s="218" t="s">
        <v>285</v>
      </c>
      <c r="D981" s="218" t="s">
        <v>264</v>
      </c>
      <c r="E981" s="218" t="s">
        <v>962</v>
      </c>
      <c r="F981" s="218" t="s">
        <v>183</v>
      </c>
      <c r="G981" s="27"/>
      <c r="H981" s="27"/>
      <c r="I981" s="27"/>
      <c r="J981" s="27"/>
      <c r="K981" s="27"/>
      <c r="L981" s="27"/>
      <c r="M981" s="27">
        <f>M982</f>
        <v>20000</v>
      </c>
      <c r="N981" s="27">
        <f>N982</f>
        <v>3650</v>
      </c>
      <c r="O981" s="27">
        <f t="shared" si="965"/>
        <v>18.25</v>
      </c>
    </row>
    <row r="982" spans="1:16" ht="47.25" x14ac:dyDescent="0.25">
      <c r="A982" s="26" t="s">
        <v>184</v>
      </c>
      <c r="B982" s="220">
        <v>908</v>
      </c>
      <c r="C982" s="218" t="s">
        <v>285</v>
      </c>
      <c r="D982" s="218" t="s">
        <v>264</v>
      </c>
      <c r="E982" s="218" t="s">
        <v>962</v>
      </c>
      <c r="F982" s="218" t="s">
        <v>185</v>
      </c>
      <c r="G982" s="27"/>
      <c r="H982" s="27"/>
      <c r="I982" s="27"/>
      <c r="J982" s="27"/>
      <c r="K982" s="27"/>
      <c r="L982" s="27"/>
      <c r="M982" s="27">
        <v>20000</v>
      </c>
      <c r="N982" s="27">
        <v>3650</v>
      </c>
      <c r="O982" s="27">
        <f t="shared" si="965"/>
        <v>18.25</v>
      </c>
    </row>
    <row r="983" spans="1:16" ht="63" x14ac:dyDescent="0.25">
      <c r="A983" s="26" t="s">
        <v>1003</v>
      </c>
      <c r="B983" s="220">
        <v>908</v>
      </c>
      <c r="C983" s="218" t="s">
        <v>285</v>
      </c>
      <c r="D983" s="218" t="s">
        <v>264</v>
      </c>
      <c r="E983" s="218" t="s">
        <v>987</v>
      </c>
      <c r="F983" s="218"/>
      <c r="G983" s="27"/>
      <c r="H983" s="27"/>
      <c r="I983" s="27"/>
      <c r="J983" s="27"/>
      <c r="K983" s="27"/>
      <c r="L983" s="27"/>
      <c r="M983" s="27">
        <f>M984</f>
        <v>2967.2</v>
      </c>
      <c r="N983" s="27">
        <f>N984</f>
        <v>0</v>
      </c>
      <c r="O983" s="27">
        <f t="shared" si="965"/>
        <v>0</v>
      </c>
    </row>
    <row r="984" spans="1:16" ht="31.5" x14ac:dyDescent="0.25">
      <c r="A984" s="26" t="s">
        <v>182</v>
      </c>
      <c r="B984" s="220">
        <v>908</v>
      </c>
      <c r="C984" s="218" t="s">
        <v>285</v>
      </c>
      <c r="D984" s="218" t="s">
        <v>264</v>
      </c>
      <c r="E984" s="218" t="s">
        <v>987</v>
      </c>
      <c r="F984" s="218" t="s">
        <v>183</v>
      </c>
      <c r="G984" s="27"/>
      <c r="H984" s="27"/>
      <c r="I984" s="27"/>
      <c r="J984" s="27"/>
      <c r="K984" s="27"/>
      <c r="L984" s="27"/>
      <c r="M984" s="27">
        <f>M985</f>
        <v>2967.2</v>
      </c>
      <c r="N984" s="27">
        <f>N985</f>
        <v>0</v>
      </c>
      <c r="O984" s="27">
        <f t="shared" si="965"/>
        <v>0</v>
      </c>
    </row>
    <row r="985" spans="1:16" ht="47.25" x14ac:dyDescent="0.25">
      <c r="A985" s="26" t="s">
        <v>184</v>
      </c>
      <c r="B985" s="220">
        <v>908</v>
      </c>
      <c r="C985" s="218" t="s">
        <v>285</v>
      </c>
      <c r="D985" s="218" t="s">
        <v>264</v>
      </c>
      <c r="E985" s="218" t="s">
        <v>987</v>
      </c>
      <c r="F985" s="218" t="s">
        <v>185</v>
      </c>
      <c r="G985" s="27"/>
      <c r="H985" s="27"/>
      <c r="I985" s="27"/>
      <c r="J985" s="27"/>
      <c r="K985" s="27"/>
      <c r="L985" s="27"/>
      <c r="M985" s="27">
        <v>2967.2</v>
      </c>
      <c r="N985" s="27">
        <v>0</v>
      </c>
      <c r="O985" s="27">
        <f t="shared" si="965"/>
        <v>0</v>
      </c>
    </row>
    <row r="986" spans="1:16" ht="81" customHeight="1" x14ac:dyDescent="0.25">
      <c r="A986" s="123" t="s">
        <v>1008</v>
      </c>
      <c r="B986" s="220">
        <v>908</v>
      </c>
      <c r="C986" s="218" t="s">
        <v>285</v>
      </c>
      <c r="D986" s="218" t="s">
        <v>264</v>
      </c>
      <c r="E986" s="218" t="s">
        <v>1009</v>
      </c>
      <c r="F986" s="218"/>
      <c r="G986" s="27"/>
      <c r="H986" s="27"/>
      <c r="I986" s="27"/>
      <c r="J986" s="27"/>
      <c r="K986" s="27"/>
      <c r="L986" s="27"/>
      <c r="M986" s="27">
        <f>M987</f>
        <v>20000</v>
      </c>
      <c r="N986" s="27">
        <f>N987</f>
        <v>19500</v>
      </c>
      <c r="O986" s="27">
        <f t="shared" si="965"/>
        <v>97.5</v>
      </c>
    </row>
    <row r="987" spans="1:16" ht="31.5" x14ac:dyDescent="0.25">
      <c r="A987" s="26" t="s">
        <v>182</v>
      </c>
      <c r="B987" s="220">
        <v>908</v>
      </c>
      <c r="C987" s="218" t="s">
        <v>285</v>
      </c>
      <c r="D987" s="218" t="s">
        <v>264</v>
      </c>
      <c r="E987" s="218" t="s">
        <v>1009</v>
      </c>
      <c r="F987" s="218" t="s">
        <v>183</v>
      </c>
      <c r="G987" s="27"/>
      <c r="H987" s="27"/>
      <c r="I987" s="27"/>
      <c r="J987" s="27"/>
      <c r="K987" s="27"/>
      <c r="L987" s="27"/>
      <c r="M987" s="27">
        <f>M988</f>
        <v>20000</v>
      </c>
      <c r="N987" s="27">
        <f>N988</f>
        <v>19500</v>
      </c>
      <c r="O987" s="27">
        <f t="shared" si="965"/>
        <v>97.5</v>
      </c>
    </row>
    <row r="988" spans="1:16" ht="47.25" x14ac:dyDescent="0.25">
      <c r="A988" s="26" t="s">
        <v>184</v>
      </c>
      <c r="B988" s="220">
        <v>908</v>
      </c>
      <c r="C988" s="218" t="s">
        <v>285</v>
      </c>
      <c r="D988" s="218" t="s">
        <v>264</v>
      </c>
      <c r="E988" s="218" t="s">
        <v>1009</v>
      </c>
      <c r="F988" s="218" t="s">
        <v>185</v>
      </c>
      <c r="G988" s="27"/>
      <c r="H988" s="27"/>
      <c r="I988" s="27"/>
      <c r="J988" s="27"/>
      <c r="K988" s="27"/>
      <c r="L988" s="27"/>
      <c r="M988" s="27">
        <v>20000</v>
      </c>
      <c r="N988" s="27">
        <v>19500</v>
      </c>
      <c r="O988" s="27">
        <f t="shared" si="965"/>
        <v>97.5</v>
      </c>
    </row>
    <row r="989" spans="1:16" ht="15.75" x14ac:dyDescent="0.25">
      <c r="A989" s="24" t="s">
        <v>593</v>
      </c>
      <c r="B989" s="217">
        <v>908</v>
      </c>
      <c r="C989" s="219" t="s">
        <v>285</v>
      </c>
      <c r="D989" s="219" t="s">
        <v>266</v>
      </c>
      <c r="E989" s="219"/>
      <c r="F989" s="219"/>
      <c r="G989" s="22">
        <f>G990++G1025+G1021</f>
        <v>25464.6</v>
      </c>
      <c r="H989" s="22">
        <f t="shared" ref="H989:L989" si="969">H990++H1025+H1021</f>
        <v>4826.6000000000004</v>
      </c>
      <c r="I989" s="22">
        <f t="shared" si="969"/>
        <v>16228</v>
      </c>
      <c r="J989" s="22">
        <f t="shared" si="969"/>
        <v>19935.400000000001</v>
      </c>
      <c r="K989" s="22">
        <f t="shared" si="969"/>
        <v>20104</v>
      </c>
      <c r="L989" s="22">
        <f t="shared" si="969"/>
        <v>22018.100000000002</v>
      </c>
      <c r="M989" s="22">
        <f>M990++M1025+M1021</f>
        <v>26098.479999999996</v>
      </c>
      <c r="N989" s="22">
        <f>N990++N1025+N1021</f>
        <v>4434.3</v>
      </c>
      <c r="O989" s="22">
        <f t="shared" si="965"/>
        <v>16.990644665896255</v>
      </c>
    </row>
    <row r="990" spans="1:16" ht="47.25" x14ac:dyDescent="0.25">
      <c r="A990" s="26" t="s">
        <v>594</v>
      </c>
      <c r="B990" s="220">
        <v>908</v>
      </c>
      <c r="C990" s="218" t="s">
        <v>285</v>
      </c>
      <c r="D990" s="218" t="s">
        <v>266</v>
      </c>
      <c r="E990" s="218" t="s">
        <v>595</v>
      </c>
      <c r="F990" s="218"/>
      <c r="G990" s="27">
        <f>G991+G1006</f>
        <v>12375.499999999998</v>
      </c>
      <c r="H990" s="27">
        <f>H991+H1006</f>
        <v>1616.6000000000001</v>
      </c>
      <c r="I990" s="27">
        <f t="shared" ref="I990:L990" si="970">I991+I1006</f>
        <v>3394.8</v>
      </c>
      <c r="J990" s="27">
        <f>J991+J1006</f>
        <v>16123</v>
      </c>
      <c r="K990" s="27">
        <f t="shared" si="970"/>
        <v>16291.599999999999</v>
      </c>
      <c r="L990" s="27">
        <f t="shared" si="970"/>
        <v>18205.7</v>
      </c>
      <c r="M990" s="27">
        <f>M991+M1006</f>
        <v>18293.899999999998</v>
      </c>
      <c r="N990" s="27">
        <f>N991+N1006</f>
        <v>3493.4</v>
      </c>
      <c r="O990" s="27">
        <f t="shared" si="965"/>
        <v>19.095982813943451</v>
      </c>
      <c r="P990" s="142"/>
    </row>
    <row r="991" spans="1:16" ht="47.25" x14ac:dyDescent="0.25">
      <c r="A991" s="26" t="s">
        <v>596</v>
      </c>
      <c r="B991" s="220">
        <v>908</v>
      </c>
      <c r="C991" s="218" t="s">
        <v>285</v>
      </c>
      <c r="D991" s="218" t="s">
        <v>266</v>
      </c>
      <c r="E991" s="218" t="s">
        <v>597</v>
      </c>
      <c r="F991" s="218"/>
      <c r="G991" s="27">
        <f>G992+G995+G1000</f>
        <v>8697.2999999999993</v>
      </c>
      <c r="H991" s="27">
        <f>H992+H995+H1000</f>
        <v>695.30000000000007</v>
      </c>
      <c r="I991" s="27">
        <f t="shared" ref="I991:L991" si="971">I992+I995+I1000</f>
        <v>1853.4</v>
      </c>
      <c r="J991" s="27">
        <f>J992+J995+J1000</f>
        <v>11055.8</v>
      </c>
      <c r="K991" s="27">
        <f t="shared" si="971"/>
        <v>10998</v>
      </c>
      <c r="L991" s="27">
        <f t="shared" si="971"/>
        <v>12675.6</v>
      </c>
      <c r="M991" s="27">
        <f>M992+M995+M1000+M1003</f>
        <v>13226.699999999999</v>
      </c>
      <c r="N991" s="27">
        <f>N992+N995+N1000+N1003</f>
        <v>3377</v>
      </c>
      <c r="O991" s="27">
        <f t="shared" si="965"/>
        <v>25.531689688282039</v>
      </c>
    </row>
    <row r="992" spans="1:16" ht="19.5" customHeight="1" x14ac:dyDescent="0.25">
      <c r="A992" s="26" t="s">
        <v>598</v>
      </c>
      <c r="B992" s="220">
        <v>908</v>
      </c>
      <c r="C992" s="218" t="s">
        <v>285</v>
      </c>
      <c r="D992" s="218" t="s">
        <v>266</v>
      </c>
      <c r="E992" s="218" t="s">
        <v>599</v>
      </c>
      <c r="F992" s="218"/>
      <c r="G992" s="27">
        <f>G993</f>
        <v>253.4</v>
      </c>
      <c r="H992" s="27">
        <f>H993</f>
        <v>250</v>
      </c>
      <c r="I992" s="27">
        <f t="shared" ref="I992:L993" si="972">I993</f>
        <v>253.4</v>
      </c>
      <c r="J992" s="27">
        <f t="shared" si="972"/>
        <v>356</v>
      </c>
      <c r="K992" s="27">
        <f t="shared" si="972"/>
        <v>371</v>
      </c>
      <c r="L992" s="27">
        <f t="shared" si="972"/>
        <v>378</v>
      </c>
      <c r="M992" s="27">
        <f t="shared" ref="M992:N993" si="973">M993</f>
        <v>356</v>
      </c>
      <c r="N992" s="27">
        <f t="shared" si="973"/>
        <v>0</v>
      </c>
      <c r="O992" s="27">
        <f t="shared" si="965"/>
        <v>0</v>
      </c>
    </row>
    <row r="993" spans="1:15" ht="31.5" x14ac:dyDescent="0.25">
      <c r="A993" s="26" t="s">
        <v>182</v>
      </c>
      <c r="B993" s="220">
        <v>908</v>
      </c>
      <c r="C993" s="218" t="s">
        <v>285</v>
      </c>
      <c r="D993" s="218" t="s">
        <v>266</v>
      </c>
      <c r="E993" s="218" t="s">
        <v>599</v>
      </c>
      <c r="F993" s="218" t="s">
        <v>183</v>
      </c>
      <c r="G993" s="27">
        <f>G994</f>
        <v>253.4</v>
      </c>
      <c r="H993" s="27">
        <f>H994</f>
        <v>250</v>
      </c>
      <c r="I993" s="27">
        <f t="shared" si="972"/>
        <v>253.4</v>
      </c>
      <c r="J993" s="27">
        <f t="shared" si="972"/>
        <v>356</v>
      </c>
      <c r="K993" s="27">
        <f t="shared" si="972"/>
        <v>371</v>
      </c>
      <c r="L993" s="27">
        <f t="shared" si="972"/>
        <v>378</v>
      </c>
      <c r="M993" s="27">
        <f t="shared" si="973"/>
        <v>356</v>
      </c>
      <c r="N993" s="27">
        <f t="shared" si="973"/>
        <v>0</v>
      </c>
      <c r="O993" s="27">
        <f t="shared" si="965"/>
        <v>0</v>
      </c>
    </row>
    <row r="994" spans="1:15" ht="47.25" x14ac:dyDescent="0.25">
      <c r="A994" s="26" t="s">
        <v>184</v>
      </c>
      <c r="B994" s="220">
        <v>908</v>
      </c>
      <c r="C994" s="218" t="s">
        <v>285</v>
      </c>
      <c r="D994" s="218" t="s">
        <v>266</v>
      </c>
      <c r="E994" s="218" t="s">
        <v>599</v>
      </c>
      <c r="F994" s="218" t="s">
        <v>185</v>
      </c>
      <c r="G994" s="27">
        <v>253.4</v>
      </c>
      <c r="H994" s="27">
        <v>250</v>
      </c>
      <c r="I994" s="27">
        <v>253.4</v>
      </c>
      <c r="J994" s="27">
        <v>356</v>
      </c>
      <c r="K994" s="27">
        <v>371</v>
      </c>
      <c r="L994" s="27">
        <v>378</v>
      </c>
      <c r="M994" s="27">
        <v>356</v>
      </c>
      <c r="N994" s="27">
        <v>0</v>
      </c>
      <c r="O994" s="27">
        <f t="shared" si="965"/>
        <v>0</v>
      </c>
    </row>
    <row r="995" spans="1:15" ht="15.75" x14ac:dyDescent="0.25">
      <c r="A995" s="26" t="s">
        <v>600</v>
      </c>
      <c r="B995" s="220">
        <v>908</v>
      </c>
      <c r="C995" s="218" t="s">
        <v>285</v>
      </c>
      <c r="D995" s="218" t="s">
        <v>266</v>
      </c>
      <c r="E995" s="218" t="s">
        <v>601</v>
      </c>
      <c r="F995" s="218"/>
      <c r="G995" s="27">
        <f>G996</f>
        <v>5258.6</v>
      </c>
      <c r="H995" s="27">
        <f>H996</f>
        <v>441.6</v>
      </c>
      <c r="I995" s="27">
        <f t="shared" ref="I995:L996" si="974">I996</f>
        <v>1500</v>
      </c>
      <c r="J995" s="27">
        <f t="shared" si="974"/>
        <v>6383</v>
      </c>
      <c r="K995" s="27">
        <f t="shared" si="974"/>
        <v>6266.6</v>
      </c>
      <c r="L995" s="27">
        <f t="shared" si="974"/>
        <v>6060</v>
      </c>
      <c r="M995" s="27">
        <f>M996+M998</f>
        <v>6383</v>
      </c>
      <c r="N995" s="27">
        <f>N996+N998</f>
        <v>1206</v>
      </c>
      <c r="O995" s="27">
        <f t="shared" si="965"/>
        <v>18.893937020209933</v>
      </c>
    </row>
    <row r="996" spans="1:15" ht="31.5" x14ac:dyDescent="0.25">
      <c r="A996" s="26" t="s">
        <v>182</v>
      </c>
      <c r="B996" s="220">
        <v>908</v>
      </c>
      <c r="C996" s="218" t="s">
        <v>285</v>
      </c>
      <c r="D996" s="218" t="s">
        <v>266</v>
      </c>
      <c r="E996" s="218" t="s">
        <v>601</v>
      </c>
      <c r="F996" s="218" t="s">
        <v>183</v>
      </c>
      <c r="G996" s="27">
        <f>G997</f>
        <v>5258.6</v>
      </c>
      <c r="H996" s="27">
        <f>H997</f>
        <v>441.6</v>
      </c>
      <c r="I996" s="27">
        <f t="shared" si="974"/>
        <v>1500</v>
      </c>
      <c r="J996" s="27">
        <f t="shared" si="974"/>
        <v>6383</v>
      </c>
      <c r="K996" s="27">
        <f t="shared" si="974"/>
        <v>6266.6</v>
      </c>
      <c r="L996" s="27">
        <f t="shared" si="974"/>
        <v>6060</v>
      </c>
      <c r="M996" s="27">
        <f t="shared" ref="M996:N996" si="975">M997</f>
        <v>6342.1</v>
      </c>
      <c r="N996" s="27">
        <f t="shared" si="975"/>
        <v>1168.5</v>
      </c>
      <c r="O996" s="27">
        <f t="shared" si="965"/>
        <v>18.424496617839516</v>
      </c>
    </row>
    <row r="997" spans="1:15" ht="47.25" x14ac:dyDescent="0.25">
      <c r="A997" s="26" t="s">
        <v>184</v>
      </c>
      <c r="B997" s="220">
        <v>908</v>
      </c>
      <c r="C997" s="218" t="s">
        <v>285</v>
      </c>
      <c r="D997" s="218" t="s">
        <v>266</v>
      </c>
      <c r="E997" s="218" t="s">
        <v>601</v>
      </c>
      <c r="F997" s="218" t="s">
        <v>185</v>
      </c>
      <c r="G997" s="27">
        <v>5258.6</v>
      </c>
      <c r="H997" s="27">
        <v>441.6</v>
      </c>
      <c r="I997" s="27">
        <v>1500</v>
      </c>
      <c r="J997" s="27">
        <v>6383</v>
      </c>
      <c r="K997" s="27">
        <v>6266.6</v>
      </c>
      <c r="L997" s="27">
        <v>6060</v>
      </c>
      <c r="M997" s="27">
        <f>6383-3.4-37.5</f>
        <v>6342.1</v>
      </c>
      <c r="N997" s="27">
        <v>1168.5</v>
      </c>
      <c r="O997" s="27">
        <f t="shared" si="965"/>
        <v>18.424496617839516</v>
      </c>
    </row>
    <row r="998" spans="1:15" ht="15.75" x14ac:dyDescent="0.25">
      <c r="A998" s="26" t="s">
        <v>186</v>
      </c>
      <c r="B998" s="220">
        <v>908</v>
      </c>
      <c r="C998" s="218" t="s">
        <v>285</v>
      </c>
      <c r="D998" s="218" t="s">
        <v>266</v>
      </c>
      <c r="E998" s="218" t="s">
        <v>601</v>
      </c>
      <c r="F998" s="218" t="s">
        <v>196</v>
      </c>
      <c r="G998" s="27"/>
      <c r="H998" s="27"/>
      <c r="I998" s="27"/>
      <c r="J998" s="27"/>
      <c r="K998" s="27"/>
      <c r="L998" s="27"/>
      <c r="M998" s="27">
        <f>M999</f>
        <v>40.9</v>
      </c>
      <c r="N998" s="27">
        <f>N999</f>
        <v>37.5</v>
      </c>
      <c r="O998" s="27">
        <f t="shared" si="965"/>
        <v>91.687041564792182</v>
      </c>
    </row>
    <row r="999" spans="1:15" ht="15.75" x14ac:dyDescent="0.25">
      <c r="A999" s="26" t="s">
        <v>620</v>
      </c>
      <c r="B999" s="220">
        <v>908</v>
      </c>
      <c r="C999" s="218" t="s">
        <v>285</v>
      </c>
      <c r="D999" s="218" t="s">
        <v>266</v>
      </c>
      <c r="E999" s="218" t="s">
        <v>601</v>
      </c>
      <c r="F999" s="218" t="s">
        <v>189</v>
      </c>
      <c r="G999" s="27"/>
      <c r="H999" s="27"/>
      <c r="I999" s="27"/>
      <c r="J999" s="27"/>
      <c r="K999" s="27"/>
      <c r="L999" s="27"/>
      <c r="M999" s="27">
        <f>3.4+37.5</f>
        <v>40.9</v>
      </c>
      <c r="N999" s="27">
        <v>37.5</v>
      </c>
      <c r="O999" s="27">
        <f t="shared" si="965"/>
        <v>91.687041564792182</v>
      </c>
    </row>
    <row r="1000" spans="1:15" ht="15.75" x14ac:dyDescent="0.25">
      <c r="A1000" s="26" t="s">
        <v>602</v>
      </c>
      <c r="B1000" s="220">
        <v>908</v>
      </c>
      <c r="C1000" s="218" t="s">
        <v>285</v>
      </c>
      <c r="D1000" s="218" t="s">
        <v>266</v>
      </c>
      <c r="E1000" s="218" t="s">
        <v>603</v>
      </c>
      <c r="F1000" s="218"/>
      <c r="G1000" s="27">
        <f>G1001</f>
        <v>3185.3</v>
      </c>
      <c r="H1000" s="27">
        <f>H1001</f>
        <v>3.7</v>
      </c>
      <c r="I1000" s="27">
        <f t="shared" ref="I1000:L1001" si="976">I1001</f>
        <v>100</v>
      </c>
      <c r="J1000" s="27">
        <f t="shared" si="976"/>
        <v>4316.8</v>
      </c>
      <c r="K1000" s="27">
        <f t="shared" si="976"/>
        <v>4360.3999999999996</v>
      </c>
      <c r="L1000" s="27">
        <f t="shared" si="976"/>
        <v>6237.6</v>
      </c>
      <c r="M1000" s="27">
        <f t="shared" ref="M1000:N1001" si="977">M1001</f>
        <v>4316.8</v>
      </c>
      <c r="N1000" s="27">
        <f t="shared" si="977"/>
        <v>0.1</v>
      </c>
      <c r="O1000" s="27">
        <f t="shared" si="965"/>
        <v>2.3165307635285397E-3</v>
      </c>
    </row>
    <row r="1001" spans="1:15" ht="31.5" x14ac:dyDescent="0.25">
      <c r="A1001" s="26" t="s">
        <v>182</v>
      </c>
      <c r="B1001" s="220">
        <v>908</v>
      </c>
      <c r="C1001" s="218" t="s">
        <v>285</v>
      </c>
      <c r="D1001" s="218" t="s">
        <v>266</v>
      </c>
      <c r="E1001" s="218" t="s">
        <v>603</v>
      </c>
      <c r="F1001" s="218" t="s">
        <v>183</v>
      </c>
      <c r="G1001" s="27">
        <f>G1002</f>
        <v>3185.3</v>
      </c>
      <c r="H1001" s="27">
        <f>H1002</f>
        <v>3.7</v>
      </c>
      <c r="I1001" s="27">
        <f t="shared" si="976"/>
        <v>100</v>
      </c>
      <c r="J1001" s="27">
        <f t="shared" si="976"/>
        <v>4316.8</v>
      </c>
      <c r="K1001" s="27">
        <f t="shared" si="976"/>
        <v>4360.3999999999996</v>
      </c>
      <c r="L1001" s="27">
        <f>L1002</f>
        <v>6237.6</v>
      </c>
      <c r="M1001" s="27">
        <f t="shared" si="977"/>
        <v>4316.8</v>
      </c>
      <c r="N1001" s="27">
        <f t="shared" si="977"/>
        <v>0.1</v>
      </c>
      <c r="O1001" s="27">
        <f t="shared" si="965"/>
        <v>2.3165307635285397E-3</v>
      </c>
    </row>
    <row r="1002" spans="1:15" ht="47.25" x14ac:dyDescent="0.25">
      <c r="A1002" s="26" t="s">
        <v>184</v>
      </c>
      <c r="B1002" s="220">
        <v>908</v>
      </c>
      <c r="C1002" s="218" t="s">
        <v>285</v>
      </c>
      <c r="D1002" s="218" t="s">
        <v>266</v>
      </c>
      <c r="E1002" s="218" t="s">
        <v>603</v>
      </c>
      <c r="F1002" s="218" t="s">
        <v>185</v>
      </c>
      <c r="G1002" s="27">
        <v>3185.3</v>
      </c>
      <c r="H1002" s="27">
        <v>3.7</v>
      </c>
      <c r="I1002" s="27">
        <v>100</v>
      </c>
      <c r="J1002" s="27">
        <v>4316.8</v>
      </c>
      <c r="K1002" s="27">
        <v>4360.3999999999996</v>
      </c>
      <c r="L1002" s="27">
        <v>6237.6</v>
      </c>
      <c r="M1002" s="27">
        <v>4316.8</v>
      </c>
      <c r="N1002" s="27">
        <v>0.1</v>
      </c>
      <c r="O1002" s="27">
        <f t="shared" si="965"/>
        <v>2.3165307635285397E-3</v>
      </c>
    </row>
    <row r="1003" spans="1:15" ht="31.5" x14ac:dyDescent="0.25">
      <c r="A1003" s="26" t="s">
        <v>613</v>
      </c>
      <c r="B1003" s="220">
        <v>908</v>
      </c>
      <c r="C1003" s="218" t="s">
        <v>285</v>
      </c>
      <c r="D1003" s="218" t="s">
        <v>266</v>
      </c>
      <c r="E1003" s="218" t="s">
        <v>972</v>
      </c>
      <c r="F1003" s="218"/>
      <c r="G1003" s="27"/>
      <c r="H1003" s="27"/>
      <c r="I1003" s="27"/>
      <c r="J1003" s="27"/>
      <c r="K1003" s="27"/>
      <c r="L1003" s="27"/>
      <c r="M1003" s="27">
        <f>M1004</f>
        <v>2170.9</v>
      </c>
      <c r="N1003" s="27">
        <f>N1004</f>
        <v>2170.9</v>
      </c>
      <c r="O1003" s="27">
        <f t="shared" si="965"/>
        <v>100</v>
      </c>
    </row>
    <row r="1004" spans="1:15" ht="31.5" x14ac:dyDescent="0.25">
      <c r="A1004" s="26" t="s">
        <v>182</v>
      </c>
      <c r="B1004" s="220">
        <v>908</v>
      </c>
      <c r="C1004" s="218" t="s">
        <v>285</v>
      </c>
      <c r="D1004" s="218" t="s">
        <v>266</v>
      </c>
      <c r="E1004" s="218" t="s">
        <v>972</v>
      </c>
      <c r="F1004" s="218" t="s">
        <v>183</v>
      </c>
      <c r="G1004" s="27"/>
      <c r="H1004" s="27"/>
      <c r="I1004" s="27"/>
      <c r="J1004" s="27"/>
      <c r="K1004" s="27"/>
      <c r="L1004" s="27"/>
      <c r="M1004" s="27">
        <f>M1005</f>
        <v>2170.9</v>
      </c>
      <c r="N1004" s="27">
        <f>N1005</f>
        <v>2170.9</v>
      </c>
      <c r="O1004" s="27">
        <f t="shared" si="965"/>
        <v>100</v>
      </c>
    </row>
    <row r="1005" spans="1:15" ht="47.25" x14ac:dyDescent="0.25">
      <c r="A1005" s="26" t="s">
        <v>184</v>
      </c>
      <c r="B1005" s="220">
        <v>908</v>
      </c>
      <c r="C1005" s="218" t="s">
        <v>285</v>
      </c>
      <c r="D1005" s="218" t="s">
        <v>266</v>
      </c>
      <c r="E1005" s="218" t="s">
        <v>972</v>
      </c>
      <c r="F1005" s="218" t="s">
        <v>185</v>
      </c>
      <c r="G1005" s="27"/>
      <c r="H1005" s="27"/>
      <c r="I1005" s="27"/>
      <c r="J1005" s="27"/>
      <c r="K1005" s="27"/>
      <c r="L1005" s="27"/>
      <c r="M1005" s="27">
        <v>2170.9</v>
      </c>
      <c r="N1005" s="27">
        <v>2170.9</v>
      </c>
      <c r="O1005" s="27">
        <f t="shared" si="965"/>
        <v>100</v>
      </c>
    </row>
    <row r="1006" spans="1:15" ht="47.25" x14ac:dyDescent="0.25">
      <c r="A1006" s="26" t="s">
        <v>604</v>
      </c>
      <c r="B1006" s="220">
        <v>908</v>
      </c>
      <c r="C1006" s="218" t="s">
        <v>285</v>
      </c>
      <c r="D1006" s="218" t="s">
        <v>266</v>
      </c>
      <c r="E1006" s="218" t="s">
        <v>605</v>
      </c>
      <c r="F1006" s="218"/>
      <c r="G1006" s="27">
        <f>G1007+G1012+G1015+G1018</f>
        <v>3678.1999999999994</v>
      </c>
      <c r="H1006" s="27">
        <f>H1007+H1012+H1015+H1018</f>
        <v>921.30000000000007</v>
      </c>
      <c r="I1006" s="27">
        <f t="shared" ref="I1006:L1006" si="978">I1007+I1012+I1015+I1018</f>
        <v>1541.4</v>
      </c>
      <c r="J1006" s="27">
        <f>J1007+J1012+J1015+J1018</f>
        <v>5067.2</v>
      </c>
      <c r="K1006" s="27">
        <f t="shared" si="978"/>
        <v>5293.5999999999995</v>
      </c>
      <c r="L1006" s="27">
        <f t="shared" si="978"/>
        <v>5530.0999999999995</v>
      </c>
      <c r="M1006" s="27">
        <f t="shared" ref="M1006:N1006" si="979">M1007+M1012+M1015+M1018</f>
        <v>5067.2</v>
      </c>
      <c r="N1006" s="27">
        <f t="shared" si="979"/>
        <v>116.39999999999999</v>
      </c>
      <c r="O1006" s="27">
        <f t="shared" si="965"/>
        <v>2.2971266182507102</v>
      </c>
    </row>
    <row r="1007" spans="1:15" ht="15.75" x14ac:dyDescent="0.25">
      <c r="A1007" s="26" t="s">
        <v>602</v>
      </c>
      <c r="B1007" s="220">
        <v>908</v>
      </c>
      <c r="C1007" s="218" t="s">
        <v>285</v>
      </c>
      <c r="D1007" s="218" t="s">
        <v>266</v>
      </c>
      <c r="E1007" s="218" t="s">
        <v>606</v>
      </c>
      <c r="F1007" s="218"/>
      <c r="G1007" s="27">
        <f>G1008+G1010</f>
        <v>1112.3999999999999</v>
      </c>
      <c r="H1007" s="27">
        <f>H1008+H1010</f>
        <v>672.2</v>
      </c>
      <c r="I1007" s="27">
        <f t="shared" ref="I1007:L1007" si="980">I1008+I1010</f>
        <v>992.8</v>
      </c>
      <c r="J1007" s="27">
        <f t="shared" si="980"/>
        <v>1364</v>
      </c>
      <c r="K1007" s="27">
        <f t="shared" si="980"/>
        <v>1430.3</v>
      </c>
      <c r="L1007" s="27">
        <f t="shared" si="980"/>
        <v>1500</v>
      </c>
      <c r="M1007" s="27">
        <f t="shared" ref="M1007:N1007" si="981">M1008+M1010</f>
        <v>1364</v>
      </c>
      <c r="N1007" s="27">
        <f t="shared" si="981"/>
        <v>101.3</v>
      </c>
      <c r="O1007" s="27">
        <f t="shared" si="965"/>
        <v>7.4266862170087977</v>
      </c>
    </row>
    <row r="1008" spans="1:15" ht="94.5" hidden="1" x14ac:dyDescent="0.25">
      <c r="A1008" s="26" t="s">
        <v>178</v>
      </c>
      <c r="B1008" s="220">
        <v>908</v>
      </c>
      <c r="C1008" s="218" t="s">
        <v>285</v>
      </c>
      <c r="D1008" s="218" t="s">
        <v>266</v>
      </c>
      <c r="E1008" s="218" t="s">
        <v>606</v>
      </c>
      <c r="F1008" s="218" t="s">
        <v>179</v>
      </c>
      <c r="G1008" s="27">
        <f>G1009</f>
        <v>892.8</v>
      </c>
      <c r="H1008" s="27">
        <f>H1009</f>
        <v>652.1</v>
      </c>
      <c r="I1008" s="27">
        <f t="shared" ref="I1008:L1008" si="982">I1009</f>
        <v>892.8</v>
      </c>
      <c r="J1008" s="27">
        <f t="shared" si="982"/>
        <v>0</v>
      </c>
      <c r="K1008" s="27">
        <f t="shared" si="982"/>
        <v>0</v>
      </c>
      <c r="L1008" s="27">
        <f t="shared" si="982"/>
        <v>0</v>
      </c>
      <c r="M1008" s="27">
        <f t="shared" ref="M1008:N1008" si="983">M1009</f>
        <v>0</v>
      </c>
      <c r="N1008" s="27">
        <f t="shared" si="983"/>
        <v>0</v>
      </c>
      <c r="O1008" s="27" t="e">
        <f t="shared" si="965"/>
        <v>#DIV/0!</v>
      </c>
    </row>
    <row r="1009" spans="1:15" ht="31.5" hidden="1" x14ac:dyDescent="0.25">
      <c r="A1009" s="48" t="s">
        <v>393</v>
      </c>
      <c r="B1009" s="220">
        <v>908</v>
      </c>
      <c r="C1009" s="218" t="s">
        <v>285</v>
      </c>
      <c r="D1009" s="218" t="s">
        <v>266</v>
      </c>
      <c r="E1009" s="218" t="s">
        <v>606</v>
      </c>
      <c r="F1009" s="218" t="s">
        <v>260</v>
      </c>
      <c r="G1009" s="27">
        <f>801.5+91.3</f>
        <v>892.8</v>
      </c>
      <c r="H1009" s="27">
        <v>652.1</v>
      </c>
      <c r="I1009" s="27">
        <f t="shared" ref="I1009" si="984">801.5+91.3</f>
        <v>892.8</v>
      </c>
      <c r="J1009" s="27">
        <v>0</v>
      </c>
      <c r="K1009" s="27">
        <v>0</v>
      </c>
      <c r="L1009" s="27">
        <v>0</v>
      </c>
      <c r="M1009" s="27">
        <v>0</v>
      </c>
      <c r="N1009" s="27">
        <v>0</v>
      </c>
      <c r="O1009" s="27" t="e">
        <f t="shared" si="965"/>
        <v>#DIV/0!</v>
      </c>
    </row>
    <row r="1010" spans="1:15" ht="31.5" x14ac:dyDescent="0.25">
      <c r="A1010" s="26" t="s">
        <v>182</v>
      </c>
      <c r="B1010" s="220">
        <v>908</v>
      </c>
      <c r="C1010" s="218" t="s">
        <v>285</v>
      </c>
      <c r="D1010" s="218" t="s">
        <v>266</v>
      </c>
      <c r="E1010" s="218" t="s">
        <v>606</v>
      </c>
      <c r="F1010" s="218" t="s">
        <v>183</v>
      </c>
      <c r="G1010" s="27">
        <f>G1011</f>
        <v>219.6</v>
      </c>
      <c r="H1010" s="27">
        <f>H1011</f>
        <v>20.100000000000001</v>
      </c>
      <c r="I1010" s="27">
        <f t="shared" ref="I1010:L1010" si="985">I1011</f>
        <v>100</v>
      </c>
      <c r="J1010" s="27">
        <f t="shared" si="985"/>
        <v>1364</v>
      </c>
      <c r="K1010" s="27">
        <f t="shared" si="985"/>
        <v>1430.3</v>
      </c>
      <c r="L1010" s="27">
        <f t="shared" si="985"/>
        <v>1500</v>
      </c>
      <c r="M1010" s="27">
        <f t="shared" ref="M1010:N1010" si="986">M1011</f>
        <v>1364</v>
      </c>
      <c r="N1010" s="27">
        <f t="shared" si="986"/>
        <v>101.3</v>
      </c>
      <c r="O1010" s="27">
        <f t="shared" si="965"/>
        <v>7.4266862170087977</v>
      </c>
    </row>
    <row r="1011" spans="1:15" ht="47.25" x14ac:dyDescent="0.25">
      <c r="A1011" s="26" t="s">
        <v>184</v>
      </c>
      <c r="B1011" s="220">
        <v>908</v>
      </c>
      <c r="C1011" s="218" t="s">
        <v>285</v>
      </c>
      <c r="D1011" s="218" t="s">
        <v>266</v>
      </c>
      <c r="E1011" s="218" t="s">
        <v>606</v>
      </c>
      <c r="F1011" s="218" t="s">
        <v>185</v>
      </c>
      <c r="G1011" s="27">
        <v>219.6</v>
      </c>
      <c r="H1011" s="27">
        <v>20.100000000000001</v>
      </c>
      <c r="I1011" s="27">
        <v>100</v>
      </c>
      <c r="J1011" s="27">
        <v>1364</v>
      </c>
      <c r="K1011" s="27">
        <v>1430.3</v>
      </c>
      <c r="L1011" s="27">
        <v>1500</v>
      </c>
      <c r="M1011" s="27">
        <v>1364</v>
      </c>
      <c r="N1011" s="27">
        <v>101.3</v>
      </c>
      <c r="O1011" s="27">
        <f t="shared" si="965"/>
        <v>7.4266862170087977</v>
      </c>
    </row>
    <row r="1012" spans="1:15" ht="15.75" x14ac:dyDescent="0.25">
      <c r="A1012" s="26" t="s">
        <v>607</v>
      </c>
      <c r="B1012" s="220">
        <v>908</v>
      </c>
      <c r="C1012" s="218" t="s">
        <v>285</v>
      </c>
      <c r="D1012" s="218" t="s">
        <v>266</v>
      </c>
      <c r="E1012" s="218" t="s">
        <v>608</v>
      </c>
      <c r="F1012" s="218"/>
      <c r="G1012" s="27">
        <f>G1013</f>
        <v>86.6</v>
      </c>
      <c r="H1012" s="27">
        <f>H1013</f>
        <v>0</v>
      </c>
      <c r="I1012" s="27">
        <f t="shared" ref="I1012:L1013" si="987">I1013</f>
        <v>0</v>
      </c>
      <c r="J1012" s="27">
        <f t="shared" si="987"/>
        <v>115.8</v>
      </c>
      <c r="K1012" s="27">
        <f t="shared" si="987"/>
        <v>121.6</v>
      </c>
      <c r="L1012" s="27">
        <f t="shared" si="987"/>
        <v>127.6</v>
      </c>
      <c r="M1012" s="27">
        <f t="shared" ref="M1012:N1013" si="988">M1013</f>
        <v>115.8</v>
      </c>
      <c r="N1012" s="27">
        <f t="shared" si="988"/>
        <v>0</v>
      </c>
      <c r="O1012" s="27">
        <f t="shared" si="965"/>
        <v>0</v>
      </c>
    </row>
    <row r="1013" spans="1:15" ht="31.5" x14ac:dyDescent="0.25">
      <c r="A1013" s="26" t="s">
        <v>182</v>
      </c>
      <c r="B1013" s="220">
        <v>908</v>
      </c>
      <c r="C1013" s="218" t="s">
        <v>285</v>
      </c>
      <c r="D1013" s="218" t="s">
        <v>266</v>
      </c>
      <c r="E1013" s="218" t="s">
        <v>608</v>
      </c>
      <c r="F1013" s="218" t="s">
        <v>183</v>
      </c>
      <c r="G1013" s="27">
        <f>G1014</f>
        <v>86.6</v>
      </c>
      <c r="H1013" s="27">
        <f>H1014</f>
        <v>0</v>
      </c>
      <c r="I1013" s="27">
        <f t="shared" si="987"/>
        <v>0</v>
      </c>
      <c r="J1013" s="27">
        <f t="shared" si="987"/>
        <v>115.8</v>
      </c>
      <c r="K1013" s="27">
        <f t="shared" si="987"/>
        <v>121.6</v>
      </c>
      <c r="L1013" s="27">
        <f t="shared" si="987"/>
        <v>127.6</v>
      </c>
      <c r="M1013" s="27">
        <f t="shared" si="988"/>
        <v>115.8</v>
      </c>
      <c r="N1013" s="27">
        <f t="shared" si="988"/>
        <v>0</v>
      </c>
      <c r="O1013" s="27">
        <f t="shared" si="965"/>
        <v>0</v>
      </c>
    </row>
    <row r="1014" spans="1:15" ht="47.25" x14ac:dyDescent="0.25">
      <c r="A1014" s="26" t="s">
        <v>184</v>
      </c>
      <c r="B1014" s="220">
        <v>908</v>
      </c>
      <c r="C1014" s="218" t="s">
        <v>285</v>
      </c>
      <c r="D1014" s="218" t="s">
        <v>266</v>
      </c>
      <c r="E1014" s="218" t="s">
        <v>608</v>
      </c>
      <c r="F1014" s="218" t="s">
        <v>185</v>
      </c>
      <c r="G1014" s="27">
        <v>86.6</v>
      </c>
      <c r="H1014" s="27">
        <v>0</v>
      </c>
      <c r="I1014" s="27">
        <v>0</v>
      </c>
      <c r="J1014" s="27">
        <v>115.8</v>
      </c>
      <c r="K1014" s="27">
        <v>121.6</v>
      </c>
      <c r="L1014" s="27">
        <v>127.6</v>
      </c>
      <c r="M1014" s="27">
        <v>115.8</v>
      </c>
      <c r="N1014" s="27">
        <v>0</v>
      </c>
      <c r="O1014" s="27">
        <f t="shared" si="965"/>
        <v>0</v>
      </c>
    </row>
    <row r="1015" spans="1:15" ht="47.25" x14ac:dyDescent="0.25">
      <c r="A1015" s="47" t="s">
        <v>609</v>
      </c>
      <c r="B1015" s="220">
        <v>908</v>
      </c>
      <c r="C1015" s="218" t="s">
        <v>285</v>
      </c>
      <c r="D1015" s="218" t="s">
        <v>266</v>
      </c>
      <c r="E1015" s="218" t="s">
        <v>610</v>
      </c>
      <c r="F1015" s="218"/>
      <c r="G1015" s="27">
        <f>G1016</f>
        <v>2130.6</v>
      </c>
      <c r="H1015" s="27">
        <f>H1016</f>
        <v>0</v>
      </c>
      <c r="I1015" s="27">
        <f t="shared" ref="I1015:L1016" si="989">I1016</f>
        <v>200</v>
      </c>
      <c r="J1015" s="27">
        <f t="shared" si="989"/>
        <v>3124.2</v>
      </c>
      <c r="K1015" s="27">
        <f t="shared" si="989"/>
        <v>3258.5</v>
      </c>
      <c r="L1015" s="27">
        <f t="shared" si="989"/>
        <v>3398.6</v>
      </c>
      <c r="M1015" s="27">
        <f t="shared" ref="M1015:N1016" si="990">M1016</f>
        <v>3124.2</v>
      </c>
      <c r="N1015" s="27">
        <f t="shared" si="990"/>
        <v>0</v>
      </c>
      <c r="O1015" s="27">
        <f t="shared" si="965"/>
        <v>0</v>
      </c>
    </row>
    <row r="1016" spans="1:15" ht="31.5" x14ac:dyDescent="0.25">
      <c r="A1016" s="26" t="s">
        <v>182</v>
      </c>
      <c r="B1016" s="220">
        <v>908</v>
      </c>
      <c r="C1016" s="218" t="s">
        <v>285</v>
      </c>
      <c r="D1016" s="218" t="s">
        <v>266</v>
      </c>
      <c r="E1016" s="218" t="s">
        <v>610</v>
      </c>
      <c r="F1016" s="218" t="s">
        <v>183</v>
      </c>
      <c r="G1016" s="27">
        <f>G1017</f>
        <v>2130.6</v>
      </c>
      <c r="H1016" s="27">
        <f>H1017</f>
        <v>0</v>
      </c>
      <c r="I1016" s="27">
        <f t="shared" si="989"/>
        <v>200</v>
      </c>
      <c r="J1016" s="27">
        <f t="shared" si="989"/>
        <v>3124.2</v>
      </c>
      <c r="K1016" s="27">
        <f t="shared" si="989"/>
        <v>3258.5</v>
      </c>
      <c r="L1016" s="27">
        <f t="shared" si="989"/>
        <v>3398.6</v>
      </c>
      <c r="M1016" s="27">
        <f t="shared" si="990"/>
        <v>3124.2</v>
      </c>
      <c r="N1016" s="27">
        <f t="shared" si="990"/>
        <v>0</v>
      </c>
      <c r="O1016" s="27">
        <f t="shared" si="965"/>
        <v>0</v>
      </c>
    </row>
    <row r="1017" spans="1:15" ht="47.25" x14ac:dyDescent="0.25">
      <c r="A1017" s="26" t="s">
        <v>184</v>
      </c>
      <c r="B1017" s="220">
        <v>908</v>
      </c>
      <c r="C1017" s="218" t="s">
        <v>285</v>
      </c>
      <c r="D1017" s="218" t="s">
        <v>266</v>
      </c>
      <c r="E1017" s="218" t="s">
        <v>610</v>
      </c>
      <c r="F1017" s="218" t="s">
        <v>185</v>
      </c>
      <c r="G1017" s="27">
        <v>2130.6</v>
      </c>
      <c r="H1017" s="27">
        <v>0</v>
      </c>
      <c r="I1017" s="27">
        <v>200</v>
      </c>
      <c r="J1017" s="27">
        <v>3124.2</v>
      </c>
      <c r="K1017" s="27">
        <v>3258.5</v>
      </c>
      <c r="L1017" s="27">
        <v>3398.6</v>
      </c>
      <c r="M1017" s="27">
        <v>3124.2</v>
      </c>
      <c r="N1017" s="27">
        <v>0</v>
      </c>
      <c r="O1017" s="27">
        <f t="shared" si="965"/>
        <v>0</v>
      </c>
    </row>
    <row r="1018" spans="1:15" ht="31.5" x14ac:dyDescent="0.25">
      <c r="A1018" s="47" t="s">
        <v>611</v>
      </c>
      <c r="B1018" s="220">
        <v>908</v>
      </c>
      <c r="C1018" s="218" t="s">
        <v>285</v>
      </c>
      <c r="D1018" s="218" t="s">
        <v>266</v>
      </c>
      <c r="E1018" s="218" t="s">
        <v>612</v>
      </c>
      <c r="F1018" s="218"/>
      <c r="G1018" s="27">
        <f>G1019</f>
        <v>348.6</v>
      </c>
      <c r="H1018" s="27">
        <f>H1019</f>
        <v>249.1</v>
      </c>
      <c r="I1018" s="27">
        <f t="shared" ref="I1018:L1019" si="991">I1019</f>
        <v>348.6</v>
      </c>
      <c r="J1018" s="27">
        <f t="shared" si="991"/>
        <v>463.2</v>
      </c>
      <c r="K1018" s="27">
        <f t="shared" si="991"/>
        <v>483.2</v>
      </c>
      <c r="L1018" s="27">
        <f t="shared" si="991"/>
        <v>503.9</v>
      </c>
      <c r="M1018" s="27">
        <f t="shared" ref="M1018:N1019" si="992">M1019</f>
        <v>463.2</v>
      </c>
      <c r="N1018" s="27">
        <f t="shared" si="992"/>
        <v>15.1</v>
      </c>
      <c r="O1018" s="27">
        <f t="shared" si="965"/>
        <v>3.2599309153713301</v>
      </c>
    </row>
    <row r="1019" spans="1:15" ht="31.5" x14ac:dyDescent="0.25">
      <c r="A1019" s="26" t="s">
        <v>182</v>
      </c>
      <c r="B1019" s="220">
        <v>908</v>
      </c>
      <c r="C1019" s="218" t="s">
        <v>285</v>
      </c>
      <c r="D1019" s="218" t="s">
        <v>266</v>
      </c>
      <c r="E1019" s="218" t="s">
        <v>612</v>
      </c>
      <c r="F1019" s="218" t="s">
        <v>183</v>
      </c>
      <c r="G1019" s="27">
        <f>G1020</f>
        <v>348.6</v>
      </c>
      <c r="H1019" s="27">
        <f>H1020</f>
        <v>249.1</v>
      </c>
      <c r="I1019" s="27">
        <f t="shared" si="991"/>
        <v>348.6</v>
      </c>
      <c r="J1019" s="27">
        <f t="shared" si="991"/>
        <v>463.2</v>
      </c>
      <c r="K1019" s="27">
        <f t="shared" si="991"/>
        <v>483.2</v>
      </c>
      <c r="L1019" s="27">
        <f t="shared" si="991"/>
        <v>503.9</v>
      </c>
      <c r="M1019" s="27">
        <f t="shared" si="992"/>
        <v>463.2</v>
      </c>
      <c r="N1019" s="27">
        <f t="shared" si="992"/>
        <v>15.1</v>
      </c>
      <c r="O1019" s="27">
        <f t="shared" si="965"/>
        <v>3.2599309153713301</v>
      </c>
    </row>
    <row r="1020" spans="1:15" ht="47.25" x14ac:dyDescent="0.25">
      <c r="A1020" s="26" t="s">
        <v>184</v>
      </c>
      <c r="B1020" s="220">
        <v>908</v>
      </c>
      <c r="C1020" s="218" t="s">
        <v>285</v>
      </c>
      <c r="D1020" s="218" t="s">
        <v>266</v>
      </c>
      <c r="E1020" s="218" t="s">
        <v>612</v>
      </c>
      <c r="F1020" s="218" t="s">
        <v>185</v>
      </c>
      <c r="G1020" s="27">
        <v>348.6</v>
      </c>
      <c r="H1020" s="27">
        <v>249.1</v>
      </c>
      <c r="I1020" s="27">
        <v>348.6</v>
      </c>
      <c r="J1020" s="27">
        <v>463.2</v>
      </c>
      <c r="K1020" s="27">
        <v>483.2</v>
      </c>
      <c r="L1020" s="27">
        <v>503.9</v>
      </c>
      <c r="M1020" s="27">
        <v>463.2</v>
      </c>
      <c r="N1020" s="27">
        <v>15.1</v>
      </c>
      <c r="O1020" s="27">
        <f t="shared" si="965"/>
        <v>3.2599309153713301</v>
      </c>
    </row>
    <row r="1021" spans="1:15" ht="63" x14ac:dyDescent="0.25">
      <c r="A1021" s="26" t="s">
        <v>1002</v>
      </c>
      <c r="B1021" s="220">
        <v>908</v>
      </c>
      <c r="C1021" s="218" t="s">
        <v>285</v>
      </c>
      <c r="D1021" s="218" t="s">
        <v>266</v>
      </c>
      <c r="E1021" s="218" t="s">
        <v>805</v>
      </c>
      <c r="F1021" s="218"/>
      <c r="G1021" s="27">
        <f>G1022</f>
        <v>600</v>
      </c>
      <c r="H1021" s="27">
        <f t="shared" ref="H1021:H1023" si="993">H1022</f>
        <v>0</v>
      </c>
      <c r="I1021" s="27">
        <f t="shared" ref="I1021:L1023" si="994">I1022</f>
        <v>600</v>
      </c>
      <c r="J1021" s="27">
        <f t="shared" si="994"/>
        <v>0</v>
      </c>
      <c r="K1021" s="27">
        <f t="shared" si="994"/>
        <v>0</v>
      </c>
      <c r="L1021" s="27">
        <f t="shared" si="994"/>
        <v>0</v>
      </c>
      <c r="M1021" s="27">
        <f t="shared" ref="M1021:N1023" si="995">M1022</f>
        <v>500</v>
      </c>
      <c r="N1021" s="27">
        <f t="shared" si="995"/>
        <v>399</v>
      </c>
      <c r="O1021" s="27">
        <f t="shared" si="965"/>
        <v>79.800000000000011</v>
      </c>
    </row>
    <row r="1022" spans="1:15" ht="31.5" x14ac:dyDescent="0.25">
      <c r="A1022" s="96" t="s">
        <v>804</v>
      </c>
      <c r="B1022" s="220">
        <v>908</v>
      </c>
      <c r="C1022" s="218" t="s">
        <v>285</v>
      </c>
      <c r="D1022" s="218" t="s">
        <v>266</v>
      </c>
      <c r="E1022" s="218" t="s">
        <v>806</v>
      </c>
      <c r="F1022" s="218"/>
      <c r="G1022" s="27">
        <f>G1023</f>
        <v>600</v>
      </c>
      <c r="H1022" s="27">
        <f t="shared" si="993"/>
        <v>0</v>
      </c>
      <c r="I1022" s="27">
        <f t="shared" si="994"/>
        <v>600</v>
      </c>
      <c r="J1022" s="27">
        <f t="shared" si="994"/>
        <v>0</v>
      </c>
      <c r="K1022" s="27">
        <f t="shared" si="994"/>
        <v>0</v>
      </c>
      <c r="L1022" s="27">
        <f t="shared" si="994"/>
        <v>0</v>
      </c>
      <c r="M1022" s="27">
        <f t="shared" si="995"/>
        <v>500</v>
      </c>
      <c r="N1022" s="27">
        <f t="shared" si="995"/>
        <v>399</v>
      </c>
      <c r="O1022" s="27">
        <f t="shared" si="965"/>
        <v>79.800000000000011</v>
      </c>
    </row>
    <row r="1023" spans="1:15" ht="31.5" x14ac:dyDescent="0.25">
      <c r="A1023" s="26" t="s">
        <v>182</v>
      </c>
      <c r="B1023" s="220">
        <v>908</v>
      </c>
      <c r="C1023" s="218" t="s">
        <v>285</v>
      </c>
      <c r="D1023" s="218" t="s">
        <v>266</v>
      </c>
      <c r="E1023" s="218" t="s">
        <v>806</v>
      </c>
      <c r="F1023" s="218" t="s">
        <v>183</v>
      </c>
      <c r="G1023" s="27">
        <f>G1024</f>
        <v>600</v>
      </c>
      <c r="H1023" s="27">
        <f t="shared" si="993"/>
        <v>0</v>
      </c>
      <c r="I1023" s="27">
        <f t="shared" si="994"/>
        <v>600</v>
      </c>
      <c r="J1023" s="27">
        <f t="shared" si="994"/>
        <v>0</v>
      </c>
      <c r="K1023" s="27">
        <f t="shared" si="994"/>
        <v>0</v>
      </c>
      <c r="L1023" s="27">
        <f t="shared" si="994"/>
        <v>0</v>
      </c>
      <c r="M1023" s="27">
        <f t="shared" si="995"/>
        <v>500</v>
      </c>
      <c r="N1023" s="27">
        <f t="shared" si="995"/>
        <v>399</v>
      </c>
      <c r="O1023" s="27">
        <f t="shared" si="965"/>
        <v>79.800000000000011</v>
      </c>
    </row>
    <row r="1024" spans="1:15" ht="47.25" x14ac:dyDescent="0.25">
      <c r="A1024" s="26" t="s">
        <v>184</v>
      </c>
      <c r="B1024" s="220">
        <v>908</v>
      </c>
      <c r="C1024" s="218" t="s">
        <v>285</v>
      </c>
      <c r="D1024" s="218" t="s">
        <v>266</v>
      </c>
      <c r="E1024" s="218" t="s">
        <v>806</v>
      </c>
      <c r="F1024" s="218" t="s">
        <v>185</v>
      </c>
      <c r="G1024" s="27">
        <v>600</v>
      </c>
      <c r="H1024" s="27">
        <v>0</v>
      </c>
      <c r="I1024" s="27">
        <v>600</v>
      </c>
      <c r="J1024" s="27">
        <v>0</v>
      </c>
      <c r="K1024" s="27">
        <v>0</v>
      </c>
      <c r="L1024" s="27">
        <v>0</v>
      </c>
      <c r="M1024" s="27">
        <v>500</v>
      </c>
      <c r="N1024" s="27">
        <v>399</v>
      </c>
      <c r="O1024" s="27">
        <f t="shared" si="965"/>
        <v>79.800000000000011</v>
      </c>
    </row>
    <row r="1025" spans="1:15" ht="15.75" x14ac:dyDescent="0.25">
      <c r="A1025" s="26" t="s">
        <v>172</v>
      </c>
      <c r="B1025" s="220">
        <v>908</v>
      </c>
      <c r="C1025" s="218" t="s">
        <v>285</v>
      </c>
      <c r="D1025" s="218" t="s">
        <v>266</v>
      </c>
      <c r="E1025" s="218" t="s">
        <v>173</v>
      </c>
      <c r="F1025" s="218"/>
      <c r="G1025" s="27">
        <f>G1026+G1039</f>
        <v>12489.099999999999</v>
      </c>
      <c r="H1025" s="27">
        <f>H1026+H1039</f>
        <v>3210</v>
      </c>
      <c r="I1025" s="27">
        <f t="shared" ref="I1025:L1025" si="996">I1026+I1039</f>
        <v>12233.199999999999</v>
      </c>
      <c r="J1025" s="27">
        <f t="shared" si="996"/>
        <v>3812.4</v>
      </c>
      <c r="K1025" s="27">
        <f t="shared" si="996"/>
        <v>3812.4</v>
      </c>
      <c r="L1025" s="27">
        <f t="shared" si="996"/>
        <v>3812.4</v>
      </c>
      <c r="M1025" s="27">
        <f t="shared" ref="M1025:N1025" si="997">M1026+M1039</f>
        <v>7304.58</v>
      </c>
      <c r="N1025" s="27">
        <f t="shared" si="997"/>
        <v>541.9</v>
      </c>
      <c r="O1025" s="27">
        <f t="shared" si="965"/>
        <v>7.4186332410624569</v>
      </c>
    </row>
    <row r="1026" spans="1:15" ht="31.5" x14ac:dyDescent="0.25">
      <c r="A1026" s="26" t="s">
        <v>236</v>
      </c>
      <c r="B1026" s="220">
        <v>908</v>
      </c>
      <c r="C1026" s="218" t="s">
        <v>285</v>
      </c>
      <c r="D1026" s="218" t="s">
        <v>266</v>
      </c>
      <c r="E1026" s="218" t="s">
        <v>237</v>
      </c>
      <c r="F1026" s="218"/>
      <c r="G1026" s="27">
        <f>G1027+G1030+G1033+G1036</f>
        <v>12033.199999999999</v>
      </c>
      <c r="H1026" s="27">
        <f>H1027+H1030+H1033+H1036</f>
        <v>3210</v>
      </c>
      <c r="I1026" s="27">
        <f t="shared" ref="I1026:L1026" si="998">I1027+I1030+I1033+I1036</f>
        <v>12033.199999999999</v>
      </c>
      <c r="J1026" s="27">
        <f t="shared" si="998"/>
        <v>0</v>
      </c>
      <c r="K1026" s="27">
        <f t="shared" si="998"/>
        <v>0</v>
      </c>
      <c r="L1026" s="27">
        <f t="shared" si="998"/>
        <v>0</v>
      </c>
      <c r="M1026" s="27">
        <f>M1027+M1030+M1033+M1036</f>
        <v>3809.08</v>
      </c>
      <c r="N1026" s="27">
        <f>N1027+N1030+N1033+N1036</f>
        <v>541.9</v>
      </c>
      <c r="O1026" s="27">
        <f t="shared" si="965"/>
        <v>14.226532391023555</v>
      </c>
    </row>
    <row r="1027" spans="1:15" ht="31.5" hidden="1" x14ac:dyDescent="0.25">
      <c r="A1027" s="26" t="s">
        <v>613</v>
      </c>
      <c r="B1027" s="220">
        <v>908</v>
      </c>
      <c r="C1027" s="218" t="s">
        <v>285</v>
      </c>
      <c r="D1027" s="218" t="s">
        <v>266</v>
      </c>
      <c r="E1027" s="218" t="s">
        <v>614</v>
      </c>
      <c r="F1027" s="218"/>
      <c r="G1027" s="27">
        <f>G1028</f>
        <v>6302.4</v>
      </c>
      <c r="H1027" s="27">
        <f>H1028</f>
        <v>3210</v>
      </c>
      <c r="I1027" s="27">
        <f t="shared" ref="I1027:L1028" si="999">I1028</f>
        <v>6302.4</v>
      </c>
      <c r="J1027" s="27">
        <f t="shared" si="999"/>
        <v>0</v>
      </c>
      <c r="K1027" s="27">
        <f t="shared" si="999"/>
        <v>0</v>
      </c>
      <c r="L1027" s="27">
        <f t="shared" si="999"/>
        <v>0</v>
      </c>
      <c r="M1027" s="27">
        <f t="shared" ref="M1027:N1028" si="1000">M1028</f>
        <v>0</v>
      </c>
      <c r="N1027" s="27">
        <f t="shared" si="1000"/>
        <v>0</v>
      </c>
      <c r="O1027" s="27" t="e">
        <f t="shared" si="965"/>
        <v>#DIV/0!</v>
      </c>
    </row>
    <row r="1028" spans="1:15" ht="31.5" hidden="1" x14ac:dyDescent="0.25">
      <c r="A1028" s="26" t="s">
        <v>182</v>
      </c>
      <c r="B1028" s="220">
        <v>908</v>
      </c>
      <c r="C1028" s="218" t="s">
        <v>285</v>
      </c>
      <c r="D1028" s="218" t="s">
        <v>266</v>
      </c>
      <c r="E1028" s="218" t="s">
        <v>614</v>
      </c>
      <c r="F1028" s="218" t="s">
        <v>183</v>
      </c>
      <c r="G1028" s="27">
        <f>G1029</f>
        <v>6302.4</v>
      </c>
      <c r="H1028" s="27">
        <f>H1029</f>
        <v>3210</v>
      </c>
      <c r="I1028" s="27">
        <f t="shared" si="999"/>
        <v>6302.4</v>
      </c>
      <c r="J1028" s="27">
        <f t="shared" si="999"/>
        <v>0</v>
      </c>
      <c r="K1028" s="27">
        <f t="shared" si="999"/>
        <v>0</v>
      </c>
      <c r="L1028" s="27">
        <f t="shared" si="999"/>
        <v>0</v>
      </c>
      <c r="M1028" s="27">
        <f t="shared" si="1000"/>
        <v>0</v>
      </c>
      <c r="N1028" s="27">
        <f t="shared" si="1000"/>
        <v>0</v>
      </c>
      <c r="O1028" s="27" t="e">
        <f t="shared" si="965"/>
        <v>#DIV/0!</v>
      </c>
    </row>
    <row r="1029" spans="1:15" ht="47.25" hidden="1" x14ac:dyDescent="0.25">
      <c r="A1029" s="26" t="s">
        <v>184</v>
      </c>
      <c r="B1029" s="220">
        <v>908</v>
      </c>
      <c r="C1029" s="218" t="s">
        <v>285</v>
      </c>
      <c r="D1029" s="218" t="s">
        <v>266</v>
      </c>
      <c r="E1029" s="218" t="s">
        <v>614</v>
      </c>
      <c r="F1029" s="218" t="s">
        <v>185</v>
      </c>
      <c r="G1029" s="27">
        <f>3907.3-814.9+3210</f>
        <v>6302.4</v>
      </c>
      <c r="H1029" s="27">
        <v>3210</v>
      </c>
      <c r="I1029" s="27">
        <f t="shared" ref="I1029" si="1001">3907.3-814.9+3210</f>
        <v>6302.4</v>
      </c>
      <c r="J1029" s="27">
        <v>0</v>
      </c>
      <c r="K1029" s="27">
        <v>0</v>
      </c>
      <c r="L1029" s="27">
        <v>0</v>
      </c>
      <c r="M1029" s="27">
        <f>1915.9+2170.9-2170.9+255-2170.9</f>
        <v>0</v>
      </c>
      <c r="N1029" s="27">
        <f>1915.9+2170.9-2170.9+255-2170.9</f>
        <v>0</v>
      </c>
      <c r="O1029" s="27" t="e">
        <f t="shared" si="965"/>
        <v>#DIV/0!</v>
      </c>
    </row>
    <row r="1030" spans="1:15" ht="47.25" x14ac:dyDescent="0.25">
      <c r="A1030" s="26" t="s">
        <v>771</v>
      </c>
      <c r="B1030" s="220">
        <v>908</v>
      </c>
      <c r="C1030" s="218" t="s">
        <v>285</v>
      </c>
      <c r="D1030" s="218" t="s">
        <v>266</v>
      </c>
      <c r="E1030" s="218" t="s">
        <v>772</v>
      </c>
      <c r="F1030" s="218"/>
      <c r="G1030" s="27">
        <f t="shared" ref="G1030:L1031" si="1002">G1031</f>
        <v>2132</v>
      </c>
      <c r="H1030" s="27">
        <f t="shared" si="1002"/>
        <v>0</v>
      </c>
      <c r="I1030" s="27">
        <f t="shared" si="1002"/>
        <v>2132</v>
      </c>
      <c r="J1030" s="27">
        <f t="shared" si="1002"/>
        <v>0</v>
      </c>
      <c r="K1030" s="27">
        <f t="shared" si="1002"/>
        <v>0</v>
      </c>
      <c r="L1030" s="27">
        <f t="shared" si="1002"/>
        <v>0</v>
      </c>
      <c r="M1030" s="27">
        <f t="shared" ref="M1030:N1031" si="1003">M1031</f>
        <v>2283.88</v>
      </c>
      <c r="N1030" s="27">
        <f t="shared" si="1003"/>
        <v>541.9</v>
      </c>
      <c r="O1030" s="27">
        <f t="shared" si="965"/>
        <v>23.727166050755731</v>
      </c>
    </row>
    <row r="1031" spans="1:15" ht="31.5" x14ac:dyDescent="0.25">
      <c r="A1031" s="26" t="s">
        <v>182</v>
      </c>
      <c r="B1031" s="220">
        <v>908</v>
      </c>
      <c r="C1031" s="218" t="s">
        <v>285</v>
      </c>
      <c r="D1031" s="218" t="s">
        <v>266</v>
      </c>
      <c r="E1031" s="218" t="s">
        <v>772</v>
      </c>
      <c r="F1031" s="218" t="s">
        <v>183</v>
      </c>
      <c r="G1031" s="27">
        <f t="shared" si="1002"/>
        <v>2132</v>
      </c>
      <c r="H1031" s="27">
        <f t="shared" si="1002"/>
        <v>0</v>
      </c>
      <c r="I1031" s="27">
        <f t="shared" si="1002"/>
        <v>2132</v>
      </c>
      <c r="J1031" s="27">
        <f t="shared" si="1002"/>
        <v>0</v>
      </c>
      <c r="K1031" s="27">
        <f t="shared" si="1002"/>
        <v>0</v>
      </c>
      <c r="L1031" s="27">
        <f t="shared" si="1002"/>
        <v>0</v>
      </c>
      <c r="M1031" s="27">
        <f t="shared" si="1003"/>
        <v>2283.88</v>
      </c>
      <c r="N1031" s="27">
        <f t="shared" si="1003"/>
        <v>541.9</v>
      </c>
      <c r="O1031" s="27">
        <f t="shared" si="965"/>
        <v>23.727166050755731</v>
      </c>
    </row>
    <row r="1032" spans="1:15" ht="47.25" x14ac:dyDescent="0.25">
      <c r="A1032" s="26" t="s">
        <v>184</v>
      </c>
      <c r="B1032" s="220">
        <v>908</v>
      </c>
      <c r="C1032" s="218" t="s">
        <v>285</v>
      </c>
      <c r="D1032" s="218" t="s">
        <v>266</v>
      </c>
      <c r="E1032" s="218" t="s">
        <v>772</v>
      </c>
      <c r="F1032" s="218" t="s">
        <v>185</v>
      </c>
      <c r="G1032" s="27">
        <v>2132</v>
      </c>
      <c r="H1032" s="27">
        <v>0</v>
      </c>
      <c r="I1032" s="27">
        <v>2132</v>
      </c>
      <c r="J1032" s="27">
        <v>0</v>
      </c>
      <c r="K1032" s="27">
        <v>0</v>
      </c>
      <c r="L1032" s="27">
        <v>0</v>
      </c>
      <c r="M1032" s="27">
        <f>976+1307.88</f>
        <v>2283.88</v>
      </c>
      <c r="N1032" s="27">
        <v>541.9</v>
      </c>
      <c r="O1032" s="27">
        <f t="shared" si="965"/>
        <v>23.727166050755731</v>
      </c>
    </row>
    <row r="1033" spans="1:15" ht="47.25" hidden="1" x14ac:dyDescent="0.25">
      <c r="A1033" s="26" t="s">
        <v>773</v>
      </c>
      <c r="B1033" s="220">
        <v>908</v>
      </c>
      <c r="C1033" s="218" t="s">
        <v>285</v>
      </c>
      <c r="D1033" s="218" t="s">
        <v>266</v>
      </c>
      <c r="E1033" s="218" t="s">
        <v>615</v>
      </c>
      <c r="F1033" s="218"/>
      <c r="G1033" s="27">
        <f t="shared" ref="G1033:L1034" si="1004">G1034</f>
        <v>2000</v>
      </c>
      <c r="H1033" s="27">
        <f t="shared" si="1004"/>
        <v>0</v>
      </c>
      <c r="I1033" s="27">
        <f t="shared" si="1004"/>
        <v>2000</v>
      </c>
      <c r="J1033" s="27">
        <f t="shared" si="1004"/>
        <v>0</v>
      </c>
      <c r="K1033" s="27">
        <f t="shared" si="1004"/>
        <v>0</v>
      </c>
      <c r="L1033" s="27">
        <f t="shared" si="1004"/>
        <v>0</v>
      </c>
      <c r="M1033" s="27">
        <f t="shared" ref="M1033:N1034" si="1005">M1034</f>
        <v>0</v>
      </c>
      <c r="N1033" s="27">
        <f t="shared" si="1005"/>
        <v>0</v>
      </c>
      <c r="O1033" s="27" t="e">
        <f t="shared" si="965"/>
        <v>#DIV/0!</v>
      </c>
    </row>
    <row r="1034" spans="1:15" ht="31.5" hidden="1" x14ac:dyDescent="0.25">
      <c r="A1034" s="26" t="s">
        <v>182</v>
      </c>
      <c r="B1034" s="220">
        <v>908</v>
      </c>
      <c r="C1034" s="218" t="s">
        <v>285</v>
      </c>
      <c r="D1034" s="218" t="s">
        <v>266</v>
      </c>
      <c r="E1034" s="218" t="s">
        <v>615</v>
      </c>
      <c r="F1034" s="218" t="s">
        <v>183</v>
      </c>
      <c r="G1034" s="27">
        <f t="shared" si="1004"/>
        <v>2000</v>
      </c>
      <c r="H1034" s="27">
        <f t="shared" si="1004"/>
        <v>0</v>
      </c>
      <c r="I1034" s="27">
        <f t="shared" si="1004"/>
        <v>2000</v>
      </c>
      <c r="J1034" s="27">
        <f t="shared" si="1004"/>
        <v>0</v>
      </c>
      <c r="K1034" s="27">
        <f t="shared" si="1004"/>
        <v>0</v>
      </c>
      <c r="L1034" s="27">
        <f t="shared" si="1004"/>
        <v>0</v>
      </c>
      <c r="M1034" s="27">
        <f t="shared" si="1005"/>
        <v>0</v>
      </c>
      <c r="N1034" s="27">
        <f t="shared" si="1005"/>
        <v>0</v>
      </c>
      <c r="O1034" s="27" t="e">
        <f t="shared" si="965"/>
        <v>#DIV/0!</v>
      </c>
    </row>
    <row r="1035" spans="1:15" ht="47.25" hidden="1" x14ac:dyDescent="0.25">
      <c r="A1035" s="26" t="s">
        <v>184</v>
      </c>
      <c r="B1035" s="220">
        <v>908</v>
      </c>
      <c r="C1035" s="218" t="s">
        <v>285</v>
      </c>
      <c r="D1035" s="218" t="s">
        <v>266</v>
      </c>
      <c r="E1035" s="218" t="s">
        <v>615</v>
      </c>
      <c r="F1035" s="218" t="s">
        <v>185</v>
      </c>
      <c r="G1035" s="27">
        <v>2000</v>
      </c>
      <c r="H1035" s="27">
        <v>0</v>
      </c>
      <c r="I1035" s="27">
        <v>2000</v>
      </c>
      <c r="J1035" s="27">
        <v>0</v>
      </c>
      <c r="K1035" s="27">
        <v>0</v>
      </c>
      <c r="L1035" s="27">
        <v>0</v>
      </c>
      <c r="M1035" s="27">
        <v>0</v>
      </c>
      <c r="N1035" s="27">
        <v>0</v>
      </c>
      <c r="O1035" s="27" t="e">
        <f t="shared" si="965"/>
        <v>#DIV/0!</v>
      </c>
    </row>
    <row r="1036" spans="1:15" ht="63" x14ac:dyDescent="0.25">
      <c r="A1036" s="26" t="s">
        <v>774</v>
      </c>
      <c r="B1036" s="220">
        <v>908</v>
      </c>
      <c r="C1036" s="218" t="s">
        <v>285</v>
      </c>
      <c r="D1036" s="218" t="s">
        <v>266</v>
      </c>
      <c r="E1036" s="218" t="s">
        <v>775</v>
      </c>
      <c r="F1036" s="218"/>
      <c r="G1036" s="27">
        <f>G1037</f>
        <v>1598.8</v>
      </c>
      <c r="H1036" s="27">
        <f>H1037</f>
        <v>0</v>
      </c>
      <c r="I1036" s="27">
        <f t="shared" ref="I1036:L1037" si="1006">I1037</f>
        <v>1598.8</v>
      </c>
      <c r="J1036" s="27">
        <f t="shared" si="1006"/>
        <v>0</v>
      </c>
      <c r="K1036" s="27">
        <f t="shared" si="1006"/>
        <v>0</v>
      </c>
      <c r="L1036" s="27">
        <f t="shared" si="1006"/>
        <v>0</v>
      </c>
      <c r="M1036" s="27">
        <f t="shared" ref="M1036:N1037" si="1007">M1037</f>
        <v>1525.2</v>
      </c>
      <c r="N1036" s="27">
        <f t="shared" si="1007"/>
        <v>0</v>
      </c>
      <c r="O1036" s="27">
        <f t="shared" ref="O1036:O1099" si="1008">N1036/M1036*100</f>
        <v>0</v>
      </c>
    </row>
    <row r="1037" spans="1:15" ht="31.5" x14ac:dyDescent="0.25">
      <c r="A1037" s="26" t="s">
        <v>182</v>
      </c>
      <c r="B1037" s="220">
        <v>908</v>
      </c>
      <c r="C1037" s="218" t="s">
        <v>285</v>
      </c>
      <c r="D1037" s="218" t="s">
        <v>266</v>
      </c>
      <c r="E1037" s="218" t="s">
        <v>775</v>
      </c>
      <c r="F1037" s="218" t="s">
        <v>183</v>
      </c>
      <c r="G1037" s="27">
        <f>G1038</f>
        <v>1598.8</v>
      </c>
      <c r="H1037" s="27">
        <f>H1038</f>
        <v>0</v>
      </c>
      <c r="I1037" s="27">
        <f t="shared" si="1006"/>
        <v>1598.8</v>
      </c>
      <c r="J1037" s="27">
        <f t="shared" si="1006"/>
        <v>0</v>
      </c>
      <c r="K1037" s="27">
        <f t="shared" si="1006"/>
        <v>0</v>
      </c>
      <c r="L1037" s="27">
        <f t="shared" si="1006"/>
        <v>0</v>
      </c>
      <c r="M1037" s="27">
        <f t="shared" si="1007"/>
        <v>1525.2</v>
      </c>
      <c r="N1037" s="27">
        <f t="shared" si="1007"/>
        <v>0</v>
      </c>
      <c r="O1037" s="27">
        <f t="shared" si="1008"/>
        <v>0</v>
      </c>
    </row>
    <row r="1038" spans="1:15" ht="47.25" x14ac:dyDescent="0.25">
      <c r="A1038" s="26" t="s">
        <v>184</v>
      </c>
      <c r="B1038" s="220">
        <v>908</v>
      </c>
      <c r="C1038" s="218" t="s">
        <v>285</v>
      </c>
      <c r="D1038" s="218" t="s">
        <v>266</v>
      </c>
      <c r="E1038" s="218" t="s">
        <v>775</v>
      </c>
      <c r="F1038" s="218" t="s">
        <v>185</v>
      </c>
      <c r="G1038" s="27">
        <v>1598.8</v>
      </c>
      <c r="H1038" s="27">
        <v>0</v>
      </c>
      <c r="I1038" s="27">
        <v>1598.8</v>
      </c>
      <c r="J1038" s="27">
        <v>0</v>
      </c>
      <c r="K1038" s="27">
        <v>0</v>
      </c>
      <c r="L1038" s="27">
        <v>0</v>
      </c>
      <c r="M1038" s="27">
        <v>1525.2</v>
      </c>
      <c r="N1038" s="27">
        <v>0</v>
      </c>
      <c r="O1038" s="27">
        <f t="shared" si="1008"/>
        <v>0</v>
      </c>
    </row>
    <row r="1039" spans="1:15" ht="15.75" x14ac:dyDescent="0.25">
      <c r="A1039" s="26" t="s">
        <v>192</v>
      </c>
      <c r="B1039" s="220">
        <v>908</v>
      </c>
      <c r="C1039" s="218" t="s">
        <v>285</v>
      </c>
      <c r="D1039" s="218" t="s">
        <v>266</v>
      </c>
      <c r="E1039" s="218" t="s">
        <v>193</v>
      </c>
      <c r="F1039" s="218"/>
      <c r="G1039" s="27">
        <f>G1040+G1043</f>
        <v>455.9</v>
      </c>
      <c r="H1039" s="27">
        <f t="shared" ref="H1039:H1041" si="1009">H1040</f>
        <v>0</v>
      </c>
      <c r="I1039" s="27">
        <f t="shared" ref="I1039:L1039" si="1010">I1040+I1043</f>
        <v>200</v>
      </c>
      <c r="J1039" s="27">
        <f>J1040+J1043</f>
        <v>3812.4</v>
      </c>
      <c r="K1039" s="27">
        <f t="shared" si="1010"/>
        <v>3812.4</v>
      </c>
      <c r="L1039" s="27">
        <f t="shared" si="1010"/>
        <v>3812.4</v>
      </c>
      <c r="M1039" s="27">
        <f>M1040+M1043+M1046</f>
        <v>3495.5</v>
      </c>
      <c r="N1039" s="27">
        <f>N1040+N1043+N1046</f>
        <v>0</v>
      </c>
      <c r="O1039" s="27">
        <f t="shared" si="1008"/>
        <v>0</v>
      </c>
    </row>
    <row r="1040" spans="1:15" ht="15.75" x14ac:dyDescent="0.25">
      <c r="A1040" s="26" t="s">
        <v>616</v>
      </c>
      <c r="B1040" s="220">
        <v>908</v>
      </c>
      <c r="C1040" s="218" t="s">
        <v>285</v>
      </c>
      <c r="D1040" s="218" t="s">
        <v>266</v>
      </c>
      <c r="E1040" s="218" t="s">
        <v>617</v>
      </c>
      <c r="F1040" s="218"/>
      <c r="G1040" s="27">
        <f>G1041</f>
        <v>455.9</v>
      </c>
      <c r="H1040" s="27">
        <f t="shared" si="1009"/>
        <v>0</v>
      </c>
      <c r="I1040" s="27">
        <f t="shared" ref="I1040:L1041" si="1011">I1041</f>
        <v>200</v>
      </c>
      <c r="J1040" s="27">
        <f t="shared" si="1011"/>
        <v>462.1</v>
      </c>
      <c r="K1040" s="27">
        <f t="shared" si="1011"/>
        <v>462.1</v>
      </c>
      <c r="L1040" s="27">
        <f t="shared" si="1011"/>
        <v>462.1</v>
      </c>
      <c r="M1040" s="27">
        <f t="shared" ref="M1040:N1041" si="1012">M1041</f>
        <v>390</v>
      </c>
      <c r="N1040" s="27">
        <f t="shared" si="1012"/>
        <v>0</v>
      </c>
      <c r="O1040" s="27">
        <f t="shared" si="1008"/>
        <v>0</v>
      </c>
    </row>
    <row r="1041" spans="1:15" ht="31.5" x14ac:dyDescent="0.25">
      <c r="A1041" s="26" t="s">
        <v>182</v>
      </c>
      <c r="B1041" s="220">
        <v>908</v>
      </c>
      <c r="C1041" s="218" t="s">
        <v>285</v>
      </c>
      <c r="D1041" s="218" t="s">
        <v>266</v>
      </c>
      <c r="E1041" s="218" t="s">
        <v>617</v>
      </c>
      <c r="F1041" s="218" t="s">
        <v>183</v>
      </c>
      <c r="G1041" s="27">
        <f>G1042</f>
        <v>455.9</v>
      </c>
      <c r="H1041" s="27">
        <f t="shared" si="1009"/>
        <v>0</v>
      </c>
      <c r="I1041" s="27">
        <f t="shared" si="1011"/>
        <v>200</v>
      </c>
      <c r="J1041" s="27">
        <f t="shared" si="1011"/>
        <v>462.1</v>
      </c>
      <c r="K1041" s="27">
        <f t="shared" si="1011"/>
        <v>462.1</v>
      </c>
      <c r="L1041" s="27">
        <f t="shared" si="1011"/>
        <v>462.1</v>
      </c>
      <c r="M1041" s="27">
        <f t="shared" si="1012"/>
        <v>390</v>
      </c>
      <c r="N1041" s="27">
        <f t="shared" si="1012"/>
        <v>0</v>
      </c>
      <c r="O1041" s="27">
        <f t="shared" si="1008"/>
        <v>0</v>
      </c>
    </row>
    <row r="1042" spans="1:15" ht="47.25" x14ac:dyDescent="0.25">
      <c r="A1042" s="26" t="s">
        <v>184</v>
      </c>
      <c r="B1042" s="220">
        <v>908</v>
      </c>
      <c r="C1042" s="218" t="s">
        <v>285</v>
      </c>
      <c r="D1042" s="218" t="s">
        <v>266</v>
      </c>
      <c r="E1042" s="218" t="s">
        <v>617</v>
      </c>
      <c r="F1042" s="218" t="s">
        <v>185</v>
      </c>
      <c r="G1042" s="28">
        <v>455.9</v>
      </c>
      <c r="H1042" s="28">
        <v>0</v>
      </c>
      <c r="I1042" s="28">
        <v>200</v>
      </c>
      <c r="J1042" s="28">
        <v>462.1</v>
      </c>
      <c r="K1042" s="28">
        <v>462.1</v>
      </c>
      <c r="L1042" s="28">
        <v>462.1</v>
      </c>
      <c r="M1042" s="28">
        <v>390</v>
      </c>
      <c r="N1042" s="28">
        <v>0</v>
      </c>
      <c r="O1042" s="27">
        <f t="shared" si="1008"/>
        <v>0</v>
      </c>
    </row>
    <row r="1043" spans="1:15" ht="15.75" hidden="1" customHeight="1" x14ac:dyDescent="0.25">
      <c r="A1043" s="26" t="s">
        <v>618</v>
      </c>
      <c r="B1043" s="220">
        <v>908</v>
      </c>
      <c r="C1043" s="218" t="s">
        <v>285</v>
      </c>
      <c r="D1043" s="218" t="s">
        <v>266</v>
      </c>
      <c r="E1043" s="218" t="s">
        <v>619</v>
      </c>
      <c r="F1043" s="218"/>
      <c r="G1043" s="28">
        <f t="shared" ref="G1043:L1044" si="1013">G1044</f>
        <v>0</v>
      </c>
      <c r="H1043" s="28">
        <v>0</v>
      </c>
      <c r="I1043" s="28">
        <f t="shared" si="1013"/>
        <v>0</v>
      </c>
      <c r="J1043" s="28">
        <f t="shared" si="1013"/>
        <v>3350.3</v>
      </c>
      <c r="K1043" s="28">
        <f t="shared" si="1013"/>
        <v>3350.3</v>
      </c>
      <c r="L1043" s="28">
        <f t="shared" si="1013"/>
        <v>3350.3</v>
      </c>
      <c r="M1043" s="28">
        <f t="shared" ref="M1043:N1044" si="1014">M1044</f>
        <v>0</v>
      </c>
      <c r="N1043" s="28">
        <f t="shared" si="1014"/>
        <v>0</v>
      </c>
      <c r="O1043" s="27" t="e">
        <f t="shared" si="1008"/>
        <v>#DIV/0!</v>
      </c>
    </row>
    <row r="1044" spans="1:15" ht="15.75" hidden="1" customHeight="1" x14ac:dyDescent="0.25">
      <c r="A1044" s="26" t="s">
        <v>186</v>
      </c>
      <c r="B1044" s="220">
        <v>908</v>
      </c>
      <c r="C1044" s="218" t="s">
        <v>285</v>
      </c>
      <c r="D1044" s="218" t="s">
        <v>266</v>
      </c>
      <c r="E1044" s="218" t="s">
        <v>619</v>
      </c>
      <c r="F1044" s="218" t="s">
        <v>196</v>
      </c>
      <c r="G1044" s="28">
        <f t="shared" si="1013"/>
        <v>0</v>
      </c>
      <c r="H1044" s="28">
        <v>0</v>
      </c>
      <c r="I1044" s="28">
        <f t="shared" si="1013"/>
        <v>0</v>
      </c>
      <c r="J1044" s="28">
        <f t="shared" si="1013"/>
        <v>3350.3</v>
      </c>
      <c r="K1044" s="28">
        <f t="shared" si="1013"/>
        <v>3350.3</v>
      </c>
      <c r="L1044" s="28">
        <f t="shared" si="1013"/>
        <v>3350.3</v>
      </c>
      <c r="M1044" s="28">
        <f t="shared" si="1014"/>
        <v>0</v>
      </c>
      <c r="N1044" s="28">
        <f t="shared" si="1014"/>
        <v>0</v>
      </c>
      <c r="O1044" s="27" t="e">
        <f t="shared" si="1008"/>
        <v>#DIV/0!</v>
      </c>
    </row>
    <row r="1045" spans="1:15" ht="15.75" hidden="1" customHeight="1" x14ac:dyDescent="0.25">
      <c r="A1045" s="26" t="s">
        <v>620</v>
      </c>
      <c r="B1045" s="220">
        <v>908</v>
      </c>
      <c r="C1045" s="218" t="s">
        <v>285</v>
      </c>
      <c r="D1045" s="218" t="s">
        <v>266</v>
      </c>
      <c r="E1045" s="218" t="s">
        <v>619</v>
      </c>
      <c r="F1045" s="218" t="s">
        <v>189</v>
      </c>
      <c r="G1045" s="28">
        <v>0</v>
      </c>
      <c r="H1045" s="28">
        <v>0</v>
      </c>
      <c r="I1045" s="28">
        <v>0</v>
      </c>
      <c r="J1045" s="28">
        <v>3350.3</v>
      </c>
      <c r="K1045" s="28">
        <v>3350.3</v>
      </c>
      <c r="L1045" s="28">
        <v>3350.3</v>
      </c>
      <c r="M1045" s="28">
        <v>0</v>
      </c>
      <c r="N1045" s="28">
        <v>0</v>
      </c>
      <c r="O1045" s="27" t="e">
        <f t="shared" si="1008"/>
        <v>#DIV/0!</v>
      </c>
    </row>
    <row r="1046" spans="1:15" ht="60.75" customHeight="1" x14ac:dyDescent="0.25">
      <c r="A1046" s="26" t="s">
        <v>994</v>
      </c>
      <c r="B1046" s="220">
        <v>908</v>
      </c>
      <c r="C1046" s="218" t="s">
        <v>285</v>
      </c>
      <c r="D1046" s="218" t="s">
        <v>266</v>
      </c>
      <c r="E1046" s="218" t="s">
        <v>995</v>
      </c>
      <c r="F1046" s="218"/>
      <c r="G1046" s="28"/>
      <c r="H1046" s="28"/>
      <c r="I1046" s="28"/>
      <c r="J1046" s="28"/>
      <c r="K1046" s="28"/>
      <c r="L1046" s="28"/>
      <c r="M1046" s="28">
        <f>M1047</f>
        <v>3105.5</v>
      </c>
      <c r="N1046" s="28">
        <f>N1047</f>
        <v>0</v>
      </c>
      <c r="O1046" s="27">
        <f t="shared" si="1008"/>
        <v>0</v>
      </c>
    </row>
    <row r="1047" spans="1:15" ht="31.5" x14ac:dyDescent="0.25">
      <c r="A1047" s="26" t="s">
        <v>182</v>
      </c>
      <c r="B1047" s="220">
        <v>908</v>
      </c>
      <c r="C1047" s="218" t="s">
        <v>285</v>
      </c>
      <c r="D1047" s="218" t="s">
        <v>266</v>
      </c>
      <c r="E1047" s="218" t="s">
        <v>995</v>
      </c>
      <c r="F1047" s="218" t="s">
        <v>183</v>
      </c>
      <c r="G1047" s="28"/>
      <c r="H1047" s="28"/>
      <c r="I1047" s="28"/>
      <c r="J1047" s="28"/>
      <c r="K1047" s="28"/>
      <c r="L1047" s="28"/>
      <c r="M1047" s="28">
        <f>M1048</f>
        <v>3105.5</v>
      </c>
      <c r="N1047" s="28">
        <f>N1048</f>
        <v>0</v>
      </c>
      <c r="O1047" s="27">
        <f t="shared" si="1008"/>
        <v>0</v>
      </c>
    </row>
    <row r="1048" spans="1:15" ht="47.25" x14ac:dyDescent="0.25">
      <c r="A1048" s="26" t="s">
        <v>184</v>
      </c>
      <c r="B1048" s="220">
        <v>908</v>
      </c>
      <c r="C1048" s="218" t="s">
        <v>285</v>
      </c>
      <c r="D1048" s="218" t="s">
        <v>266</v>
      </c>
      <c r="E1048" s="218" t="s">
        <v>995</v>
      </c>
      <c r="F1048" s="218" t="s">
        <v>185</v>
      </c>
      <c r="G1048" s="28"/>
      <c r="H1048" s="28"/>
      <c r="I1048" s="28"/>
      <c r="J1048" s="28"/>
      <c r="K1048" s="28"/>
      <c r="L1048" s="28"/>
      <c r="M1048" s="28">
        <v>3105.5</v>
      </c>
      <c r="N1048" s="28">
        <v>0</v>
      </c>
      <c r="O1048" s="27">
        <f t="shared" si="1008"/>
        <v>0</v>
      </c>
    </row>
    <row r="1049" spans="1:15" ht="31.5" x14ac:dyDescent="0.25">
      <c r="A1049" s="24" t="s">
        <v>621</v>
      </c>
      <c r="B1049" s="217">
        <v>908</v>
      </c>
      <c r="C1049" s="219" t="s">
        <v>285</v>
      </c>
      <c r="D1049" s="219" t="s">
        <v>285</v>
      </c>
      <c r="E1049" s="219"/>
      <c r="F1049" s="219"/>
      <c r="G1049" s="22">
        <f>G1050</f>
        <v>21124.699999999997</v>
      </c>
      <c r="H1049" s="22">
        <f t="shared" ref="H1049:L1049" si="1015">H1050</f>
        <v>15751.599999999999</v>
      </c>
      <c r="I1049" s="22">
        <f t="shared" si="1015"/>
        <v>21588.805882352943</v>
      </c>
      <c r="J1049" s="22">
        <f t="shared" si="1015"/>
        <v>24391.9</v>
      </c>
      <c r="K1049" s="22">
        <f t="shared" si="1015"/>
        <v>24520.199999999997</v>
      </c>
      <c r="L1049" s="22">
        <f t="shared" si="1015"/>
        <v>24626.1</v>
      </c>
      <c r="M1049" s="22">
        <f t="shared" ref="M1049:N1049" si="1016">M1050</f>
        <v>23092.400000000001</v>
      </c>
      <c r="N1049" s="22">
        <f t="shared" si="1016"/>
        <v>14935.900000000001</v>
      </c>
      <c r="O1049" s="22">
        <f t="shared" si="1008"/>
        <v>64.678855380991152</v>
      </c>
    </row>
    <row r="1050" spans="1:15" ht="15.75" x14ac:dyDescent="0.25">
      <c r="A1050" s="26" t="s">
        <v>172</v>
      </c>
      <c r="B1050" s="220">
        <v>908</v>
      </c>
      <c r="C1050" s="218" t="s">
        <v>285</v>
      </c>
      <c r="D1050" s="218" t="s">
        <v>285</v>
      </c>
      <c r="E1050" s="218" t="s">
        <v>173</v>
      </c>
      <c r="F1050" s="218"/>
      <c r="G1050" s="27">
        <f>G1051+G1059</f>
        <v>21124.699999999997</v>
      </c>
      <c r="H1050" s="27">
        <f>H1051+H1059</f>
        <v>15751.599999999999</v>
      </c>
      <c r="I1050" s="27">
        <f t="shared" ref="I1050:L1050" si="1017">I1051+I1059</f>
        <v>21588.805882352943</v>
      </c>
      <c r="J1050" s="27">
        <f>J1051+J1059</f>
        <v>24391.9</v>
      </c>
      <c r="K1050" s="27">
        <f t="shared" si="1017"/>
        <v>24520.199999999997</v>
      </c>
      <c r="L1050" s="27">
        <f t="shared" si="1017"/>
        <v>24626.1</v>
      </c>
      <c r="M1050" s="27">
        <f t="shared" ref="M1050:N1050" si="1018">M1051+M1059</f>
        <v>23092.400000000001</v>
      </c>
      <c r="N1050" s="27">
        <f t="shared" si="1018"/>
        <v>14935.900000000001</v>
      </c>
      <c r="O1050" s="27">
        <f t="shared" si="1008"/>
        <v>64.678855380991152</v>
      </c>
    </row>
    <row r="1051" spans="1:15" ht="31.5" x14ac:dyDescent="0.25">
      <c r="A1051" s="26" t="s">
        <v>174</v>
      </c>
      <c r="B1051" s="220">
        <v>908</v>
      </c>
      <c r="C1051" s="218" t="s">
        <v>285</v>
      </c>
      <c r="D1051" s="218" t="s">
        <v>285</v>
      </c>
      <c r="E1051" s="218" t="s">
        <v>175</v>
      </c>
      <c r="F1051" s="218"/>
      <c r="G1051" s="27">
        <f>G1052</f>
        <v>12441.3</v>
      </c>
      <c r="H1051" s="27">
        <f>H1052</f>
        <v>9088.5</v>
      </c>
      <c r="I1051" s="27">
        <f t="shared" ref="I1051:L1051" si="1019">I1052</f>
        <v>12947.405882352941</v>
      </c>
      <c r="J1051" s="27">
        <f>J1052</f>
        <v>15665.4</v>
      </c>
      <c r="K1051" s="27">
        <f t="shared" si="1019"/>
        <v>15665.4</v>
      </c>
      <c r="L1051" s="27">
        <f t="shared" si="1019"/>
        <v>15665.4</v>
      </c>
      <c r="M1051" s="27">
        <f t="shared" ref="M1051:N1051" si="1020">M1052</f>
        <v>12626.9</v>
      </c>
      <c r="N1051" s="27">
        <f t="shared" si="1020"/>
        <v>9102.3000000000011</v>
      </c>
      <c r="O1051" s="27">
        <f t="shared" si="1008"/>
        <v>72.086577069589538</v>
      </c>
    </row>
    <row r="1052" spans="1:15" ht="47.25" x14ac:dyDescent="0.25">
      <c r="A1052" s="26" t="s">
        <v>176</v>
      </c>
      <c r="B1052" s="220">
        <v>908</v>
      </c>
      <c r="C1052" s="218" t="s">
        <v>285</v>
      </c>
      <c r="D1052" s="218" t="s">
        <v>285</v>
      </c>
      <c r="E1052" s="218" t="s">
        <v>177</v>
      </c>
      <c r="F1052" s="218"/>
      <c r="G1052" s="27">
        <f>G1053+G1057+G1055</f>
        <v>12441.3</v>
      </c>
      <c r="H1052" s="27">
        <f>H1053+H1057+H1055</f>
        <v>9088.5</v>
      </c>
      <c r="I1052" s="27">
        <f t="shared" ref="I1052:L1052" si="1021">I1053+I1057+I1055</f>
        <v>12947.405882352941</v>
      </c>
      <c r="J1052" s="27">
        <f>J1053+J1057+J1055</f>
        <v>15665.4</v>
      </c>
      <c r="K1052" s="27">
        <f t="shared" si="1021"/>
        <v>15665.4</v>
      </c>
      <c r="L1052" s="27">
        <f t="shared" si="1021"/>
        <v>15665.4</v>
      </c>
      <c r="M1052" s="27">
        <f t="shared" ref="M1052:N1052" si="1022">M1053+M1057+M1055</f>
        <v>12626.9</v>
      </c>
      <c r="N1052" s="27">
        <f t="shared" si="1022"/>
        <v>9102.3000000000011</v>
      </c>
      <c r="O1052" s="27">
        <f t="shared" si="1008"/>
        <v>72.086577069589538</v>
      </c>
    </row>
    <row r="1053" spans="1:15" ht="94.5" x14ac:dyDescent="0.25">
      <c r="A1053" s="26" t="s">
        <v>178</v>
      </c>
      <c r="B1053" s="220">
        <v>908</v>
      </c>
      <c r="C1053" s="218" t="s">
        <v>285</v>
      </c>
      <c r="D1053" s="218" t="s">
        <v>285</v>
      </c>
      <c r="E1053" s="218" t="s">
        <v>177</v>
      </c>
      <c r="F1053" s="218" t="s">
        <v>179</v>
      </c>
      <c r="G1053" s="27">
        <f>G1054</f>
        <v>12267.4</v>
      </c>
      <c r="H1053" s="27">
        <f>H1054</f>
        <v>9047.9</v>
      </c>
      <c r="I1053" s="27">
        <f t="shared" ref="I1053:L1053" si="1023">I1054</f>
        <v>12773.505882352942</v>
      </c>
      <c r="J1053" s="27">
        <f t="shared" si="1023"/>
        <v>15284</v>
      </c>
      <c r="K1053" s="27">
        <f t="shared" si="1023"/>
        <v>15284</v>
      </c>
      <c r="L1053" s="27">
        <f t="shared" si="1023"/>
        <v>15284</v>
      </c>
      <c r="M1053" s="27">
        <f t="shared" ref="M1053:N1053" si="1024">M1054</f>
        <v>12500.4</v>
      </c>
      <c r="N1053" s="27">
        <f t="shared" si="1024"/>
        <v>9075.9</v>
      </c>
      <c r="O1053" s="27">
        <f t="shared" si="1008"/>
        <v>72.604876643947392</v>
      </c>
    </row>
    <row r="1054" spans="1:15" ht="31.5" x14ac:dyDescent="0.25">
      <c r="A1054" s="26" t="s">
        <v>180</v>
      </c>
      <c r="B1054" s="220">
        <v>908</v>
      </c>
      <c r="C1054" s="218" t="s">
        <v>285</v>
      </c>
      <c r="D1054" s="218" t="s">
        <v>285</v>
      </c>
      <c r="E1054" s="218" t="s">
        <v>177</v>
      </c>
      <c r="F1054" s="218" t="s">
        <v>181</v>
      </c>
      <c r="G1054" s="28">
        <v>12267.4</v>
      </c>
      <c r="H1054" s="28">
        <v>9047.9</v>
      </c>
      <c r="I1054" s="28">
        <f>H1054/8.5*12</f>
        <v>12773.505882352942</v>
      </c>
      <c r="J1054" s="28">
        <v>15284</v>
      </c>
      <c r="K1054" s="28">
        <v>15284</v>
      </c>
      <c r="L1054" s="28">
        <v>15284</v>
      </c>
      <c r="M1054" s="28">
        <v>12500.4</v>
      </c>
      <c r="N1054" s="28">
        <v>9075.9</v>
      </c>
      <c r="O1054" s="27">
        <f t="shared" si="1008"/>
        <v>72.604876643947392</v>
      </c>
    </row>
    <row r="1055" spans="1:15" ht="31.5" x14ac:dyDescent="0.25">
      <c r="A1055" s="26" t="s">
        <v>182</v>
      </c>
      <c r="B1055" s="220">
        <v>908</v>
      </c>
      <c r="C1055" s="218" t="s">
        <v>285</v>
      </c>
      <c r="D1055" s="218" t="s">
        <v>285</v>
      </c>
      <c r="E1055" s="218" t="s">
        <v>177</v>
      </c>
      <c r="F1055" s="218" t="s">
        <v>183</v>
      </c>
      <c r="G1055" s="27">
        <f t="shared" ref="G1055:L1055" si="1025">G1056</f>
        <v>25</v>
      </c>
      <c r="H1055" s="27">
        <f t="shared" si="1025"/>
        <v>25</v>
      </c>
      <c r="I1055" s="27">
        <f t="shared" si="1025"/>
        <v>25</v>
      </c>
      <c r="J1055" s="27">
        <f t="shared" si="1025"/>
        <v>232.49999999999997</v>
      </c>
      <c r="K1055" s="27">
        <f t="shared" si="1025"/>
        <v>232.49999999999997</v>
      </c>
      <c r="L1055" s="27">
        <f t="shared" si="1025"/>
        <v>232.49999999999997</v>
      </c>
      <c r="M1055" s="27">
        <f t="shared" ref="M1055:N1055" si="1026">M1056</f>
        <v>25.7</v>
      </c>
      <c r="N1055" s="27">
        <f t="shared" si="1026"/>
        <v>25.7</v>
      </c>
      <c r="O1055" s="27">
        <f t="shared" si="1008"/>
        <v>100</v>
      </c>
    </row>
    <row r="1056" spans="1:15" ht="47.25" x14ac:dyDescent="0.25">
      <c r="A1056" s="26" t="s">
        <v>184</v>
      </c>
      <c r="B1056" s="220">
        <v>908</v>
      </c>
      <c r="C1056" s="218" t="s">
        <v>285</v>
      </c>
      <c r="D1056" s="218" t="s">
        <v>285</v>
      </c>
      <c r="E1056" s="218" t="s">
        <v>177</v>
      </c>
      <c r="F1056" s="218" t="s">
        <v>185</v>
      </c>
      <c r="G1056" s="28">
        <v>25</v>
      </c>
      <c r="H1056" s="28">
        <v>25</v>
      </c>
      <c r="I1056" s="28">
        <v>25</v>
      </c>
      <c r="J1056" s="28">
        <f>381.4-J1058</f>
        <v>232.49999999999997</v>
      </c>
      <c r="K1056" s="28">
        <f>J1056</f>
        <v>232.49999999999997</v>
      </c>
      <c r="L1056" s="28">
        <f>K1056</f>
        <v>232.49999999999997</v>
      </c>
      <c r="M1056" s="28">
        <v>25.7</v>
      </c>
      <c r="N1056" s="28">
        <v>25.7</v>
      </c>
      <c r="O1056" s="27">
        <f t="shared" si="1008"/>
        <v>100</v>
      </c>
    </row>
    <row r="1057" spans="1:15" ht="15.75" x14ac:dyDescent="0.25">
      <c r="A1057" s="26" t="s">
        <v>186</v>
      </c>
      <c r="B1057" s="220">
        <v>908</v>
      </c>
      <c r="C1057" s="218" t="s">
        <v>285</v>
      </c>
      <c r="D1057" s="218" t="s">
        <v>285</v>
      </c>
      <c r="E1057" s="218" t="s">
        <v>177</v>
      </c>
      <c r="F1057" s="218" t="s">
        <v>196</v>
      </c>
      <c r="G1057" s="27">
        <f>G1058</f>
        <v>148.9</v>
      </c>
      <c r="H1057" s="27">
        <f>H1058</f>
        <v>15.6</v>
      </c>
      <c r="I1057" s="27">
        <f t="shared" ref="I1057:L1057" si="1027">I1058</f>
        <v>148.9</v>
      </c>
      <c r="J1057" s="27">
        <f t="shared" si="1027"/>
        <v>148.9</v>
      </c>
      <c r="K1057" s="27">
        <f t="shared" si="1027"/>
        <v>148.9</v>
      </c>
      <c r="L1057" s="27">
        <f t="shared" si="1027"/>
        <v>148.9</v>
      </c>
      <c r="M1057" s="27">
        <f t="shared" ref="M1057:N1057" si="1028">M1058</f>
        <v>100.8</v>
      </c>
      <c r="N1057" s="27">
        <f t="shared" si="1028"/>
        <v>0.7</v>
      </c>
      <c r="O1057" s="27">
        <f t="shared" si="1008"/>
        <v>0.69444444444444442</v>
      </c>
    </row>
    <row r="1058" spans="1:15" ht="15.75" x14ac:dyDescent="0.25">
      <c r="A1058" s="26" t="s">
        <v>620</v>
      </c>
      <c r="B1058" s="220">
        <v>908</v>
      </c>
      <c r="C1058" s="218" t="s">
        <v>285</v>
      </c>
      <c r="D1058" s="218" t="s">
        <v>285</v>
      </c>
      <c r="E1058" s="218" t="s">
        <v>177</v>
      </c>
      <c r="F1058" s="218" t="s">
        <v>189</v>
      </c>
      <c r="G1058" s="27">
        <f>89+59.9</f>
        <v>148.9</v>
      </c>
      <c r="H1058" s="27">
        <v>15.6</v>
      </c>
      <c r="I1058" s="27">
        <f t="shared" ref="I1058:L1058" si="1029">89+59.9</f>
        <v>148.9</v>
      </c>
      <c r="J1058" s="27">
        <f t="shared" si="1029"/>
        <v>148.9</v>
      </c>
      <c r="K1058" s="27">
        <f t="shared" si="1029"/>
        <v>148.9</v>
      </c>
      <c r="L1058" s="27">
        <f t="shared" si="1029"/>
        <v>148.9</v>
      </c>
      <c r="M1058" s="27">
        <f>89+59.9+39.8-47.2-40-0.7</f>
        <v>100.8</v>
      </c>
      <c r="N1058" s="27">
        <v>0.7</v>
      </c>
      <c r="O1058" s="27">
        <f t="shared" si="1008"/>
        <v>0.69444444444444442</v>
      </c>
    </row>
    <row r="1059" spans="1:15" ht="15.75" x14ac:dyDescent="0.25">
      <c r="A1059" s="26" t="s">
        <v>192</v>
      </c>
      <c r="B1059" s="220">
        <v>908</v>
      </c>
      <c r="C1059" s="218" t="s">
        <v>285</v>
      </c>
      <c r="D1059" s="218" t="s">
        <v>285</v>
      </c>
      <c r="E1059" s="218" t="s">
        <v>193</v>
      </c>
      <c r="F1059" s="218"/>
      <c r="G1059" s="27">
        <f>G1063+G1060</f>
        <v>8683.4</v>
      </c>
      <c r="H1059" s="27">
        <f>H1063+H1060</f>
        <v>6663.0999999999995</v>
      </c>
      <c r="I1059" s="27">
        <f t="shared" ref="I1059:L1059" si="1030">I1063+I1060</f>
        <v>8641.4</v>
      </c>
      <c r="J1059" s="27">
        <f>J1063+J1060</f>
        <v>8726.5</v>
      </c>
      <c r="K1059" s="27">
        <f t="shared" si="1030"/>
        <v>8854.7999999999993</v>
      </c>
      <c r="L1059" s="27">
        <f t="shared" si="1030"/>
        <v>8960.7000000000007</v>
      </c>
      <c r="M1059" s="27">
        <f t="shared" ref="M1059:N1059" si="1031">M1063+M1060</f>
        <v>10465.5</v>
      </c>
      <c r="N1059" s="27">
        <f t="shared" si="1031"/>
        <v>5833.5999999999995</v>
      </c>
      <c r="O1059" s="27">
        <f t="shared" si="1008"/>
        <v>55.741245043237299</v>
      </c>
    </row>
    <row r="1060" spans="1:15" ht="31.5" x14ac:dyDescent="0.25">
      <c r="A1060" s="26" t="s">
        <v>622</v>
      </c>
      <c r="B1060" s="220">
        <v>908</v>
      </c>
      <c r="C1060" s="218" t="s">
        <v>285</v>
      </c>
      <c r="D1060" s="218" t="s">
        <v>285</v>
      </c>
      <c r="E1060" s="218" t="s">
        <v>623</v>
      </c>
      <c r="F1060" s="218"/>
      <c r="G1060" s="28">
        <f>G1061</f>
        <v>1461</v>
      </c>
      <c r="H1060" s="28">
        <f>H1061</f>
        <v>262.5</v>
      </c>
      <c r="I1060" s="28">
        <f t="shared" ref="I1060:L1061" si="1032">I1061</f>
        <v>700</v>
      </c>
      <c r="J1060" s="28">
        <f t="shared" si="1032"/>
        <v>1541</v>
      </c>
      <c r="K1060" s="28">
        <f t="shared" si="1032"/>
        <v>1541</v>
      </c>
      <c r="L1060" s="28">
        <f t="shared" si="1032"/>
        <v>1541</v>
      </c>
      <c r="M1060" s="28">
        <f t="shared" ref="M1060:N1061" si="1033">M1061</f>
        <v>982.2</v>
      </c>
      <c r="N1060" s="28">
        <f t="shared" si="1033"/>
        <v>340.3</v>
      </c>
      <c r="O1060" s="27">
        <f t="shared" si="1008"/>
        <v>34.646711464060267</v>
      </c>
    </row>
    <row r="1061" spans="1:15" ht="15.75" x14ac:dyDescent="0.25">
      <c r="A1061" s="26" t="s">
        <v>186</v>
      </c>
      <c r="B1061" s="220">
        <v>908</v>
      </c>
      <c r="C1061" s="218" t="s">
        <v>285</v>
      </c>
      <c r="D1061" s="218" t="s">
        <v>285</v>
      </c>
      <c r="E1061" s="218" t="s">
        <v>623</v>
      </c>
      <c r="F1061" s="218" t="s">
        <v>196</v>
      </c>
      <c r="G1061" s="28">
        <f>G1062</f>
        <v>1461</v>
      </c>
      <c r="H1061" s="28">
        <f>H1062</f>
        <v>262.5</v>
      </c>
      <c r="I1061" s="28">
        <f t="shared" si="1032"/>
        <v>700</v>
      </c>
      <c r="J1061" s="28">
        <f t="shared" si="1032"/>
        <v>1541</v>
      </c>
      <c r="K1061" s="28">
        <f t="shared" si="1032"/>
        <v>1541</v>
      </c>
      <c r="L1061" s="28">
        <f t="shared" si="1032"/>
        <v>1541</v>
      </c>
      <c r="M1061" s="28">
        <f t="shared" si="1033"/>
        <v>982.2</v>
      </c>
      <c r="N1061" s="28">
        <f t="shared" si="1033"/>
        <v>340.3</v>
      </c>
      <c r="O1061" s="27">
        <f t="shared" si="1008"/>
        <v>34.646711464060267</v>
      </c>
    </row>
    <row r="1062" spans="1:15" ht="47.25" customHeight="1" x14ac:dyDescent="0.25">
      <c r="A1062" s="26" t="s">
        <v>235</v>
      </c>
      <c r="B1062" s="220">
        <v>908</v>
      </c>
      <c r="C1062" s="218" t="s">
        <v>285</v>
      </c>
      <c r="D1062" s="218" t="s">
        <v>285</v>
      </c>
      <c r="E1062" s="218" t="s">
        <v>623</v>
      </c>
      <c r="F1062" s="218" t="s">
        <v>211</v>
      </c>
      <c r="G1062" s="28">
        <v>1461</v>
      </c>
      <c r="H1062" s="28">
        <v>262.5</v>
      </c>
      <c r="I1062" s="28">
        <v>700</v>
      </c>
      <c r="J1062" s="28">
        <f>1541</f>
        <v>1541</v>
      </c>
      <c r="K1062" s="28">
        <v>1541</v>
      </c>
      <c r="L1062" s="28">
        <v>1541</v>
      </c>
      <c r="M1062" s="28">
        <v>982.2</v>
      </c>
      <c r="N1062" s="28">
        <v>340.3</v>
      </c>
      <c r="O1062" s="27">
        <f t="shared" si="1008"/>
        <v>34.646711464060267</v>
      </c>
    </row>
    <row r="1063" spans="1:15" ht="31.5" x14ac:dyDescent="0.25">
      <c r="A1063" s="26" t="s">
        <v>391</v>
      </c>
      <c r="B1063" s="220">
        <v>908</v>
      </c>
      <c r="C1063" s="218" t="s">
        <v>285</v>
      </c>
      <c r="D1063" s="218" t="s">
        <v>285</v>
      </c>
      <c r="E1063" s="218" t="s">
        <v>392</v>
      </c>
      <c r="F1063" s="218"/>
      <c r="G1063" s="27">
        <f>G1064+G1066</f>
        <v>7222.4</v>
      </c>
      <c r="H1063" s="27">
        <f>H1064+H1066</f>
        <v>6400.5999999999995</v>
      </c>
      <c r="I1063" s="27">
        <f t="shared" ref="I1063:L1063" si="1034">I1064+I1066</f>
        <v>7941.4</v>
      </c>
      <c r="J1063" s="27">
        <f>J1064+J1066</f>
        <v>7185.5</v>
      </c>
      <c r="K1063" s="27">
        <f t="shared" si="1034"/>
        <v>7313.7999999999993</v>
      </c>
      <c r="L1063" s="27">
        <f t="shared" si="1034"/>
        <v>7419.7</v>
      </c>
      <c r="M1063" s="27">
        <f t="shared" ref="M1063:N1063" si="1035">M1064+M1066</f>
        <v>9483.2999999999993</v>
      </c>
      <c r="N1063" s="27">
        <f t="shared" si="1035"/>
        <v>5493.2999999999993</v>
      </c>
      <c r="O1063" s="27">
        <f t="shared" si="1008"/>
        <v>57.926038404352909</v>
      </c>
    </row>
    <row r="1064" spans="1:15" ht="94.5" x14ac:dyDescent="0.25">
      <c r="A1064" s="26" t="s">
        <v>178</v>
      </c>
      <c r="B1064" s="220">
        <v>908</v>
      </c>
      <c r="C1064" s="218" t="s">
        <v>285</v>
      </c>
      <c r="D1064" s="218" t="s">
        <v>285</v>
      </c>
      <c r="E1064" s="218" t="s">
        <v>392</v>
      </c>
      <c r="F1064" s="218" t="s">
        <v>179</v>
      </c>
      <c r="G1064" s="27">
        <f>G1065</f>
        <v>5565.9</v>
      </c>
      <c r="H1064" s="27">
        <f>H1065</f>
        <v>5406.2</v>
      </c>
      <c r="I1064" s="27">
        <f t="shared" ref="I1064:L1064" si="1036">I1065</f>
        <v>6615.5</v>
      </c>
      <c r="J1064" s="27">
        <f t="shared" si="1036"/>
        <v>4547.3</v>
      </c>
      <c r="K1064" s="27">
        <f t="shared" si="1036"/>
        <v>4592.7</v>
      </c>
      <c r="L1064" s="27">
        <f t="shared" si="1036"/>
        <v>4638.7</v>
      </c>
      <c r="M1064" s="27">
        <f t="shared" ref="M1064:N1064" si="1037">M1065</f>
        <v>5813.3</v>
      </c>
      <c r="N1064" s="27">
        <f t="shared" si="1037"/>
        <v>4322.7</v>
      </c>
      <c r="O1064" s="27">
        <f t="shared" si="1008"/>
        <v>74.358797928887199</v>
      </c>
    </row>
    <row r="1065" spans="1:15" ht="31.5" x14ac:dyDescent="0.25">
      <c r="A1065" s="26" t="s">
        <v>393</v>
      </c>
      <c r="B1065" s="220">
        <v>908</v>
      </c>
      <c r="C1065" s="218" t="s">
        <v>285</v>
      </c>
      <c r="D1065" s="218" t="s">
        <v>285</v>
      </c>
      <c r="E1065" s="218" t="s">
        <v>392</v>
      </c>
      <c r="F1065" s="218" t="s">
        <v>260</v>
      </c>
      <c r="G1065" s="28">
        <v>5565.9</v>
      </c>
      <c r="H1065" s="28">
        <v>5406.2</v>
      </c>
      <c r="I1065" s="28">
        <v>6615.5</v>
      </c>
      <c r="J1065" s="28">
        <v>4547.3</v>
      </c>
      <c r="K1065" s="28">
        <v>4592.7</v>
      </c>
      <c r="L1065" s="28">
        <v>4638.7</v>
      </c>
      <c r="M1065" s="28">
        <f>4826.2+987.1</f>
        <v>5813.3</v>
      </c>
      <c r="N1065" s="28">
        <v>4322.7</v>
      </c>
      <c r="O1065" s="27">
        <f t="shared" si="1008"/>
        <v>74.358797928887199</v>
      </c>
    </row>
    <row r="1066" spans="1:15" ht="31.5" x14ac:dyDescent="0.25">
      <c r="A1066" s="26" t="s">
        <v>182</v>
      </c>
      <c r="B1066" s="220">
        <v>908</v>
      </c>
      <c r="C1066" s="218" t="s">
        <v>285</v>
      </c>
      <c r="D1066" s="218" t="s">
        <v>285</v>
      </c>
      <c r="E1066" s="218" t="s">
        <v>392</v>
      </c>
      <c r="F1066" s="218" t="s">
        <v>183</v>
      </c>
      <c r="G1066" s="27">
        <f>G1067</f>
        <v>1656.5</v>
      </c>
      <c r="H1066" s="27">
        <f>H1067</f>
        <v>994.4</v>
      </c>
      <c r="I1066" s="27">
        <f t="shared" ref="I1066:L1066" si="1038">I1067</f>
        <v>1325.9</v>
      </c>
      <c r="J1066" s="27">
        <f t="shared" si="1038"/>
        <v>2638.2</v>
      </c>
      <c r="K1066" s="27">
        <f t="shared" si="1038"/>
        <v>2721.1</v>
      </c>
      <c r="L1066" s="27">
        <f t="shared" si="1038"/>
        <v>2781</v>
      </c>
      <c r="M1066" s="27">
        <f t="shared" ref="M1066:N1066" si="1039">M1067</f>
        <v>3670</v>
      </c>
      <c r="N1066" s="27">
        <f t="shared" si="1039"/>
        <v>1170.5999999999999</v>
      </c>
      <c r="O1066" s="27">
        <f t="shared" si="1008"/>
        <v>31.896457765667574</v>
      </c>
    </row>
    <row r="1067" spans="1:15" ht="47.25" x14ac:dyDescent="0.25">
      <c r="A1067" s="26" t="s">
        <v>184</v>
      </c>
      <c r="B1067" s="220">
        <v>908</v>
      </c>
      <c r="C1067" s="218" t="s">
        <v>285</v>
      </c>
      <c r="D1067" s="218" t="s">
        <v>285</v>
      </c>
      <c r="E1067" s="218" t="s">
        <v>392</v>
      </c>
      <c r="F1067" s="218" t="s">
        <v>185</v>
      </c>
      <c r="G1067" s="28">
        <f>1341.9+928.5-198.8-595.1+180</f>
        <v>1656.5</v>
      </c>
      <c r="H1067" s="28">
        <v>994.4</v>
      </c>
      <c r="I1067" s="28">
        <v>1325.9</v>
      </c>
      <c r="J1067" s="28">
        <v>2638.2</v>
      </c>
      <c r="K1067" s="28">
        <v>2721.1</v>
      </c>
      <c r="L1067" s="28">
        <v>2781</v>
      </c>
      <c r="M1067" s="28">
        <f>1978.5+1691.5</f>
        <v>3670</v>
      </c>
      <c r="N1067" s="28">
        <v>1170.5999999999999</v>
      </c>
      <c r="O1067" s="27">
        <f t="shared" si="1008"/>
        <v>31.896457765667574</v>
      </c>
    </row>
    <row r="1068" spans="1:15" ht="15.75" x14ac:dyDescent="0.25">
      <c r="A1068" s="24" t="s">
        <v>294</v>
      </c>
      <c r="B1068" s="217">
        <v>908</v>
      </c>
      <c r="C1068" s="219" t="s">
        <v>295</v>
      </c>
      <c r="D1068" s="219"/>
      <c r="E1068" s="219"/>
      <c r="F1068" s="219"/>
      <c r="G1068" s="22">
        <f t="shared" ref="G1068:L1073" si="1040">G1069</f>
        <v>87.1</v>
      </c>
      <c r="H1068" s="22">
        <f t="shared" si="1040"/>
        <v>0</v>
      </c>
      <c r="I1068" s="22">
        <f t="shared" si="1040"/>
        <v>87.1</v>
      </c>
      <c r="J1068" s="22">
        <f t="shared" si="1040"/>
        <v>107.8</v>
      </c>
      <c r="K1068" s="22">
        <f t="shared" si="1040"/>
        <v>107.8</v>
      </c>
      <c r="L1068" s="22">
        <f t="shared" si="1040"/>
        <v>107.8</v>
      </c>
      <c r="M1068" s="22">
        <f t="shared" ref="M1068:N1073" si="1041">M1069</f>
        <v>87.1</v>
      </c>
      <c r="N1068" s="22">
        <f t="shared" si="1041"/>
        <v>52.3</v>
      </c>
      <c r="O1068" s="22">
        <f t="shared" si="1008"/>
        <v>60.045924225028699</v>
      </c>
    </row>
    <row r="1069" spans="1:15" ht="31.5" x14ac:dyDescent="0.25">
      <c r="A1069" s="24" t="s">
        <v>309</v>
      </c>
      <c r="B1069" s="217">
        <v>908</v>
      </c>
      <c r="C1069" s="219" t="s">
        <v>295</v>
      </c>
      <c r="D1069" s="219" t="s">
        <v>171</v>
      </c>
      <c r="E1069" s="219"/>
      <c r="F1069" s="219"/>
      <c r="G1069" s="22">
        <f t="shared" si="1040"/>
        <v>87.1</v>
      </c>
      <c r="H1069" s="22">
        <f t="shared" si="1040"/>
        <v>0</v>
      </c>
      <c r="I1069" s="22">
        <f t="shared" si="1040"/>
        <v>87.1</v>
      </c>
      <c r="J1069" s="22">
        <f t="shared" si="1040"/>
        <v>107.8</v>
      </c>
      <c r="K1069" s="22">
        <f t="shared" si="1040"/>
        <v>107.8</v>
      </c>
      <c r="L1069" s="22">
        <f t="shared" si="1040"/>
        <v>107.8</v>
      </c>
      <c r="M1069" s="22">
        <f t="shared" si="1041"/>
        <v>87.1</v>
      </c>
      <c r="N1069" s="22">
        <f t="shared" si="1041"/>
        <v>52.3</v>
      </c>
      <c r="O1069" s="22">
        <f t="shared" si="1008"/>
        <v>60.045924225028699</v>
      </c>
    </row>
    <row r="1070" spans="1:15" ht="15.75" x14ac:dyDescent="0.25">
      <c r="A1070" s="26" t="s">
        <v>172</v>
      </c>
      <c r="B1070" s="220">
        <v>908</v>
      </c>
      <c r="C1070" s="218" t="s">
        <v>295</v>
      </c>
      <c r="D1070" s="218" t="s">
        <v>171</v>
      </c>
      <c r="E1070" s="218" t="s">
        <v>173</v>
      </c>
      <c r="F1070" s="218"/>
      <c r="G1070" s="22">
        <f t="shared" si="1040"/>
        <v>87.1</v>
      </c>
      <c r="H1070" s="22">
        <f t="shared" si="1040"/>
        <v>0</v>
      </c>
      <c r="I1070" s="22">
        <f t="shared" si="1040"/>
        <v>87.1</v>
      </c>
      <c r="J1070" s="22">
        <f t="shared" si="1040"/>
        <v>107.8</v>
      </c>
      <c r="K1070" s="22">
        <f t="shared" si="1040"/>
        <v>107.8</v>
      </c>
      <c r="L1070" s="22">
        <f t="shared" si="1040"/>
        <v>107.8</v>
      </c>
      <c r="M1070" s="22">
        <f>M1071+M1075</f>
        <v>87.1</v>
      </c>
      <c r="N1070" s="22">
        <f>N1071+N1075</f>
        <v>52.3</v>
      </c>
      <c r="O1070" s="22">
        <f t="shared" si="1008"/>
        <v>60.045924225028699</v>
      </c>
    </row>
    <row r="1071" spans="1:15" ht="15.75" x14ac:dyDescent="0.25">
      <c r="A1071" s="26" t="s">
        <v>192</v>
      </c>
      <c r="B1071" s="220">
        <v>908</v>
      </c>
      <c r="C1071" s="218" t="s">
        <v>295</v>
      </c>
      <c r="D1071" s="218" t="s">
        <v>171</v>
      </c>
      <c r="E1071" s="218" t="s">
        <v>193</v>
      </c>
      <c r="F1071" s="218"/>
      <c r="G1071" s="27">
        <f t="shared" si="1040"/>
        <v>87.1</v>
      </c>
      <c r="H1071" s="27">
        <f t="shared" si="1040"/>
        <v>0</v>
      </c>
      <c r="I1071" s="27">
        <f t="shared" si="1040"/>
        <v>87.1</v>
      </c>
      <c r="J1071" s="27">
        <f t="shared" si="1040"/>
        <v>107.8</v>
      </c>
      <c r="K1071" s="27">
        <f t="shared" si="1040"/>
        <v>107.8</v>
      </c>
      <c r="L1071" s="27">
        <f t="shared" si="1040"/>
        <v>107.8</v>
      </c>
      <c r="M1071" s="27">
        <f t="shared" si="1041"/>
        <v>36.099999999999994</v>
      </c>
      <c r="N1071" s="27">
        <f t="shared" si="1041"/>
        <v>36.1</v>
      </c>
      <c r="O1071" s="27">
        <f t="shared" si="1008"/>
        <v>100.00000000000003</v>
      </c>
    </row>
    <row r="1072" spans="1:15" ht="15.75" x14ac:dyDescent="0.25">
      <c r="A1072" s="26" t="s">
        <v>624</v>
      </c>
      <c r="B1072" s="220">
        <v>908</v>
      </c>
      <c r="C1072" s="218" t="s">
        <v>295</v>
      </c>
      <c r="D1072" s="218" t="s">
        <v>171</v>
      </c>
      <c r="E1072" s="218" t="s">
        <v>625</v>
      </c>
      <c r="F1072" s="218"/>
      <c r="G1072" s="27">
        <f t="shared" si="1040"/>
        <v>87.1</v>
      </c>
      <c r="H1072" s="27">
        <f t="shared" si="1040"/>
        <v>0</v>
      </c>
      <c r="I1072" s="27">
        <f t="shared" si="1040"/>
        <v>87.1</v>
      </c>
      <c r="J1072" s="27">
        <f t="shared" si="1040"/>
        <v>107.8</v>
      </c>
      <c r="K1072" s="27">
        <f t="shared" si="1040"/>
        <v>107.8</v>
      </c>
      <c r="L1072" s="27">
        <f t="shared" si="1040"/>
        <v>107.8</v>
      </c>
      <c r="M1072" s="27">
        <f t="shared" si="1041"/>
        <v>36.099999999999994</v>
      </c>
      <c r="N1072" s="27">
        <f t="shared" si="1041"/>
        <v>36.1</v>
      </c>
      <c r="O1072" s="27">
        <f t="shared" si="1008"/>
        <v>100.00000000000003</v>
      </c>
    </row>
    <row r="1073" spans="1:15" ht="15.75" x14ac:dyDescent="0.25">
      <c r="A1073" s="26" t="s">
        <v>186</v>
      </c>
      <c r="B1073" s="220">
        <v>908</v>
      </c>
      <c r="C1073" s="218" t="s">
        <v>295</v>
      </c>
      <c r="D1073" s="218" t="s">
        <v>171</v>
      </c>
      <c r="E1073" s="218" t="s">
        <v>625</v>
      </c>
      <c r="F1073" s="218" t="s">
        <v>196</v>
      </c>
      <c r="G1073" s="27">
        <f t="shared" si="1040"/>
        <v>87.1</v>
      </c>
      <c r="H1073" s="27">
        <f t="shared" si="1040"/>
        <v>0</v>
      </c>
      <c r="I1073" s="27">
        <f t="shared" si="1040"/>
        <v>87.1</v>
      </c>
      <c r="J1073" s="27">
        <f t="shared" si="1040"/>
        <v>107.8</v>
      </c>
      <c r="K1073" s="27">
        <f t="shared" si="1040"/>
        <v>107.8</v>
      </c>
      <c r="L1073" s="27">
        <f t="shared" si="1040"/>
        <v>107.8</v>
      </c>
      <c r="M1073" s="27">
        <f t="shared" si="1041"/>
        <v>36.099999999999994</v>
      </c>
      <c r="N1073" s="27">
        <f t="shared" si="1041"/>
        <v>36.1</v>
      </c>
      <c r="O1073" s="27">
        <f t="shared" si="1008"/>
        <v>100.00000000000003</v>
      </c>
    </row>
    <row r="1074" spans="1:15" ht="54.75" customHeight="1" x14ac:dyDescent="0.25">
      <c r="A1074" s="26" t="s">
        <v>235</v>
      </c>
      <c r="B1074" s="220">
        <v>908</v>
      </c>
      <c r="C1074" s="218" t="s">
        <v>295</v>
      </c>
      <c r="D1074" s="218" t="s">
        <v>171</v>
      </c>
      <c r="E1074" s="218" t="s">
        <v>625</v>
      </c>
      <c r="F1074" s="218" t="s">
        <v>211</v>
      </c>
      <c r="G1074" s="27">
        <v>87.1</v>
      </c>
      <c r="H1074" s="27">
        <v>0</v>
      </c>
      <c r="I1074" s="27">
        <v>87.1</v>
      </c>
      <c r="J1074" s="27">
        <v>107.8</v>
      </c>
      <c r="K1074" s="27">
        <v>107.8</v>
      </c>
      <c r="L1074" s="27">
        <v>107.8</v>
      </c>
      <c r="M1074" s="27">
        <f>87.1-51</f>
        <v>36.099999999999994</v>
      </c>
      <c r="N1074" s="27">
        <v>36.1</v>
      </c>
      <c r="O1074" s="27">
        <f t="shared" si="1008"/>
        <v>100.00000000000003</v>
      </c>
    </row>
    <row r="1075" spans="1:15" ht="31.5" x14ac:dyDescent="0.25">
      <c r="A1075" s="26" t="s">
        <v>361</v>
      </c>
      <c r="B1075" s="220">
        <v>908</v>
      </c>
      <c r="C1075" s="218" t="s">
        <v>295</v>
      </c>
      <c r="D1075" s="218" t="s">
        <v>171</v>
      </c>
      <c r="E1075" s="218" t="s">
        <v>637</v>
      </c>
      <c r="F1075" s="218"/>
      <c r="G1075" s="27"/>
      <c r="H1075" s="27"/>
      <c r="I1075" s="27"/>
      <c r="J1075" s="27"/>
      <c r="K1075" s="27"/>
      <c r="L1075" s="27"/>
      <c r="M1075" s="27">
        <f t="shared" ref="M1075:N1077" si="1042">M1076</f>
        <v>51</v>
      </c>
      <c r="N1075" s="27">
        <f t="shared" si="1042"/>
        <v>16.2</v>
      </c>
      <c r="O1075" s="27">
        <f t="shared" si="1008"/>
        <v>31.764705882352938</v>
      </c>
    </row>
    <row r="1076" spans="1:15" ht="15.75" x14ac:dyDescent="0.25">
      <c r="A1076" s="26" t="s">
        <v>624</v>
      </c>
      <c r="B1076" s="220">
        <v>908</v>
      </c>
      <c r="C1076" s="218" t="s">
        <v>295</v>
      </c>
      <c r="D1076" s="218" t="s">
        <v>171</v>
      </c>
      <c r="E1076" s="218" t="s">
        <v>1021</v>
      </c>
      <c r="F1076" s="218"/>
      <c r="G1076" s="27"/>
      <c r="H1076" s="27"/>
      <c r="I1076" s="27"/>
      <c r="J1076" s="27"/>
      <c r="K1076" s="27"/>
      <c r="L1076" s="27"/>
      <c r="M1076" s="27">
        <f t="shared" si="1042"/>
        <v>51</v>
      </c>
      <c r="N1076" s="27">
        <f t="shared" si="1042"/>
        <v>16.2</v>
      </c>
      <c r="O1076" s="27">
        <f t="shared" si="1008"/>
        <v>31.764705882352938</v>
      </c>
    </row>
    <row r="1077" spans="1:15" ht="31.5" x14ac:dyDescent="0.25">
      <c r="A1077" s="26" t="s">
        <v>182</v>
      </c>
      <c r="B1077" s="220">
        <v>908</v>
      </c>
      <c r="C1077" s="218" t="s">
        <v>295</v>
      </c>
      <c r="D1077" s="218" t="s">
        <v>171</v>
      </c>
      <c r="E1077" s="218" t="s">
        <v>1021</v>
      </c>
      <c r="F1077" s="218" t="s">
        <v>183</v>
      </c>
      <c r="G1077" s="27"/>
      <c r="H1077" s="27"/>
      <c r="I1077" s="27"/>
      <c r="J1077" s="27"/>
      <c r="K1077" s="27"/>
      <c r="L1077" s="27"/>
      <c r="M1077" s="27">
        <f t="shared" si="1042"/>
        <v>51</v>
      </c>
      <c r="N1077" s="27">
        <f t="shared" si="1042"/>
        <v>16.2</v>
      </c>
      <c r="O1077" s="27">
        <f t="shared" si="1008"/>
        <v>31.764705882352938</v>
      </c>
    </row>
    <row r="1078" spans="1:15" ht="47.25" x14ac:dyDescent="0.25">
      <c r="A1078" s="26" t="s">
        <v>184</v>
      </c>
      <c r="B1078" s="220">
        <v>908</v>
      </c>
      <c r="C1078" s="218" t="s">
        <v>295</v>
      </c>
      <c r="D1078" s="218" t="s">
        <v>171</v>
      </c>
      <c r="E1078" s="218" t="s">
        <v>1021</v>
      </c>
      <c r="F1078" s="218" t="s">
        <v>185</v>
      </c>
      <c r="G1078" s="27"/>
      <c r="H1078" s="27"/>
      <c r="I1078" s="27"/>
      <c r="J1078" s="27"/>
      <c r="K1078" s="27"/>
      <c r="L1078" s="27"/>
      <c r="M1078" s="27">
        <v>51</v>
      </c>
      <c r="N1078" s="27">
        <v>16.2</v>
      </c>
      <c r="O1078" s="27">
        <f t="shared" si="1008"/>
        <v>31.764705882352938</v>
      </c>
    </row>
    <row r="1079" spans="1:15" ht="31.5" x14ac:dyDescent="0.25">
      <c r="A1079" s="20" t="s">
        <v>626</v>
      </c>
      <c r="B1079" s="217">
        <v>910</v>
      </c>
      <c r="C1079" s="228"/>
      <c r="D1079" s="228"/>
      <c r="E1079" s="228"/>
      <c r="F1079" s="228"/>
      <c r="G1079" s="22">
        <f>G1080</f>
        <v>7042.5</v>
      </c>
      <c r="H1079" s="22">
        <f t="shared" ref="H1079:L1079" si="1043">H1080</f>
        <v>5729.2</v>
      </c>
      <c r="I1079" s="22">
        <f t="shared" si="1043"/>
        <v>7830.5</v>
      </c>
      <c r="J1079" s="22">
        <f t="shared" si="1043"/>
        <v>8460</v>
      </c>
      <c r="K1079" s="22">
        <f t="shared" si="1043"/>
        <v>8460</v>
      </c>
      <c r="L1079" s="22">
        <f t="shared" si="1043"/>
        <v>8460</v>
      </c>
      <c r="M1079" s="22">
        <f t="shared" ref="M1079:N1079" si="1044">M1080</f>
        <v>7014.5</v>
      </c>
      <c r="N1079" s="22">
        <f t="shared" si="1044"/>
        <v>5706.3</v>
      </c>
      <c r="O1079" s="22">
        <f t="shared" si="1008"/>
        <v>81.35006058878038</v>
      </c>
    </row>
    <row r="1080" spans="1:15" ht="15.75" x14ac:dyDescent="0.25">
      <c r="A1080" s="24" t="s">
        <v>168</v>
      </c>
      <c r="B1080" s="217">
        <v>910</v>
      </c>
      <c r="C1080" s="219" t="s">
        <v>169</v>
      </c>
      <c r="D1080" s="219"/>
      <c r="E1080" s="219"/>
      <c r="F1080" s="219"/>
      <c r="G1080" s="22">
        <f>G1081+G1089+G1099+G1107</f>
        <v>7042.5</v>
      </c>
      <c r="H1080" s="22">
        <f>H1081+H1089+H1099+H1107</f>
        <v>5729.2</v>
      </c>
      <c r="I1080" s="22">
        <f t="shared" ref="I1080:L1080" si="1045">I1081+I1089+I1099+I1107</f>
        <v>7830.5</v>
      </c>
      <c r="J1080" s="22">
        <f t="shared" si="1045"/>
        <v>8460</v>
      </c>
      <c r="K1080" s="22">
        <f t="shared" si="1045"/>
        <v>8460</v>
      </c>
      <c r="L1080" s="22">
        <f t="shared" si="1045"/>
        <v>8460</v>
      </c>
      <c r="M1080" s="22">
        <f t="shared" ref="M1080:N1080" si="1046">M1081+M1089+M1099+M1107</f>
        <v>7014.5</v>
      </c>
      <c r="N1080" s="22">
        <f t="shared" si="1046"/>
        <v>5706.3</v>
      </c>
      <c r="O1080" s="22">
        <f t="shared" si="1008"/>
        <v>81.35006058878038</v>
      </c>
    </row>
    <row r="1081" spans="1:15" ht="47.25" x14ac:dyDescent="0.25">
      <c r="A1081" s="24" t="s">
        <v>627</v>
      </c>
      <c r="B1081" s="217">
        <v>910</v>
      </c>
      <c r="C1081" s="219" t="s">
        <v>169</v>
      </c>
      <c r="D1081" s="219" t="s">
        <v>264</v>
      </c>
      <c r="E1081" s="219"/>
      <c r="F1081" s="219"/>
      <c r="G1081" s="22">
        <f>G1082</f>
        <v>4133.6000000000004</v>
      </c>
      <c r="H1081" s="22">
        <f>H1082</f>
        <v>3195</v>
      </c>
      <c r="I1081" s="22">
        <f t="shared" ref="I1081:L1081" si="1047">I1082</f>
        <v>4411.6000000000004</v>
      </c>
      <c r="J1081" s="22">
        <f t="shared" si="1047"/>
        <v>4342.8</v>
      </c>
      <c r="K1081" s="22">
        <f t="shared" si="1047"/>
        <v>4342.8</v>
      </c>
      <c r="L1081" s="22">
        <f t="shared" si="1047"/>
        <v>4342.8</v>
      </c>
      <c r="M1081" s="22">
        <f t="shared" ref="M1081:N1083" si="1048">M1082</f>
        <v>4342.8</v>
      </c>
      <c r="N1081" s="22">
        <f t="shared" si="1048"/>
        <v>3551.5</v>
      </c>
      <c r="O1081" s="22">
        <f t="shared" si="1008"/>
        <v>81.779036566270605</v>
      </c>
    </row>
    <row r="1082" spans="1:15" ht="15.75" x14ac:dyDescent="0.25">
      <c r="A1082" s="26" t="s">
        <v>172</v>
      </c>
      <c r="B1082" s="220">
        <v>910</v>
      </c>
      <c r="C1082" s="218" t="s">
        <v>169</v>
      </c>
      <c r="D1082" s="218" t="s">
        <v>264</v>
      </c>
      <c r="E1082" s="218" t="s">
        <v>173</v>
      </c>
      <c r="F1082" s="218"/>
      <c r="G1082" s="27">
        <f t="shared" ref="G1082:L1083" si="1049">G1083</f>
        <v>4133.6000000000004</v>
      </c>
      <c r="H1082" s="27">
        <f t="shared" si="1049"/>
        <v>3195</v>
      </c>
      <c r="I1082" s="27">
        <f t="shared" si="1049"/>
        <v>4411.6000000000004</v>
      </c>
      <c r="J1082" s="27">
        <f t="shared" si="1049"/>
        <v>4342.8</v>
      </c>
      <c r="K1082" s="27">
        <f t="shared" si="1049"/>
        <v>4342.8</v>
      </c>
      <c r="L1082" s="27">
        <f t="shared" si="1049"/>
        <v>4342.8</v>
      </c>
      <c r="M1082" s="27">
        <f t="shared" si="1048"/>
        <v>4342.8</v>
      </c>
      <c r="N1082" s="27">
        <f t="shared" si="1048"/>
        <v>3551.5</v>
      </c>
      <c r="O1082" s="27">
        <f t="shared" si="1008"/>
        <v>81.779036566270605</v>
      </c>
    </row>
    <row r="1083" spans="1:15" ht="31.5" x14ac:dyDescent="0.25">
      <c r="A1083" s="26" t="s">
        <v>174</v>
      </c>
      <c r="B1083" s="220">
        <v>910</v>
      </c>
      <c r="C1083" s="218" t="s">
        <v>169</v>
      </c>
      <c r="D1083" s="218" t="s">
        <v>264</v>
      </c>
      <c r="E1083" s="218" t="s">
        <v>175</v>
      </c>
      <c r="F1083" s="218"/>
      <c r="G1083" s="27">
        <f>G1084</f>
        <v>4133.6000000000004</v>
      </c>
      <c r="H1083" s="27">
        <f>H1084</f>
        <v>3195</v>
      </c>
      <c r="I1083" s="27">
        <f t="shared" si="1049"/>
        <v>4411.6000000000004</v>
      </c>
      <c r="J1083" s="27">
        <f t="shared" si="1049"/>
        <v>4342.8</v>
      </c>
      <c r="K1083" s="27">
        <f t="shared" si="1049"/>
        <v>4342.8</v>
      </c>
      <c r="L1083" s="27">
        <f t="shared" si="1049"/>
        <v>4342.8</v>
      </c>
      <c r="M1083" s="27">
        <f t="shared" si="1048"/>
        <v>4342.8</v>
      </c>
      <c r="N1083" s="27">
        <f t="shared" si="1048"/>
        <v>3551.5</v>
      </c>
      <c r="O1083" s="27">
        <f t="shared" si="1008"/>
        <v>81.779036566270605</v>
      </c>
    </row>
    <row r="1084" spans="1:15" ht="47.25" x14ac:dyDescent="0.25">
      <c r="A1084" s="26" t="s">
        <v>628</v>
      </c>
      <c r="B1084" s="220">
        <v>910</v>
      </c>
      <c r="C1084" s="218" t="s">
        <v>169</v>
      </c>
      <c r="D1084" s="218" t="s">
        <v>264</v>
      </c>
      <c r="E1084" s="218" t="s">
        <v>629</v>
      </c>
      <c r="F1084" s="218"/>
      <c r="G1084" s="27">
        <f t="shared" ref="G1084:L1084" si="1050">G1085+G1087</f>
        <v>4133.6000000000004</v>
      </c>
      <c r="H1084" s="27">
        <f t="shared" si="1050"/>
        <v>3195</v>
      </c>
      <c r="I1084" s="27">
        <f t="shared" si="1050"/>
        <v>4411.6000000000004</v>
      </c>
      <c r="J1084" s="27">
        <f t="shared" si="1050"/>
        <v>4342.8</v>
      </c>
      <c r="K1084" s="27">
        <f t="shared" si="1050"/>
        <v>4342.8</v>
      </c>
      <c r="L1084" s="27">
        <f t="shared" si="1050"/>
        <v>4342.8</v>
      </c>
      <c r="M1084" s="27">
        <f t="shared" ref="M1084:N1084" si="1051">M1085+M1087</f>
        <v>4342.8</v>
      </c>
      <c r="N1084" s="27">
        <f t="shared" si="1051"/>
        <v>3551.5</v>
      </c>
      <c r="O1084" s="27">
        <f t="shared" si="1008"/>
        <v>81.779036566270605</v>
      </c>
    </row>
    <row r="1085" spans="1:15" ht="94.5" x14ac:dyDescent="0.25">
      <c r="A1085" s="26" t="s">
        <v>178</v>
      </c>
      <c r="B1085" s="220">
        <v>910</v>
      </c>
      <c r="C1085" s="218" t="s">
        <v>169</v>
      </c>
      <c r="D1085" s="218" t="s">
        <v>264</v>
      </c>
      <c r="E1085" s="218" t="s">
        <v>629</v>
      </c>
      <c r="F1085" s="218" t="s">
        <v>179</v>
      </c>
      <c r="G1085" s="27">
        <f t="shared" ref="G1085:L1085" si="1052">G1086</f>
        <v>4100.6000000000004</v>
      </c>
      <c r="H1085" s="27">
        <f t="shared" si="1052"/>
        <v>3162</v>
      </c>
      <c r="I1085" s="27">
        <f t="shared" si="1052"/>
        <v>4378.6000000000004</v>
      </c>
      <c r="J1085" s="27">
        <f t="shared" si="1052"/>
        <v>3873.8</v>
      </c>
      <c r="K1085" s="27">
        <f t="shared" si="1052"/>
        <v>3873.8</v>
      </c>
      <c r="L1085" s="27">
        <f t="shared" si="1052"/>
        <v>3873.8</v>
      </c>
      <c r="M1085" s="27">
        <f t="shared" ref="M1085:N1085" si="1053">M1086+M1087</f>
        <v>4342.8</v>
      </c>
      <c r="N1085" s="27">
        <f t="shared" si="1053"/>
        <v>3551.5</v>
      </c>
      <c r="O1085" s="27">
        <f t="shared" si="1008"/>
        <v>81.779036566270605</v>
      </c>
    </row>
    <row r="1086" spans="1:15" ht="31.5" x14ac:dyDescent="0.25">
      <c r="A1086" s="26" t="s">
        <v>180</v>
      </c>
      <c r="B1086" s="220">
        <v>910</v>
      </c>
      <c r="C1086" s="218" t="s">
        <v>169</v>
      </c>
      <c r="D1086" s="218" t="s">
        <v>264</v>
      </c>
      <c r="E1086" s="218" t="s">
        <v>629</v>
      </c>
      <c r="F1086" s="218" t="s">
        <v>181</v>
      </c>
      <c r="G1086" s="28">
        <f>4188.8-55.2-33</f>
        <v>4100.6000000000004</v>
      </c>
      <c r="H1086" s="28">
        <v>3162</v>
      </c>
      <c r="I1086" s="28">
        <f>4378.6</f>
        <v>4378.6000000000004</v>
      </c>
      <c r="J1086" s="28">
        <v>3873.8</v>
      </c>
      <c r="K1086" s="28">
        <v>3873.8</v>
      </c>
      <c r="L1086" s="28">
        <v>3873.8</v>
      </c>
      <c r="M1086" s="28">
        <v>4342.8</v>
      </c>
      <c r="N1086" s="28">
        <v>3551.5</v>
      </c>
      <c r="O1086" s="27">
        <f t="shared" si="1008"/>
        <v>81.779036566270605</v>
      </c>
    </row>
    <row r="1087" spans="1:15" ht="47.25" hidden="1" customHeight="1" x14ac:dyDescent="0.25">
      <c r="A1087" s="26" t="s">
        <v>249</v>
      </c>
      <c r="B1087" s="220">
        <v>910</v>
      </c>
      <c r="C1087" s="218" t="s">
        <v>169</v>
      </c>
      <c r="D1087" s="218" t="s">
        <v>264</v>
      </c>
      <c r="E1087" s="218" t="s">
        <v>629</v>
      </c>
      <c r="F1087" s="218" t="s">
        <v>183</v>
      </c>
      <c r="G1087" s="27">
        <f t="shared" ref="G1087:L1087" si="1054">G1088</f>
        <v>33</v>
      </c>
      <c r="H1087" s="27">
        <f t="shared" si="1054"/>
        <v>33</v>
      </c>
      <c r="I1087" s="27">
        <f t="shared" si="1054"/>
        <v>33</v>
      </c>
      <c r="J1087" s="27">
        <f t="shared" si="1054"/>
        <v>469</v>
      </c>
      <c r="K1087" s="27">
        <f t="shared" si="1054"/>
        <v>469</v>
      </c>
      <c r="L1087" s="27">
        <f t="shared" si="1054"/>
        <v>469</v>
      </c>
      <c r="M1087" s="27">
        <f t="shared" ref="M1087:N1087" si="1055">M1088</f>
        <v>0</v>
      </c>
      <c r="N1087" s="27">
        <f t="shared" si="1055"/>
        <v>0</v>
      </c>
      <c r="O1087" s="27" t="e">
        <f t="shared" si="1008"/>
        <v>#DIV/0!</v>
      </c>
    </row>
    <row r="1088" spans="1:15" ht="47.25" hidden="1" customHeight="1" x14ac:dyDescent="0.25">
      <c r="A1088" s="26" t="s">
        <v>184</v>
      </c>
      <c r="B1088" s="220">
        <v>910</v>
      </c>
      <c r="C1088" s="218" t="s">
        <v>169</v>
      </c>
      <c r="D1088" s="218" t="s">
        <v>264</v>
      </c>
      <c r="E1088" s="218" t="s">
        <v>629</v>
      </c>
      <c r="F1088" s="218" t="s">
        <v>185</v>
      </c>
      <c r="G1088" s="27">
        <v>33</v>
      </c>
      <c r="H1088" s="27">
        <v>33</v>
      </c>
      <c r="I1088" s="27">
        <f>H1088</f>
        <v>33</v>
      </c>
      <c r="J1088" s="27">
        <v>469</v>
      </c>
      <c r="K1088" s="27">
        <v>469</v>
      </c>
      <c r="L1088" s="27">
        <v>469</v>
      </c>
      <c r="M1088" s="27">
        <v>0</v>
      </c>
      <c r="N1088" s="27">
        <v>0</v>
      </c>
      <c r="O1088" s="27" t="e">
        <f t="shared" si="1008"/>
        <v>#DIV/0!</v>
      </c>
    </row>
    <row r="1089" spans="1:15" ht="78.75" x14ac:dyDescent="0.25">
      <c r="A1089" s="24" t="s">
        <v>630</v>
      </c>
      <c r="B1089" s="217">
        <v>910</v>
      </c>
      <c r="C1089" s="219" t="s">
        <v>169</v>
      </c>
      <c r="D1089" s="219" t="s">
        <v>266</v>
      </c>
      <c r="E1089" s="219"/>
      <c r="F1089" s="219"/>
      <c r="G1089" s="22">
        <f>G1090</f>
        <v>1138.7</v>
      </c>
      <c r="H1089" s="22">
        <f>H1090</f>
        <v>874.7</v>
      </c>
      <c r="I1089" s="22">
        <f t="shared" ref="I1089:L1089" si="1056">I1090</f>
        <v>1302.7</v>
      </c>
      <c r="J1089" s="22">
        <f t="shared" si="1056"/>
        <v>1049.5</v>
      </c>
      <c r="K1089" s="22">
        <f t="shared" si="1056"/>
        <v>1049.5</v>
      </c>
      <c r="L1089" s="22">
        <f t="shared" si="1056"/>
        <v>1049.5</v>
      </c>
      <c r="M1089" s="22">
        <f t="shared" ref="M1089:N1091" si="1057">M1090</f>
        <v>1049.5</v>
      </c>
      <c r="N1089" s="22">
        <f t="shared" si="1057"/>
        <v>923.5</v>
      </c>
      <c r="O1089" s="22">
        <f t="shared" si="1008"/>
        <v>87.994282991900903</v>
      </c>
    </row>
    <row r="1090" spans="1:15" ht="15.75" x14ac:dyDescent="0.25">
      <c r="A1090" s="26" t="s">
        <v>172</v>
      </c>
      <c r="B1090" s="220">
        <v>910</v>
      </c>
      <c r="C1090" s="218" t="s">
        <v>169</v>
      </c>
      <c r="D1090" s="218" t="s">
        <v>266</v>
      </c>
      <c r="E1090" s="218" t="s">
        <v>173</v>
      </c>
      <c r="F1090" s="219"/>
      <c r="G1090" s="27">
        <f t="shared" ref="G1090:L1091" si="1058">G1091</f>
        <v>1138.7</v>
      </c>
      <c r="H1090" s="27">
        <f t="shared" si="1058"/>
        <v>874.7</v>
      </c>
      <c r="I1090" s="27">
        <f t="shared" si="1058"/>
        <v>1302.7</v>
      </c>
      <c r="J1090" s="27">
        <f t="shared" si="1058"/>
        <v>1049.5</v>
      </c>
      <c r="K1090" s="27">
        <f t="shared" si="1058"/>
        <v>1049.5</v>
      </c>
      <c r="L1090" s="27">
        <f t="shared" si="1058"/>
        <v>1049.5</v>
      </c>
      <c r="M1090" s="27">
        <f t="shared" si="1057"/>
        <v>1049.5</v>
      </c>
      <c r="N1090" s="27">
        <f t="shared" si="1057"/>
        <v>923.5</v>
      </c>
      <c r="O1090" s="27">
        <f t="shared" si="1008"/>
        <v>87.994282991900903</v>
      </c>
    </row>
    <row r="1091" spans="1:15" ht="31.5" x14ac:dyDescent="0.25">
      <c r="A1091" s="26" t="s">
        <v>174</v>
      </c>
      <c r="B1091" s="220">
        <v>910</v>
      </c>
      <c r="C1091" s="218" t="s">
        <v>169</v>
      </c>
      <c r="D1091" s="218" t="s">
        <v>266</v>
      </c>
      <c r="E1091" s="218" t="s">
        <v>175</v>
      </c>
      <c r="F1091" s="219"/>
      <c r="G1091" s="27">
        <f>G1092</f>
        <v>1138.7</v>
      </c>
      <c r="H1091" s="27">
        <f>H1092</f>
        <v>874.7</v>
      </c>
      <c r="I1091" s="27">
        <f t="shared" si="1058"/>
        <v>1302.7</v>
      </c>
      <c r="J1091" s="27">
        <f t="shared" si="1058"/>
        <v>1049.5</v>
      </c>
      <c r="K1091" s="27">
        <f t="shared" si="1058"/>
        <v>1049.5</v>
      </c>
      <c r="L1091" s="27">
        <f t="shared" si="1058"/>
        <v>1049.5</v>
      </c>
      <c r="M1091" s="27">
        <f t="shared" si="1057"/>
        <v>1049.5</v>
      </c>
      <c r="N1091" s="27">
        <f t="shared" si="1057"/>
        <v>923.5</v>
      </c>
      <c r="O1091" s="27">
        <f t="shared" si="1008"/>
        <v>87.994282991900903</v>
      </c>
    </row>
    <row r="1092" spans="1:15" ht="47.25" x14ac:dyDescent="0.25">
      <c r="A1092" s="26" t="s">
        <v>631</v>
      </c>
      <c r="B1092" s="220">
        <v>910</v>
      </c>
      <c r="C1092" s="218" t="s">
        <v>169</v>
      </c>
      <c r="D1092" s="218" t="s">
        <v>266</v>
      </c>
      <c r="E1092" s="218" t="s">
        <v>632</v>
      </c>
      <c r="F1092" s="218"/>
      <c r="G1092" s="27">
        <f t="shared" ref="G1092:L1092" si="1059">G1093+G1095+G1097</f>
        <v>1138.7</v>
      </c>
      <c r="H1092" s="27">
        <f t="shared" si="1059"/>
        <v>874.7</v>
      </c>
      <c r="I1092" s="27">
        <f t="shared" si="1059"/>
        <v>1302.7</v>
      </c>
      <c r="J1092" s="27">
        <f t="shared" si="1059"/>
        <v>1049.5</v>
      </c>
      <c r="K1092" s="27">
        <f t="shared" si="1059"/>
        <v>1049.5</v>
      </c>
      <c r="L1092" s="27">
        <f t="shared" si="1059"/>
        <v>1049.5</v>
      </c>
      <c r="M1092" s="27">
        <f t="shared" ref="M1092:N1092" si="1060">M1093+M1095+M1097</f>
        <v>1049.5</v>
      </c>
      <c r="N1092" s="27">
        <f t="shared" si="1060"/>
        <v>923.5</v>
      </c>
      <c r="O1092" s="27">
        <f t="shared" si="1008"/>
        <v>87.994282991900903</v>
      </c>
    </row>
    <row r="1093" spans="1:15" ht="94.5" x14ac:dyDescent="0.25">
      <c r="A1093" s="26" t="s">
        <v>178</v>
      </c>
      <c r="B1093" s="220">
        <v>910</v>
      </c>
      <c r="C1093" s="218" t="s">
        <v>169</v>
      </c>
      <c r="D1093" s="218" t="s">
        <v>266</v>
      </c>
      <c r="E1093" s="218" t="s">
        <v>632</v>
      </c>
      <c r="F1093" s="218" t="s">
        <v>179</v>
      </c>
      <c r="G1093" s="27">
        <f>G1094</f>
        <v>1003.7</v>
      </c>
      <c r="H1093" s="27">
        <f>H1094</f>
        <v>816.7</v>
      </c>
      <c r="I1093" s="27">
        <f t="shared" ref="I1093:L1093" si="1061">I1094</f>
        <v>1164.7</v>
      </c>
      <c r="J1093" s="27">
        <f t="shared" si="1061"/>
        <v>956.5</v>
      </c>
      <c r="K1093" s="27">
        <f t="shared" si="1061"/>
        <v>956.5</v>
      </c>
      <c r="L1093" s="27">
        <f t="shared" si="1061"/>
        <v>956.5</v>
      </c>
      <c r="M1093" s="27">
        <f t="shared" ref="M1093:N1093" si="1062">M1094</f>
        <v>956.5</v>
      </c>
      <c r="N1093" s="27">
        <f t="shared" si="1062"/>
        <v>857.3</v>
      </c>
      <c r="O1093" s="27">
        <f t="shared" si="1008"/>
        <v>89.628855201254567</v>
      </c>
    </row>
    <row r="1094" spans="1:15" ht="31.5" x14ac:dyDescent="0.25">
      <c r="A1094" s="26" t="s">
        <v>180</v>
      </c>
      <c r="B1094" s="220">
        <v>910</v>
      </c>
      <c r="C1094" s="218" t="s">
        <v>169</v>
      </c>
      <c r="D1094" s="218" t="s">
        <v>266</v>
      </c>
      <c r="E1094" s="218" t="s">
        <v>632</v>
      </c>
      <c r="F1094" s="218" t="s">
        <v>181</v>
      </c>
      <c r="G1094" s="27">
        <v>1003.7</v>
      </c>
      <c r="H1094" s="27">
        <v>816.7</v>
      </c>
      <c r="I1094" s="27">
        <v>1164.7</v>
      </c>
      <c r="J1094" s="27">
        <v>956.5</v>
      </c>
      <c r="K1094" s="27">
        <v>956.5</v>
      </c>
      <c r="L1094" s="27">
        <v>956.5</v>
      </c>
      <c r="M1094" s="27">
        <v>956.5</v>
      </c>
      <c r="N1094" s="27">
        <v>857.3</v>
      </c>
      <c r="O1094" s="27">
        <f t="shared" si="1008"/>
        <v>89.628855201254567</v>
      </c>
    </row>
    <row r="1095" spans="1:15" ht="47.25" x14ac:dyDescent="0.25">
      <c r="A1095" s="26" t="s">
        <v>249</v>
      </c>
      <c r="B1095" s="220">
        <v>910</v>
      </c>
      <c r="C1095" s="218" t="s">
        <v>169</v>
      </c>
      <c r="D1095" s="218" t="s">
        <v>266</v>
      </c>
      <c r="E1095" s="218" t="s">
        <v>632</v>
      </c>
      <c r="F1095" s="218" t="s">
        <v>183</v>
      </c>
      <c r="G1095" s="27">
        <f>G1096</f>
        <v>135</v>
      </c>
      <c r="H1095" s="27">
        <f>H1096</f>
        <v>58</v>
      </c>
      <c r="I1095" s="27">
        <f t="shared" ref="I1095:L1095" si="1063">I1096</f>
        <v>138</v>
      </c>
      <c r="J1095" s="27">
        <f t="shared" si="1063"/>
        <v>93</v>
      </c>
      <c r="K1095" s="27">
        <f t="shared" si="1063"/>
        <v>93</v>
      </c>
      <c r="L1095" s="27">
        <f t="shared" si="1063"/>
        <v>93</v>
      </c>
      <c r="M1095" s="27">
        <f t="shared" ref="M1095:N1095" si="1064">M1096</f>
        <v>93</v>
      </c>
      <c r="N1095" s="27">
        <f t="shared" si="1064"/>
        <v>66.2</v>
      </c>
      <c r="O1095" s="27">
        <f t="shared" si="1008"/>
        <v>71.182795698924735</v>
      </c>
    </row>
    <row r="1096" spans="1:15" ht="47.25" x14ac:dyDescent="0.25">
      <c r="A1096" s="26" t="s">
        <v>184</v>
      </c>
      <c r="B1096" s="220">
        <v>910</v>
      </c>
      <c r="C1096" s="218" t="s">
        <v>169</v>
      </c>
      <c r="D1096" s="218" t="s">
        <v>266</v>
      </c>
      <c r="E1096" s="218" t="s">
        <v>632</v>
      </c>
      <c r="F1096" s="218" t="s">
        <v>185</v>
      </c>
      <c r="G1096" s="27">
        <v>135</v>
      </c>
      <c r="H1096" s="27">
        <v>58</v>
      </c>
      <c r="I1096" s="27">
        <v>138</v>
      </c>
      <c r="J1096" s="27">
        <v>93</v>
      </c>
      <c r="K1096" s="27">
        <v>93</v>
      </c>
      <c r="L1096" s="27">
        <v>93</v>
      </c>
      <c r="M1096" s="27">
        <v>93</v>
      </c>
      <c r="N1096" s="27">
        <v>66.2</v>
      </c>
      <c r="O1096" s="27">
        <f t="shared" si="1008"/>
        <v>71.182795698924735</v>
      </c>
    </row>
    <row r="1097" spans="1:15" ht="15.75" hidden="1" customHeight="1" x14ac:dyDescent="0.25">
      <c r="A1097" s="26" t="s">
        <v>186</v>
      </c>
      <c r="B1097" s="220">
        <v>910</v>
      </c>
      <c r="C1097" s="218" t="s">
        <v>169</v>
      </c>
      <c r="D1097" s="218" t="s">
        <v>266</v>
      </c>
      <c r="E1097" s="218" t="s">
        <v>632</v>
      </c>
      <c r="F1097" s="218" t="s">
        <v>196</v>
      </c>
      <c r="G1097" s="27">
        <f t="shared" ref="G1097:L1097" si="1065">G1098</f>
        <v>0</v>
      </c>
      <c r="H1097" s="27">
        <f t="shared" si="1065"/>
        <v>0</v>
      </c>
      <c r="I1097" s="27">
        <f t="shared" si="1065"/>
        <v>0</v>
      </c>
      <c r="J1097" s="27">
        <f t="shared" si="1065"/>
        <v>0</v>
      </c>
      <c r="K1097" s="27">
        <f t="shared" si="1065"/>
        <v>0</v>
      </c>
      <c r="L1097" s="27">
        <f t="shared" si="1065"/>
        <v>0</v>
      </c>
      <c r="M1097" s="27">
        <f t="shared" ref="M1097:N1097" si="1066">M1098</f>
        <v>0</v>
      </c>
      <c r="N1097" s="27">
        <f t="shared" si="1066"/>
        <v>0</v>
      </c>
      <c r="O1097" s="27" t="e">
        <f t="shared" si="1008"/>
        <v>#DIV/0!</v>
      </c>
    </row>
    <row r="1098" spans="1:15" ht="15.75" hidden="1" customHeight="1" x14ac:dyDescent="0.25">
      <c r="A1098" s="26" t="s">
        <v>620</v>
      </c>
      <c r="B1098" s="220">
        <v>910</v>
      </c>
      <c r="C1098" s="218" t="s">
        <v>169</v>
      </c>
      <c r="D1098" s="218" t="s">
        <v>266</v>
      </c>
      <c r="E1098" s="218" t="s">
        <v>632</v>
      </c>
      <c r="F1098" s="218" t="s">
        <v>189</v>
      </c>
      <c r="G1098" s="27">
        <v>0</v>
      </c>
      <c r="H1098" s="27">
        <v>0</v>
      </c>
      <c r="I1098" s="27">
        <v>0</v>
      </c>
      <c r="J1098" s="27">
        <v>0</v>
      </c>
      <c r="K1098" s="27">
        <v>0</v>
      </c>
      <c r="L1098" s="27">
        <v>0</v>
      </c>
      <c r="M1098" s="27">
        <v>0</v>
      </c>
      <c r="N1098" s="27">
        <v>0</v>
      </c>
      <c r="O1098" s="27" t="e">
        <f t="shared" si="1008"/>
        <v>#DIV/0!</v>
      </c>
    </row>
    <row r="1099" spans="1:15" ht="63" x14ac:dyDescent="0.25">
      <c r="A1099" s="24" t="s">
        <v>170</v>
      </c>
      <c r="B1099" s="217">
        <v>910</v>
      </c>
      <c r="C1099" s="219" t="s">
        <v>169</v>
      </c>
      <c r="D1099" s="219" t="s">
        <v>171</v>
      </c>
      <c r="E1099" s="219"/>
      <c r="F1099" s="219"/>
      <c r="G1099" s="22">
        <f>G1100</f>
        <v>1737.7</v>
      </c>
      <c r="H1099" s="22">
        <f t="shared" ref="H1099:H1101" si="1067">H1100</f>
        <v>1659.5</v>
      </c>
      <c r="I1099" s="22">
        <f t="shared" ref="I1099:L1101" si="1068">I1100</f>
        <v>2083.7000000000003</v>
      </c>
      <c r="J1099" s="22">
        <f t="shared" si="1068"/>
        <v>3035.2000000000003</v>
      </c>
      <c r="K1099" s="22">
        <f t="shared" si="1068"/>
        <v>3035.2000000000003</v>
      </c>
      <c r="L1099" s="22">
        <f t="shared" si="1068"/>
        <v>3035.2000000000003</v>
      </c>
      <c r="M1099" s="22">
        <f t="shared" ref="M1099:N1101" si="1069">M1100</f>
        <v>1571.7</v>
      </c>
      <c r="N1099" s="22">
        <f t="shared" si="1069"/>
        <v>1210.3</v>
      </c>
      <c r="O1099" s="22">
        <f t="shared" si="1008"/>
        <v>77.005789909015704</v>
      </c>
    </row>
    <row r="1100" spans="1:15" s="138" customFormat="1" ht="15.75" x14ac:dyDescent="0.25">
      <c r="A1100" s="26" t="s">
        <v>172</v>
      </c>
      <c r="B1100" s="220">
        <v>910</v>
      </c>
      <c r="C1100" s="218" t="s">
        <v>169</v>
      </c>
      <c r="D1100" s="218" t="s">
        <v>171</v>
      </c>
      <c r="E1100" s="218" t="s">
        <v>173</v>
      </c>
      <c r="F1100" s="218"/>
      <c r="G1100" s="27">
        <f>G1101</f>
        <v>1737.7</v>
      </c>
      <c r="H1100" s="27">
        <f t="shared" si="1067"/>
        <v>1659.5</v>
      </c>
      <c r="I1100" s="27">
        <f t="shared" si="1068"/>
        <v>2083.7000000000003</v>
      </c>
      <c r="J1100" s="27">
        <f t="shared" si="1068"/>
        <v>3035.2000000000003</v>
      </c>
      <c r="K1100" s="27">
        <f t="shared" si="1068"/>
        <v>3035.2000000000003</v>
      </c>
      <c r="L1100" s="27">
        <f t="shared" si="1068"/>
        <v>3035.2000000000003</v>
      </c>
      <c r="M1100" s="27">
        <f t="shared" si="1069"/>
        <v>1571.7</v>
      </c>
      <c r="N1100" s="27">
        <f t="shared" si="1069"/>
        <v>1210.3</v>
      </c>
      <c r="O1100" s="27">
        <f t="shared" ref="O1100:O1135" si="1070">N1100/M1100*100</f>
        <v>77.005789909015704</v>
      </c>
    </row>
    <row r="1101" spans="1:15" s="138" customFormat="1" ht="31.5" x14ac:dyDescent="0.25">
      <c r="A1101" s="26" t="s">
        <v>174</v>
      </c>
      <c r="B1101" s="220">
        <v>910</v>
      </c>
      <c r="C1101" s="218" t="s">
        <v>169</v>
      </c>
      <c r="D1101" s="218" t="s">
        <v>171</v>
      </c>
      <c r="E1101" s="218" t="s">
        <v>175</v>
      </c>
      <c r="F1101" s="218"/>
      <c r="G1101" s="27">
        <f>G1102</f>
        <v>1737.7</v>
      </c>
      <c r="H1101" s="27">
        <f t="shared" si="1067"/>
        <v>1659.5</v>
      </c>
      <c r="I1101" s="27">
        <f t="shared" si="1068"/>
        <v>2083.7000000000003</v>
      </c>
      <c r="J1101" s="27">
        <f t="shared" si="1068"/>
        <v>3035.2000000000003</v>
      </c>
      <c r="K1101" s="27">
        <f t="shared" si="1068"/>
        <v>3035.2000000000003</v>
      </c>
      <c r="L1101" s="27">
        <f t="shared" si="1068"/>
        <v>3035.2000000000003</v>
      </c>
      <c r="M1101" s="27">
        <f t="shared" si="1069"/>
        <v>1571.7</v>
      </c>
      <c r="N1101" s="27">
        <f t="shared" si="1069"/>
        <v>1210.3</v>
      </c>
      <c r="O1101" s="27">
        <f t="shared" si="1070"/>
        <v>77.005789909015704</v>
      </c>
    </row>
    <row r="1102" spans="1:15" s="138" customFormat="1" ht="47.25" x14ac:dyDescent="0.25">
      <c r="A1102" s="26" t="s">
        <v>176</v>
      </c>
      <c r="B1102" s="220">
        <v>910</v>
      </c>
      <c r="C1102" s="218" t="s">
        <v>169</v>
      </c>
      <c r="D1102" s="218" t="s">
        <v>171</v>
      </c>
      <c r="E1102" s="218" t="s">
        <v>177</v>
      </c>
      <c r="F1102" s="218"/>
      <c r="G1102" s="27">
        <f>G1103+G1105</f>
        <v>1737.7</v>
      </c>
      <c r="H1102" s="27">
        <f>H1103+H1105</f>
        <v>1659.5</v>
      </c>
      <c r="I1102" s="27">
        <f t="shared" ref="I1102:L1102" si="1071">I1103+I1105</f>
        <v>2083.7000000000003</v>
      </c>
      <c r="J1102" s="27">
        <f t="shared" si="1071"/>
        <v>3035.2000000000003</v>
      </c>
      <c r="K1102" s="27">
        <f t="shared" si="1071"/>
        <v>3035.2000000000003</v>
      </c>
      <c r="L1102" s="27">
        <f t="shared" si="1071"/>
        <v>3035.2000000000003</v>
      </c>
      <c r="M1102" s="27">
        <f t="shared" ref="M1102:N1102" si="1072">M1103+M1105</f>
        <v>1571.7</v>
      </c>
      <c r="N1102" s="27">
        <f t="shared" si="1072"/>
        <v>1210.3</v>
      </c>
      <c r="O1102" s="27">
        <f t="shared" si="1070"/>
        <v>77.005789909015704</v>
      </c>
    </row>
    <row r="1103" spans="1:15" ht="94.5" x14ac:dyDescent="0.25">
      <c r="A1103" s="26" t="s">
        <v>178</v>
      </c>
      <c r="B1103" s="220">
        <v>910</v>
      </c>
      <c r="C1103" s="218" t="s">
        <v>169</v>
      </c>
      <c r="D1103" s="218" t="s">
        <v>171</v>
      </c>
      <c r="E1103" s="218" t="s">
        <v>177</v>
      </c>
      <c r="F1103" s="218" t="s">
        <v>179</v>
      </c>
      <c r="G1103" s="27">
        <f>G1104</f>
        <v>1719.4</v>
      </c>
      <c r="H1103" s="27">
        <f>H1104</f>
        <v>1659.5</v>
      </c>
      <c r="I1103" s="27">
        <f t="shared" ref="I1103:L1103" si="1073">I1104</f>
        <v>2065.4</v>
      </c>
      <c r="J1103" s="27">
        <f t="shared" si="1073"/>
        <v>2807.9</v>
      </c>
      <c r="K1103" s="27">
        <f t="shared" si="1073"/>
        <v>2807.9</v>
      </c>
      <c r="L1103" s="27">
        <f t="shared" si="1073"/>
        <v>2807.9</v>
      </c>
      <c r="M1103" s="27">
        <f t="shared" ref="M1103:N1103" si="1074">M1104</f>
        <v>1553.4</v>
      </c>
      <c r="N1103" s="27">
        <f t="shared" si="1074"/>
        <v>1210.3</v>
      </c>
      <c r="O1103" s="27">
        <f t="shared" si="1070"/>
        <v>77.912965108793614</v>
      </c>
    </row>
    <row r="1104" spans="1:15" ht="31.5" x14ac:dyDescent="0.25">
      <c r="A1104" s="26" t="s">
        <v>180</v>
      </c>
      <c r="B1104" s="220">
        <v>910</v>
      </c>
      <c r="C1104" s="218" t="s">
        <v>169</v>
      </c>
      <c r="D1104" s="218" t="s">
        <v>171</v>
      </c>
      <c r="E1104" s="218" t="s">
        <v>177</v>
      </c>
      <c r="F1104" s="218" t="s">
        <v>181</v>
      </c>
      <c r="G1104" s="27">
        <f>1664.2+55.2</f>
        <v>1719.4</v>
      </c>
      <c r="H1104" s="27">
        <v>1659.5</v>
      </c>
      <c r="I1104" s="27">
        <v>2065.4</v>
      </c>
      <c r="J1104" s="27">
        <v>2807.9</v>
      </c>
      <c r="K1104" s="27">
        <f>J1104</f>
        <v>2807.9</v>
      </c>
      <c r="L1104" s="27">
        <f>K1104</f>
        <v>2807.9</v>
      </c>
      <c r="M1104" s="27">
        <v>1553.4</v>
      </c>
      <c r="N1104" s="27">
        <v>1210.3</v>
      </c>
      <c r="O1104" s="27">
        <f t="shared" si="1070"/>
        <v>77.912965108793614</v>
      </c>
    </row>
    <row r="1105" spans="1:15" ht="47.25" x14ac:dyDescent="0.25">
      <c r="A1105" s="26" t="s">
        <v>249</v>
      </c>
      <c r="B1105" s="220">
        <v>910</v>
      </c>
      <c r="C1105" s="218" t="s">
        <v>169</v>
      </c>
      <c r="D1105" s="218" t="s">
        <v>171</v>
      </c>
      <c r="E1105" s="218" t="s">
        <v>177</v>
      </c>
      <c r="F1105" s="218" t="s">
        <v>183</v>
      </c>
      <c r="G1105" s="27">
        <f>G1106</f>
        <v>18.3</v>
      </c>
      <c r="H1105" s="27">
        <f>H1106</f>
        <v>0</v>
      </c>
      <c r="I1105" s="27">
        <f t="shared" ref="I1105:L1105" si="1075">I1106</f>
        <v>18.3</v>
      </c>
      <c r="J1105" s="27">
        <f t="shared" si="1075"/>
        <v>227.3</v>
      </c>
      <c r="K1105" s="27">
        <f t="shared" si="1075"/>
        <v>227.3</v>
      </c>
      <c r="L1105" s="27">
        <f t="shared" si="1075"/>
        <v>227.3</v>
      </c>
      <c r="M1105" s="27">
        <f t="shared" ref="M1105:N1105" si="1076">M1106</f>
        <v>18.3</v>
      </c>
      <c r="N1105" s="27">
        <f t="shared" si="1076"/>
        <v>0</v>
      </c>
      <c r="O1105" s="27">
        <f t="shared" si="1070"/>
        <v>0</v>
      </c>
    </row>
    <row r="1106" spans="1:15" ht="47.25" x14ac:dyDescent="0.25">
      <c r="A1106" s="26" t="s">
        <v>184</v>
      </c>
      <c r="B1106" s="220">
        <v>910</v>
      </c>
      <c r="C1106" s="218" t="s">
        <v>169</v>
      </c>
      <c r="D1106" s="218" t="s">
        <v>171</v>
      </c>
      <c r="E1106" s="218" t="s">
        <v>177</v>
      </c>
      <c r="F1106" s="218" t="s">
        <v>185</v>
      </c>
      <c r="G1106" s="27">
        <v>18.3</v>
      </c>
      <c r="H1106" s="27">
        <v>0</v>
      </c>
      <c r="I1106" s="27">
        <v>18.3</v>
      </c>
      <c r="J1106" s="27">
        <v>227.3</v>
      </c>
      <c r="K1106" s="27">
        <f>J1106</f>
        <v>227.3</v>
      </c>
      <c r="L1106" s="27">
        <f>K1106</f>
        <v>227.3</v>
      </c>
      <c r="M1106" s="27">
        <v>18.3</v>
      </c>
      <c r="N1106" s="27">
        <v>0</v>
      </c>
      <c r="O1106" s="27">
        <f t="shared" si="1070"/>
        <v>0</v>
      </c>
    </row>
    <row r="1107" spans="1:15" ht="15.75" x14ac:dyDescent="0.25">
      <c r="A1107" s="24" t="s">
        <v>190</v>
      </c>
      <c r="B1107" s="217">
        <v>910</v>
      </c>
      <c r="C1107" s="219" t="s">
        <v>169</v>
      </c>
      <c r="D1107" s="219" t="s">
        <v>191</v>
      </c>
      <c r="E1107" s="219"/>
      <c r="F1107" s="218"/>
      <c r="G1107" s="22">
        <f>G1108+G1112</f>
        <v>32.5</v>
      </c>
      <c r="H1107" s="22">
        <f>H1108+H1112</f>
        <v>0</v>
      </c>
      <c r="I1107" s="22">
        <f t="shared" ref="I1107:L1107" si="1077">I1108+I1112</f>
        <v>32.5</v>
      </c>
      <c r="J1107" s="22">
        <f t="shared" si="1077"/>
        <v>32.5</v>
      </c>
      <c r="K1107" s="22">
        <f t="shared" si="1077"/>
        <v>32.5</v>
      </c>
      <c r="L1107" s="22">
        <f t="shared" si="1077"/>
        <v>32.5</v>
      </c>
      <c r="M1107" s="22">
        <f t="shared" ref="M1107:N1107" si="1078">M1108+M1112</f>
        <v>50.5</v>
      </c>
      <c r="N1107" s="22">
        <f t="shared" si="1078"/>
        <v>21</v>
      </c>
      <c r="O1107" s="22">
        <f t="shared" si="1070"/>
        <v>41.584158415841586</v>
      </c>
    </row>
    <row r="1108" spans="1:15" ht="47.25" x14ac:dyDescent="0.25">
      <c r="A1108" s="26" t="s">
        <v>212</v>
      </c>
      <c r="B1108" s="220">
        <v>910</v>
      </c>
      <c r="C1108" s="218" t="s">
        <v>169</v>
      </c>
      <c r="D1108" s="218" t="s">
        <v>191</v>
      </c>
      <c r="E1108" s="218" t="s">
        <v>213</v>
      </c>
      <c r="F1108" s="218"/>
      <c r="G1108" s="27">
        <f>G1109</f>
        <v>0.5</v>
      </c>
      <c r="H1108" s="27">
        <f t="shared" ref="H1108:H1110" si="1079">H1109</f>
        <v>0</v>
      </c>
      <c r="I1108" s="27">
        <f t="shared" ref="I1108:L1110" si="1080">I1109</f>
        <v>0.5</v>
      </c>
      <c r="J1108" s="27">
        <f t="shared" si="1080"/>
        <v>0.5</v>
      </c>
      <c r="K1108" s="27">
        <f t="shared" si="1080"/>
        <v>0.5</v>
      </c>
      <c r="L1108" s="27">
        <f t="shared" si="1080"/>
        <v>0.5</v>
      </c>
      <c r="M1108" s="27">
        <f t="shared" ref="M1108:N1110" si="1081">M1109</f>
        <v>0.5</v>
      </c>
      <c r="N1108" s="27">
        <f t="shared" si="1081"/>
        <v>0.5</v>
      </c>
      <c r="O1108" s="27">
        <f t="shared" si="1070"/>
        <v>100</v>
      </c>
    </row>
    <row r="1109" spans="1:15" ht="63" x14ac:dyDescent="0.25">
      <c r="A1109" s="33" t="s">
        <v>776</v>
      </c>
      <c r="B1109" s="220">
        <v>910</v>
      </c>
      <c r="C1109" s="218" t="s">
        <v>169</v>
      </c>
      <c r="D1109" s="218" t="s">
        <v>191</v>
      </c>
      <c r="E1109" s="221" t="s">
        <v>777</v>
      </c>
      <c r="F1109" s="218"/>
      <c r="G1109" s="27">
        <f>G1110</f>
        <v>0.5</v>
      </c>
      <c r="H1109" s="27">
        <f t="shared" si="1079"/>
        <v>0</v>
      </c>
      <c r="I1109" s="27">
        <f t="shared" si="1080"/>
        <v>0.5</v>
      </c>
      <c r="J1109" s="27">
        <f t="shared" si="1080"/>
        <v>0.5</v>
      </c>
      <c r="K1109" s="27">
        <f t="shared" si="1080"/>
        <v>0.5</v>
      </c>
      <c r="L1109" s="27">
        <f t="shared" si="1080"/>
        <v>0.5</v>
      </c>
      <c r="M1109" s="27">
        <f t="shared" si="1081"/>
        <v>0.5</v>
      </c>
      <c r="N1109" s="27">
        <f t="shared" si="1081"/>
        <v>0.5</v>
      </c>
      <c r="O1109" s="27">
        <f t="shared" si="1070"/>
        <v>100</v>
      </c>
    </row>
    <row r="1110" spans="1:15" ht="31.5" x14ac:dyDescent="0.25">
      <c r="A1110" s="26" t="s">
        <v>182</v>
      </c>
      <c r="B1110" s="220">
        <v>910</v>
      </c>
      <c r="C1110" s="218" t="s">
        <v>169</v>
      </c>
      <c r="D1110" s="218" t="s">
        <v>191</v>
      </c>
      <c r="E1110" s="221" t="s">
        <v>777</v>
      </c>
      <c r="F1110" s="218" t="s">
        <v>183</v>
      </c>
      <c r="G1110" s="27">
        <f>G1111</f>
        <v>0.5</v>
      </c>
      <c r="H1110" s="27">
        <f t="shared" si="1079"/>
        <v>0</v>
      </c>
      <c r="I1110" s="27">
        <f t="shared" si="1080"/>
        <v>0.5</v>
      </c>
      <c r="J1110" s="27">
        <f t="shared" si="1080"/>
        <v>0.5</v>
      </c>
      <c r="K1110" s="27">
        <f t="shared" si="1080"/>
        <v>0.5</v>
      </c>
      <c r="L1110" s="27">
        <f t="shared" si="1080"/>
        <v>0.5</v>
      </c>
      <c r="M1110" s="27">
        <f t="shared" si="1081"/>
        <v>0.5</v>
      </c>
      <c r="N1110" s="27">
        <f t="shared" si="1081"/>
        <v>0.5</v>
      </c>
      <c r="O1110" s="27">
        <f t="shared" si="1070"/>
        <v>100</v>
      </c>
    </row>
    <row r="1111" spans="1:15" ht="47.25" x14ac:dyDescent="0.25">
      <c r="A1111" s="26" t="s">
        <v>184</v>
      </c>
      <c r="B1111" s="220">
        <v>910</v>
      </c>
      <c r="C1111" s="218" t="s">
        <v>169</v>
      </c>
      <c r="D1111" s="218" t="s">
        <v>191</v>
      </c>
      <c r="E1111" s="221" t="s">
        <v>777</v>
      </c>
      <c r="F1111" s="218" t="s">
        <v>185</v>
      </c>
      <c r="G1111" s="27">
        <v>0.5</v>
      </c>
      <c r="H1111" s="27">
        <v>0</v>
      </c>
      <c r="I1111" s="27">
        <v>0.5</v>
      </c>
      <c r="J1111" s="27">
        <v>0.5</v>
      </c>
      <c r="K1111" s="27">
        <v>0.5</v>
      </c>
      <c r="L1111" s="27">
        <v>0.5</v>
      </c>
      <c r="M1111" s="27">
        <v>0.5</v>
      </c>
      <c r="N1111" s="27">
        <v>0.5</v>
      </c>
      <c r="O1111" s="27">
        <f t="shared" si="1070"/>
        <v>100</v>
      </c>
    </row>
    <row r="1112" spans="1:15" ht="15.75" x14ac:dyDescent="0.25">
      <c r="A1112" s="33" t="s">
        <v>172</v>
      </c>
      <c r="B1112" s="220">
        <v>910</v>
      </c>
      <c r="C1112" s="218" t="s">
        <v>169</v>
      </c>
      <c r="D1112" s="218" t="s">
        <v>191</v>
      </c>
      <c r="E1112" s="218" t="s">
        <v>173</v>
      </c>
      <c r="F1112" s="218"/>
      <c r="G1112" s="27">
        <f>G1113</f>
        <v>32</v>
      </c>
      <c r="H1112" s="27">
        <f t="shared" ref="H1112:H1115" si="1082">H1113</f>
        <v>0</v>
      </c>
      <c r="I1112" s="27">
        <f t="shared" ref="I1112:L1115" si="1083">I1113</f>
        <v>32</v>
      </c>
      <c r="J1112" s="27">
        <f t="shared" si="1083"/>
        <v>32</v>
      </c>
      <c r="K1112" s="27">
        <f t="shared" si="1083"/>
        <v>32</v>
      </c>
      <c r="L1112" s="27">
        <f t="shared" si="1083"/>
        <v>32</v>
      </c>
      <c r="M1112" s="27">
        <f t="shared" ref="M1112:N1115" si="1084">M1113</f>
        <v>50</v>
      </c>
      <c r="N1112" s="27">
        <f t="shared" si="1084"/>
        <v>20.5</v>
      </c>
      <c r="O1112" s="27">
        <f t="shared" si="1070"/>
        <v>41</v>
      </c>
    </row>
    <row r="1113" spans="1:15" ht="31.5" x14ac:dyDescent="0.25">
      <c r="A1113" s="33" t="s">
        <v>236</v>
      </c>
      <c r="B1113" s="220">
        <v>910</v>
      </c>
      <c r="C1113" s="218" t="s">
        <v>169</v>
      </c>
      <c r="D1113" s="218" t="s">
        <v>191</v>
      </c>
      <c r="E1113" s="218" t="s">
        <v>237</v>
      </c>
      <c r="F1113" s="218"/>
      <c r="G1113" s="27">
        <f>G1114</f>
        <v>32</v>
      </c>
      <c r="H1113" s="27">
        <f t="shared" si="1082"/>
        <v>0</v>
      </c>
      <c r="I1113" s="27">
        <f t="shared" si="1083"/>
        <v>32</v>
      </c>
      <c r="J1113" s="27">
        <f t="shared" si="1083"/>
        <v>32</v>
      </c>
      <c r="K1113" s="27">
        <f t="shared" si="1083"/>
        <v>32</v>
      </c>
      <c r="L1113" s="27">
        <f t="shared" si="1083"/>
        <v>32</v>
      </c>
      <c r="M1113" s="27">
        <f t="shared" si="1084"/>
        <v>50</v>
      </c>
      <c r="N1113" s="27">
        <f t="shared" si="1084"/>
        <v>20.5</v>
      </c>
      <c r="O1113" s="27">
        <f t="shared" si="1070"/>
        <v>41</v>
      </c>
    </row>
    <row r="1114" spans="1:15" ht="63" x14ac:dyDescent="0.25">
      <c r="A1114" s="33" t="s">
        <v>776</v>
      </c>
      <c r="B1114" s="220">
        <v>910</v>
      </c>
      <c r="C1114" s="218" t="s">
        <v>169</v>
      </c>
      <c r="D1114" s="218" t="s">
        <v>191</v>
      </c>
      <c r="E1114" s="218" t="s">
        <v>778</v>
      </c>
      <c r="F1114" s="218"/>
      <c r="G1114" s="27">
        <f>G1115</f>
        <v>32</v>
      </c>
      <c r="H1114" s="27">
        <f t="shared" si="1082"/>
        <v>0</v>
      </c>
      <c r="I1114" s="27">
        <f t="shared" si="1083"/>
        <v>32</v>
      </c>
      <c r="J1114" s="27">
        <f t="shared" si="1083"/>
        <v>32</v>
      </c>
      <c r="K1114" s="27">
        <f t="shared" si="1083"/>
        <v>32</v>
      </c>
      <c r="L1114" s="27">
        <f t="shared" si="1083"/>
        <v>32</v>
      </c>
      <c r="M1114" s="27">
        <f t="shared" si="1084"/>
        <v>50</v>
      </c>
      <c r="N1114" s="27">
        <f t="shared" si="1084"/>
        <v>20.5</v>
      </c>
      <c r="O1114" s="27">
        <f t="shared" si="1070"/>
        <v>41</v>
      </c>
    </row>
    <row r="1115" spans="1:15" ht="31.5" x14ac:dyDescent="0.25">
      <c r="A1115" s="26" t="s">
        <v>182</v>
      </c>
      <c r="B1115" s="220">
        <v>910</v>
      </c>
      <c r="C1115" s="218" t="s">
        <v>169</v>
      </c>
      <c r="D1115" s="218" t="s">
        <v>191</v>
      </c>
      <c r="E1115" s="218" t="s">
        <v>778</v>
      </c>
      <c r="F1115" s="218" t="s">
        <v>183</v>
      </c>
      <c r="G1115" s="27">
        <f>G1116</f>
        <v>32</v>
      </c>
      <c r="H1115" s="27">
        <f t="shared" si="1082"/>
        <v>0</v>
      </c>
      <c r="I1115" s="27">
        <f t="shared" si="1083"/>
        <v>32</v>
      </c>
      <c r="J1115" s="27">
        <f t="shared" si="1083"/>
        <v>32</v>
      </c>
      <c r="K1115" s="27">
        <f t="shared" si="1083"/>
        <v>32</v>
      </c>
      <c r="L1115" s="27">
        <f t="shared" si="1083"/>
        <v>32</v>
      </c>
      <c r="M1115" s="27">
        <f t="shared" si="1084"/>
        <v>50</v>
      </c>
      <c r="N1115" s="27">
        <f t="shared" si="1084"/>
        <v>20.5</v>
      </c>
      <c r="O1115" s="27">
        <f t="shared" si="1070"/>
        <v>41</v>
      </c>
    </row>
    <row r="1116" spans="1:15" ht="47.25" x14ac:dyDescent="0.25">
      <c r="A1116" s="26" t="s">
        <v>184</v>
      </c>
      <c r="B1116" s="220">
        <v>910</v>
      </c>
      <c r="C1116" s="218" t="s">
        <v>169</v>
      </c>
      <c r="D1116" s="218" t="s">
        <v>191</v>
      </c>
      <c r="E1116" s="218" t="s">
        <v>778</v>
      </c>
      <c r="F1116" s="218" t="s">
        <v>185</v>
      </c>
      <c r="G1116" s="27">
        <v>32</v>
      </c>
      <c r="H1116" s="27">
        <v>0</v>
      </c>
      <c r="I1116" s="27">
        <v>32</v>
      </c>
      <c r="J1116" s="27">
        <v>32</v>
      </c>
      <c r="K1116" s="27">
        <v>32</v>
      </c>
      <c r="L1116" s="27">
        <v>32</v>
      </c>
      <c r="M1116" s="27">
        <v>50</v>
      </c>
      <c r="N1116" s="27">
        <v>20.5</v>
      </c>
      <c r="O1116" s="27">
        <f t="shared" si="1070"/>
        <v>41</v>
      </c>
    </row>
    <row r="1117" spans="1:15" ht="31.5" x14ac:dyDescent="0.25">
      <c r="A1117" s="24" t="s">
        <v>633</v>
      </c>
      <c r="B1117" s="217">
        <v>913</v>
      </c>
      <c r="C1117" s="219"/>
      <c r="D1117" s="219"/>
      <c r="E1117" s="219"/>
      <c r="F1117" s="219"/>
      <c r="G1117" s="22">
        <f t="shared" ref="G1117:L1117" si="1085">G1124</f>
        <v>6309.8</v>
      </c>
      <c r="H1117" s="22">
        <f t="shared" si="1085"/>
        <v>4427.2</v>
      </c>
      <c r="I1117" s="22">
        <f t="shared" si="1085"/>
        <v>6309.8</v>
      </c>
      <c r="J1117" s="22">
        <f t="shared" si="1085"/>
        <v>8181.7000000000007</v>
      </c>
      <c r="K1117" s="22">
        <f t="shared" si="1085"/>
        <v>8258.7000000000007</v>
      </c>
      <c r="L1117" s="22">
        <f t="shared" si="1085"/>
        <v>8332.7000000000007</v>
      </c>
      <c r="M1117" s="22">
        <f>M1124+M1118</f>
        <v>6347.1</v>
      </c>
      <c r="N1117" s="22">
        <f>N1124+N1118</f>
        <v>4455.6000000000004</v>
      </c>
      <c r="O1117" s="22">
        <f t="shared" si="1070"/>
        <v>70.198988514439662</v>
      </c>
    </row>
    <row r="1118" spans="1:15" ht="15.75" x14ac:dyDescent="0.25">
      <c r="A1118" s="271" t="s">
        <v>168</v>
      </c>
      <c r="B1118" s="217">
        <v>913</v>
      </c>
      <c r="C1118" s="219" t="s">
        <v>169</v>
      </c>
      <c r="D1118" s="269"/>
      <c r="E1118" s="269"/>
      <c r="F1118" s="269"/>
      <c r="G1118" s="269"/>
      <c r="H1118" s="269"/>
      <c r="I1118" s="269"/>
      <c r="J1118" s="269"/>
      <c r="K1118" s="269"/>
      <c r="L1118" s="269"/>
      <c r="M1118" s="270">
        <f t="shared" ref="M1118:N1120" si="1086">M1119</f>
        <v>63.6</v>
      </c>
      <c r="N1118" s="270">
        <f t="shared" si="1086"/>
        <v>42.4</v>
      </c>
      <c r="O1118" s="22">
        <f t="shared" si="1070"/>
        <v>66.666666666666657</v>
      </c>
    </row>
    <row r="1119" spans="1:15" ht="15.75" x14ac:dyDescent="0.25">
      <c r="A1119" s="36" t="s">
        <v>190</v>
      </c>
      <c r="B1119" s="217">
        <v>913</v>
      </c>
      <c r="C1119" s="219" t="s">
        <v>169</v>
      </c>
      <c r="D1119" s="219" t="s">
        <v>191</v>
      </c>
      <c r="E1119" s="218"/>
      <c r="F1119" s="218"/>
      <c r="G1119" s="22"/>
      <c r="H1119" s="22"/>
      <c r="I1119" s="22"/>
      <c r="J1119" s="22"/>
      <c r="K1119" s="22"/>
      <c r="L1119" s="22"/>
      <c r="M1119" s="22">
        <f t="shared" si="1086"/>
        <v>63.6</v>
      </c>
      <c r="N1119" s="22">
        <f t="shared" si="1086"/>
        <v>42.4</v>
      </c>
      <c r="O1119" s="22">
        <f t="shared" si="1070"/>
        <v>66.666666666666657</v>
      </c>
    </row>
    <row r="1120" spans="1:15" ht="63" x14ac:dyDescent="0.25">
      <c r="A1120" s="31" t="s">
        <v>801</v>
      </c>
      <c r="B1120" s="220">
        <v>913</v>
      </c>
      <c r="C1120" s="218" t="s">
        <v>169</v>
      </c>
      <c r="D1120" s="218" t="s">
        <v>191</v>
      </c>
      <c r="E1120" s="218" t="s">
        <v>799</v>
      </c>
      <c r="F1120" s="225"/>
      <c r="G1120" s="27">
        <f>G1122</f>
        <v>29</v>
      </c>
      <c r="H1120" s="27">
        <f t="shared" ref="H1120:L1120" si="1087">H1122</f>
        <v>19.100000000000001</v>
      </c>
      <c r="I1120" s="27">
        <f t="shared" si="1087"/>
        <v>29</v>
      </c>
      <c r="J1120" s="27">
        <f t="shared" si="1087"/>
        <v>0</v>
      </c>
      <c r="K1120" s="27">
        <f t="shared" si="1087"/>
        <v>0</v>
      </c>
      <c r="L1120" s="27">
        <f t="shared" si="1087"/>
        <v>0</v>
      </c>
      <c r="M1120" s="27">
        <f t="shared" si="1086"/>
        <v>63.6</v>
      </c>
      <c r="N1120" s="27">
        <f t="shared" si="1086"/>
        <v>42.4</v>
      </c>
      <c r="O1120" s="27">
        <f t="shared" si="1070"/>
        <v>66.666666666666657</v>
      </c>
    </row>
    <row r="1121" spans="1:15" ht="31.5" x14ac:dyDescent="0.25">
      <c r="A1121" s="125" t="s">
        <v>931</v>
      </c>
      <c r="B1121" s="220">
        <v>913</v>
      </c>
      <c r="C1121" s="218" t="s">
        <v>169</v>
      </c>
      <c r="D1121" s="218" t="s">
        <v>191</v>
      </c>
      <c r="E1121" s="218" t="s">
        <v>932</v>
      </c>
      <c r="F1121" s="225"/>
      <c r="G1121" s="27">
        <f t="shared" ref="G1121:N1121" si="1088">G1122</f>
        <v>29</v>
      </c>
      <c r="H1121" s="27">
        <f t="shared" si="1088"/>
        <v>19.100000000000001</v>
      </c>
      <c r="I1121" s="27">
        <f t="shared" si="1088"/>
        <v>29</v>
      </c>
      <c r="J1121" s="27">
        <f t="shared" si="1088"/>
        <v>0</v>
      </c>
      <c r="K1121" s="27">
        <f t="shared" si="1088"/>
        <v>0</v>
      </c>
      <c r="L1121" s="27">
        <f t="shared" si="1088"/>
        <v>0</v>
      </c>
      <c r="M1121" s="27">
        <f t="shared" si="1088"/>
        <v>63.6</v>
      </c>
      <c r="N1121" s="27">
        <f t="shared" si="1088"/>
        <v>42.4</v>
      </c>
      <c r="O1121" s="27">
        <f t="shared" si="1070"/>
        <v>66.666666666666657</v>
      </c>
    </row>
    <row r="1122" spans="1:15" ht="31.5" x14ac:dyDescent="0.25">
      <c r="A1122" s="26" t="s">
        <v>182</v>
      </c>
      <c r="B1122" s="220">
        <v>913</v>
      </c>
      <c r="C1122" s="218" t="s">
        <v>169</v>
      </c>
      <c r="D1122" s="218" t="s">
        <v>191</v>
      </c>
      <c r="E1122" s="218" t="s">
        <v>932</v>
      </c>
      <c r="F1122" s="225" t="s">
        <v>183</v>
      </c>
      <c r="G1122" s="27">
        <f>G1123</f>
        <v>29</v>
      </c>
      <c r="H1122" s="27">
        <f t="shared" ref="H1122:N1122" si="1089">H1123</f>
        <v>19.100000000000001</v>
      </c>
      <c r="I1122" s="27">
        <f t="shared" si="1089"/>
        <v>29</v>
      </c>
      <c r="J1122" s="27">
        <f t="shared" si="1089"/>
        <v>0</v>
      </c>
      <c r="K1122" s="27">
        <f t="shared" si="1089"/>
        <v>0</v>
      </c>
      <c r="L1122" s="27">
        <f t="shared" si="1089"/>
        <v>0</v>
      </c>
      <c r="M1122" s="27">
        <f t="shared" si="1089"/>
        <v>63.6</v>
      </c>
      <c r="N1122" s="27">
        <f t="shared" si="1089"/>
        <v>42.4</v>
      </c>
      <c r="O1122" s="27">
        <f t="shared" si="1070"/>
        <v>66.666666666666657</v>
      </c>
    </row>
    <row r="1123" spans="1:15" ht="47.25" x14ac:dyDescent="0.25">
      <c r="A1123" s="26" t="s">
        <v>184</v>
      </c>
      <c r="B1123" s="220">
        <v>913</v>
      </c>
      <c r="C1123" s="218" t="s">
        <v>169</v>
      </c>
      <c r="D1123" s="218" t="s">
        <v>191</v>
      </c>
      <c r="E1123" s="218" t="s">
        <v>932</v>
      </c>
      <c r="F1123" s="225" t="s">
        <v>185</v>
      </c>
      <c r="G1123" s="27">
        <v>29</v>
      </c>
      <c r="H1123" s="27">
        <v>19.100000000000001</v>
      </c>
      <c r="I1123" s="27">
        <v>29</v>
      </c>
      <c r="J1123" s="27">
        <v>0</v>
      </c>
      <c r="K1123" s="27">
        <v>0</v>
      </c>
      <c r="L1123" s="27">
        <v>0</v>
      </c>
      <c r="M1123" s="27">
        <f>60+3.6</f>
        <v>63.6</v>
      </c>
      <c r="N1123" s="27">
        <v>42.4</v>
      </c>
      <c r="O1123" s="27">
        <f t="shared" si="1070"/>
        <v>66.666666666666657</v>
      </c>
    </row>
    <row r="1124" spans="1:15" ht="15.75" x14ac:dyDescent="0.25">
      <c r="A1124" s="24" t="s">
        <v>634</v>
      </c>
      <c r="B1124" s="217">
        <v>913</v>
      </c>
      <c r="C1124" s="219" t="s">
        <v>289</v>
      </c>
      <c r="D1124" s="218"/>
      <c r="E1124" s="218"/>
      <c r="F1124" s="218"/>
      <c r="G1124" s="27">
        <f t="shared" ref="G1124:N1125" si="1090">G1125</f>
        <v>6309.8</v>
      </c>
      <c r="H1124" s="27">
        <f t="shared" si="1090"/>
        <v>4427.2</v>
      </c>
      <c r="I1124" s="27">
        <f t="shared" si="1090"/>
        <v>6309.8</v>
      </c>
      <c r="J1124" s="27">
        <f t="shared" si="1090"/>
        <v>8181.7000000000007</v>
      </c>
      <c r="K1124" s="27">
        <f t="shared" si="1090"/>
        <v>8258.7000000000007</v>
      </c>
      <c r="L1124" s="27">
        <f t="shared" si="1090"/>
        <v>8332.7000000000007</v>
      </c>
      <c r="M1124" s="27">
        <f t="shared" si="1090"/>
        <v>6283.5</v>
      </c>
      <c r="N1124" s="27">
        <f t="shared" si="1090"/>
        <v>4413.2000000000007</v>
      </c>
      <c r="O1124" s="27">
        <f t="shared" si="1070"/>
        <v>70.234741784037567</v>
      </c>
    </row>
    <row r="1125" spans="1:15" ht="15.75" x14ac:dyDescent="0.25">
      <c r="A1125" s="24" t="s">
        <v>635</v>
      </c>
      <c r="B1125" s="217">
        <v>913</v>
      </c>
      <c r="C1125" s="219" t="s">
        <v>289</v>
      </c>
      <c r="D1125" s="219" t="s">
        <v>264</v>
      </c>
      <c r="E1125" s="219"/>
      <c r="F1125" s="219"/>
      <c r="G1125" s="27">
        <f t="shared" si="1090"/>
        <v>6309.8</v>
      </c>
      <c r="H1125" s="27">
        <f t="shared" si="1090"/>
        <v>4427.2</v>
      </c>
      <c r="I1125" s="27">
        <f t="shared" si="1090"/>
        <v>6309.8</v>
      </c>
      <c r="J1125" s="27">
        <f t="shared" si="1090"/>
        <v>8181.7000000000007</v>
      </c>
      <c r="K1125" s="27">
        <f t="shared" si="1090"/>
        <v>8258.7000000000007</v>
      </c>
      <c r="L1125" s="27">
        <f t="shared" si="1090"/>
        <v>8332.7000000000007</v>
      </c>
      <c r="M1125" s="27">
        <f t="shared" si="1090"/>
        <v>6283.5</v>
      </c>
      <c r="N1125" s="27">
        <f t="shared" si="1090"/>
        <v>4413.2000000000007</v>
      </c>
      <c r="O1125" s="27">
        <f t="shared" si="1070"/>
        <v>70.234741784037567</v>
      </c>
    </row>
    <row r="1126" spans="1:15" ht="15.75" x14ac:dyDescent="0.25">
      <c r="A1126" s="26" t="s">
        <v>172</v>
      </c>
      <c r="B1126" s="220">
        <v>913</v>
      </c>
      <c r="C1126" s="218" t="s">
        <v>289</v>
      </c>
      <c r="D1126" s="218" t="s">
        <v>264</v>
      </c>
      <c r="E1126" s="218" t="s">
        <v>173</v>
      </c>
      <c r="F1126" s="218"/>
      <c r="G1126" s="27">
        <f>G1127</f>
        <v>6309.8</v>
      </c>
      <c r="H1126" s="27">
        <f>H1127</f>
        <v>4427.2</v>
      </c>
      <c r="I1126" s="27">
        <f t="shared" ref="G1126:N1127" si="1091">I1127</f>
        <v>6309.8</v>
      </c>
      <c r="J1126" s="27">
        <f t="shared" si="1091"/>
        <v>8181.7000000000007</v>
      </c>
      <c r="K1126" s="27">
        <f t="shared" si="1091"/>
        <v>8258.7000000000007</v>
      </c>
      <c r="L1126" s="27">
        <f t="shared" si="1091"/>
        <v>8332.7000000000007</v>
      </c>
      <c r="M1126" s="27">
        <f t="shared" ref="M1126:N1126" si="1092">M1127</f>
        <v>6283.5</v>
      </c>
      <c r="N1126" s="27">
        <f t="shared" si="1092"/>
        <v>4413.2000000000007</v>
      </c>
      <c r="O1126" s="27">
        <f t="shared" si="1070"/>
        <v>70.234741784037567</v>
      </c>
    </row>
    <row r="1127" spans="1:15" ht="31.5" x14ac:dyDescent="0.25">
      <c r="A1127" s="26" t="s">
        <v>636</v>
      </c>
      <c r="B1127" s="220">
        <v>913</v>
      </c>
      <c r="C1127" s="218" t="s">
        <v>289</v>
      </c>
      <c r="D1127" s="218" t="s">
        <v>264</v>
      </c>
      <c r="E1127" s="218" t="s">
        <v>637</v>
      </c>
      <c r="F1127" s="218"/>
      <c r="G1127" s="27">
        <f t="shared" si="1091"/>
        <v>6309.8</v>
      </c>
      <c r="H1127" s="27">
        <f t="shared" si="1091"/>
        <v>4427.2</v>
      </c>
      <c r="I1127" s="27">
        <f t="shared" si="1091"/>
        <v>6309.8</v>
      </c>
      <c r="J1127" s="27">
        <f t="shared" si="1091"/>
        <v>8181.7000000000007</v>
      </c>
      <c r="K1127" s="27">
        <f t="shared" si="1091"/>
        <v>8258.7000000000007</v>
      </c>
      <c r="L1127" s="27">
        <f t="shared" si="1091"/>
        <v>8332.7000000000007</v>
      </c>
      <c r="M1127" s="27">
        <f t="shared" si="1091"/>
        <v>6283.5</v>
      </c>
      <c r="N1127" s="27">
        <f t="shared" si="1091"/>
        <v>4413.2000000000007</v>
      </c>
      <c r="O1127" s="27">
        <f t="shared" si="1070"/>
        <v>70.234741784037567</v>
      </c>
    </row>
    <row r="1128" spans="1:15" ht="31.5" x14ac:dyDescent="0.25">
      <c r="A1128" s="26" t="s">
        <v>361</v>
      </c>
      <c r="B1128" s="220">
        <v>913</v>
      </c>
      <c r="C1128" s="218" t="s">
        <v>289</v>
      </c>
      <c r="D1128" s="218" t="s">
        <v>264</v>
      </c>
      <c r="E1128" s="218" t="s">
        <v>638</v>
      </c>
      <c r="F1128" s="218"/>
      <c r="G1128" s="27">
        <f>G1129+G1131+G1133</f>
        <v>6309.8</v>
      </c>
      <c r="H1128" s="27">
        <f>H1129+H1131+H1133</f>
        <v>4427.2</v>
      </c>
      <c r="I1128" s="27">
        <f t="shared" ref="I1128:M1128" si="1093">I1129+I1131+I1133</f>
        <v>6309.8</v>
      </c>
      <c r="J1128" s="27">
        <f t="shared" si="1093"/>
        <v>8181.7000000000007</v>
      </c>
      <c r="K1128" s="27">
        <f t="shared" si="1093"/>
        <v>8258.7000000000007</v>
      </c>
      <c r="L1128" s="27">
        <f t="shared" si="1093"/>
        <v>8332.7000000000007</v>
      </c>
      <c r="M1128" s="27">
        <f t="shared" si="1093"/>
        <v>6283.5</v>
      </c>
      <c r="N1128" s="27">
        <f t="shared" ref="N1128" si="1094">N1129+N1131+N1133</f>
        <v>4413.2000000000007</v>
      </c>
      <c r="O1128" s="27">
        <f t="shared" si="1070"/>
        <v>70.234741784037567</v>
      </c>
    </row>
    <row r="1129" spans="1:15" ht="94.5" x14ac:dyDescent="0.25">
      <c r="A1129" s="26" t="s">
        <v>178</v>
      </c>
      <c r="B1129" s="220">
        <v>913</v>
      </c>
      <c r="C1129" s="218" t="s">
        <v>289</v>
      </c>
      <c r="D1129" s="218" t="s">
        <v>264</v>
      </c>
      <c r="E1129" s="218" t="s">
        <v>638</v>
      </c>
      <c r="F1129" s="218" t="s">
        <v>179</v>
      </c>
      <c r="G1129" s="27">
        <f t="shared" ref="G1129:N1129" si="1095">G1130</f>
        <v>5371.7</v>
      </c>
      <c r="H1129" s="27">
        <f t="shared" si="1095"/>
        <v>3759.5</v>
      </c>
      <c r="I1129" s="27">
        <f t="shared" si="1095"/>
        <v>5371.7</v>
      </c>
      <c r="J1129" s="27">
        <f t="shared" si="1095"/>
        <v>5696.1</v>
      </c>
      <c r="K1129" s="27">
        <f t="shared" si="1095"/>
        <v>5753.1</v>
      </c>
      <c r="L1129" s="27">
        <f t="shared" si="1095"/>
        <v>5810.7</v>
      </c>
      <c r="M1129" s="27">
        <f t="shared" si="1095"/>
        <v>5371.7</v>
      </c>
      <c r="N1129" s="27">
        <f t="shared" si="1095"/>
        <v>3936.8</v>
      </c>
      <c r="O1129" s="27">
        <f t="shared" si="1070"/>
        <v>73.287785989537767</v>
      </c>
    </row>
    <row r="1130" spans="1:15" ht="31.5" x14ac:dyDescent="0.25">
      <c r="A1130" s="26" t="s">
        <v>259</v>
      </c>
      <c r="B1130" s="220">
        <v>913</v>
      </c>
      <c r="C1130" s="218" t="s">
        <v>289</v>
      </c>
      <c r="D1130" s="218" t="s">
        <v>264</v>
      </c>
      <c r="E1130" s="218" t="s">
        <v>638</v>
      </c>
      <c r="F1130" s="218" t="s">
        <v>260</v>
      </c>
      <c r="G1130" s="28">
        <v>5371.7</v>
      </c>
      <c r="H1130" s="28">
        <v>3759.5</v>
      </c>
      <c r="I1130" s="28">
        <v>5371.7</v>
      </c>
      <c r="J1130" s="28">
        <v>5696.1</v>
      </c>
      <c r="K1130" s="28">
        <v>5753.1</v>
      </c>
      <c r="L1130" s="28">
        <v>5810.7</v>
      </c>
      <c r="M1130" s="28">
        <v>5371.7</v>
      </c>
      <c r="N1130" s="28">
        <v>3936.8</v>
      </c>
      <c r="O1130" s="27">
        <f t="shared" si="1070"/>
        <v>73.287785989537767</v>
      </c>
    </row>
    <row r="1131" spans="1:15" ht="31.5" x14ac:dyDescent="0.25">
      <c r="A1131" s="26" t="s">
        <v>182</v>
      </c>
      <c r="B1131" s="220">
        <v>913</v>
      </c>
      <c r="C1131" s="218" t="s">
        <v>289</v>
      </c>
      <c r="D1131" s="218" t="s">
        <v>264</v>
      </c>
      <c r="E1131" s="218" t="s">
        <v>638</v>
      </c>
      <c r="F1131" s="218" t="s">
        <v>183</v>
      </c>
      <c r="G1131" s="27">
        <f t="shared" ref="G1131:L1131" si="1096">G1132</f>
        <v>928.1</v>
      </c>
      <c r="H1131" s="27">
        <f t="shared" si="1096"/>
        <v>664.7</v>
      </c>
      <c r="I1131" s="27">
        <f t="shared" si="1096"/>
        <v>928.1</v>
      </c>
      <c r="J1131" s="27">
        <f t="shared" si="1096"/>
        <v>2475.6</v>
      </c>
      <c r="K1131" s="27">
        <f t="shared" si="1096"/>
        <v>2495.6</v>
      </c>
      <c r="L1131" s="27">
        <f t="shared" si="1096"/>
        <v>2512</v>
      </c>
      <c r="M1131" s="27">
        <f>M1132</f>
        <v>901.8</v>
      </c>
      <c r="N1131" s="27">
        <f>N1132</f>
        <v>475.6</v>
      </c>
      <c r="O1131" s="27">
        <f t="shared" si="1070"/>
        <v>52.738966511421602</v>
      </c>
    </row>
    <row r="1132" spans="1:15" ht="47.25" x14ac:dyDescent="0.25">
      <c r="A1132" s="26" t="s">
        <v>184</v>
      </c>
      <c r="B1132" s="220">
        <v>913</v>
      </c>
      <c r="C1132" s="218" t="s">
        <v>289</v>
      </c>
      <c r="D1132" s="218" t="s">
        <v>264</v>
      </c>
      <c r="E1132" s="218" t="s">
        <v>638</v>
      </c>
      <c r="F1132" s="218" t="s">
        <v>185</v>
      </c>
      <c r="G1132" s="28">
        <f>898.3+28.1+1.7</f>
        <v>928.1</v>
      </c>
      <c r="H1132" s="28">
        <v>664.7</v>
      </c>
      <c r="I1132" s="28">
        <f t="shared" ref="I1132" si="1097">898.3+28.1+1.7</f>
        <v>928.1</v>
      </c>
      <c r="J1132" s="28">
        <f>2485.6-J1134</f>
        <v>2475.6</v>
      </c>
      <c r="K1132" s="28">
        <f>2505.6-K1134</f>
        <v>2495.6</v>
      </c>
      <c r="L1132" s="28">
        <f>2522-L1134</f>
        <v>2512</v>
      </c>
      <c r="M1132" s="28">
        <f>920.6-60-3.6+44.8</f>
        <v>901.8</v>
      </c>
      <c r="N1132" s="28">
        <v>475.6</v>
      </c>
      <c r="O1132" s="27">
        <f t="shared" si="1070"/>
        <v>52.738966511421602</v>
      </c>
    </row>
    <row r="1133" spans="1:15" ht="15.75" x14ac:dyDescent="0.25">
      <c r="A1133" s="26" t="s">
        <v>186</v>
      </c>
      <c r="B1133" s="220">
        <v>913</v>
      </c>
      <c r="C1133" s="218" t="s">
        <v>289</v>
      </c>
      <c r="D1133" s="218" t="s">
        <v>264</v>
      </c>
      <c r="E1133" s="218" t="s">
        <v>638</v>
      </c>
      <c r="F1133" s="218" t="s">
        <v>196</v>
      </c>
      <c r="G1133" s="27">
        <f t="shared" ref="G1133:L1133" si="1098">G1134</f>
        <v>10</v>
      </c>
      <c r="H1133" s="27">
        <f t="shared" si="1098"/>
        <v>3</v>
      </c>
      <c r="I1133" s="27">
        <f t="shared" si="1098"/>
        <v>10</v>
      </c>
      <c r="J1133" s="27">
        <f t="shared" si="1098"/>
        <v>10</v>
      </c>
      <c r="K1133" s="27">
        <f t="shared" si="1098"/>
        <v>10</v>
      </c>
      <c r="L1133" s="27">
        <f t="shared" si="1098"/>
        <v>10</v>
      </c>
      <c r="M1133" s="27">
        <f t="shared" ref="M1133:N1133" si="1099">M1134</f>
        <v>10</v>
      </c>
      <c r="N1133" s="27">
        <f t="shared" si="1099"/>
        <v>0.8</v>
      </c>
      <c r="O1133" s="27">
        <f t="shared" si="1070"/>
        <v>8</v>
      </c>
    </row>
    <row r="1134" spans="1:15" ht="15.75" x14ac:dyDescent="0.25">
      <c r="A1134" s="26" t="s">
        <v>620</v>
      </c>
      <c r="B1134" s="220">
        <v>913</v>
      </c>
      <c r="C1134" s="218" t="s">
        <v>289</v>
      </c>
      <c r="D1134" s="218" t="s">
        <v>264</v>
      </c>
      <c r="E1134" s="218" t="s">
        <v>638</v>
      </c>
      <c r="F1134" s="218" t="s">
        <v>189</v>
      </c>
      <c r="G1134" s="27">
        <v>10</v>
      </c>
      <c r="H1134" s="27">
        <v>3</v>
      </c>
      <c r="I1134" s="27">
        <v>10</v>
      </c>
      <c r="J1134" s="27">
        <v>10</v>
      </c>
      <c r="K1134" s="27">
        <v>10</v>
      </c>
      <c r="L1134" s="27">
        <v>10</v>
      </c>
      <c r="M1134" s="27">
        <v>10</v>
      </c>
      <c r="N1134" s="27">
        <v>0.8</v>
      </c>
      <c r="O1134" s="27">
        <f t="shared" si="1070"/>
        <v>8</v>
      </c>
    </row>
    <row r="1135" spans="1:15" ht="18.75" x14ac:dyDescent="0.3">
      <c r="A1135" s="50" t="s">
        <v>639</v>
      </c>
      <c r="B1135" s="229"/>
      <c r="C1135" s="219"/>
      <c r="D1135" s="219"/>
      <c r="E1135" s="219"/>
      <c r="F1135" s="219"/>
      <c r="G1135" s="51">
        <f t="shared" ref="G1135:M1135" si="1100">G1117+G1079+G872+G781+G577+G527+G242+G28+G11</f>
        <v>665442.19999999995</v>
      </c>
      <c r="H1135" s="51">
        <f t="shared" si="1100"/>
        <v>441840.68000000005</v>
      </c>
      <c r="I1135" s="51">
        <f t="shared" si="1100"/>
        <v>638134.33647058823</v>
      </c>
      <c r="J1135" s="51">
        <f t="shared" si="1100"/>
        <v>747927.99999999988</v>
      </c>
      <c r="K1135" s="51">
        <f t="shared" si="1100"/>
        <v>743098.70000000007</v>
      </c>
      <c r="L1135" s="51">
        <f t="shared" si="1100"/>
        <v>741645.1</v>
      </c>
      <c r="M1135" s="51">
        <f t="shared" si="1100"/>
        <v>740005.38</v>
      </c>
      <c r="N1135" s="51">
        <f t="shared" ref="N1135" si="1101">N1117+N1079+N872+N781+N577+N527+N242+N28+N11</f>
        <v>530697.60000000009</v>
      </c>
      <c r="O1135" s="301">
        <f t="shared" si="1070"/>
        <v>71.715370501765818</v>
      </c>
    </row>
    <row r="1136" spans="1:15" x14ac:dyDescent="0.25">
      <c r="A1136" s="52"/>
      <c r="B1136" s="52"/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52"/>
      <c r="O1136" s="52"/>
    </row>
    <row r="1137" spans="1:15" ht="18.75" x14ac:dyDescent="0.3">
      <c r="A1137" s="52"/>
      <c r="B1137" s="52"/>
      <c r="C1137" s="53"/>
      <c r="D1137" s="53"/>
      <c r="E1137" s="53"/>
      <c r="F1137" s="128" t="s">
        <v>640</v>
      </c>
      <c r="G1137" s="54">
        <f>G1135-G1138</f>
        <v>460322.39999999991</v>
      </c>
      <c r="H1137" s="54">
        <f>H1135-H1138</f>
        <v>299775.60000000003</v>
      </c>
      <c r="I1137" s="54">
        <f t="shared" ref="I1137:M1137" si="1102">I1135-I1138</f>
        <v>433014.53647058818</v>
      </c>
      <c r="J1137" s="54">
        <f t="shared" si="1102"/>
        <v>581477.29999999981</v>
      </c>
      <c r="K1137" s="54">
        <f t="shared" si="1102"/>
        <v>576648</v>
      </c>
      <c r="L1137" s="54">
        <f t="shared" si="1102"/>
        <v>575194.39999999991</v>
      </c>
      <c r="M1137" s="54">
        <f t="shared" si="1102"/>
        <v>486482.2</v>
      </c>
      <c r="N1137" s="54">
        <f t="shared" ref="N1137:O1137" si="1103">N1135-N1138</f>
        <v>343587.20000000007</v>
      </c>
      <c r="O1137" s="54" t="e">
        <f t="shared" si="1103"/>
        <v>#DIV/0!</v>
      </c>
    </row>
    <row r="1138" spans="1:15" ht="18.75" x14ac:dyDescent="0.3">
      <c r="A1138" s="52"/>
      <c r="B1138" s="52"/>
      <c r="C1138" s="53"/>
      <c r="D1138" s="53"/>
      <c r="E1138" s="53"/>
      <c r="F1138" s="128" t="s">
        <v>641</v>
      </c>
      <c r="G1138" s="54">
        <f t="shared" ref="G1138:L1138" si="1104">G107+G195+G208+G230+G236+G311+G323+G394+G512+G559+G573+G626+G686+G748+G811+G911+G956+G1026+G731+G1113++G845+G271</f>
        <v>205119.80000000005</v>
      </c>
      <c r="H1138" s="54">
        <f t="shared" si="1104"/>
        <v>142065.08000000002</v>
      </c>
      <c r="I1138" s="54">
        <f t="shared" si="1104"/>
        <v>205119.80000000005</v>
      </c>
      <c r="J1138" s="54">
        <f t="shared" si="1104"/>
        <v>166450.70000000001</v>
      </c>
      <c r="K1138" s="54">
        <f t="shared" si="1104"/>
        <v>166450.70000000001</v>
      </c>
      <c r="L1138" s="54">
        <f t="shared" si="1104"/>
        <v>166450.70000000001</v>
      </c>
      <c r="M1138" s="54">
        <f>M107+M195+M208+M236+M311+M394+M573+M626+M686+M731+M748+M811+M1026+M980+M956+M1003+M1113+M983+M545+M511+M1046+M845+M986</f>
        <v>253523.18</v>
      </c>
      <c r="N1138" s="54">
        <f>N107+N195+N208+N236+N311+N394+N573+N626+N686+N731+N748+N811+N1026+N980+N956+N1003+N1113+N983+N545+N511+N1046+N845+N986</f>
        <v>187110.39999999999</v>
      </c>
      <c r="O1138" s="54" t="e">
        <f>O107+O195+O208+O236+O311+O394+O573+O626+O686+O731+O748+O811+O1026+O980+O956+O1003+O1113+O983+O545+O511+O1046+O845+O986</f>
        <v>#DIV/0!</v>
      </c>
    </row>
    <row r="1139" spans="1:15" ht="15.75" x14ac:dyDescent="0.25">
      <c r="A1139" s="52"/>
      <c r="B1139" s="52"/>
      <c r="C1139" s="53"/>
      <c r="D1139" s="55"/>
      <c r="E1139" s="55"/>
      <c r="F1139" s="55"/>
      <c r="G1139" s="129"/>
      <c r="H1139" s="129"/>
      <c r="I1139" s="129"/>
      <c r="J1139" s="129"/>
      <c r="K1139" s="129"/>
      <c r="L1139" s="129"/>
      <c r="M1139" s="129"/>
      <c r="N1139" s="129"/>
      <c r="O1139" s="129"/>
    </row>
    <row r="1140" spans="1:15" ht="15.75" x14ac:dyDescent="0.25">
      <c r="A1140" s="52"/>
      <c r="B1140" s="52"/>
      <c r="C1140" s="53"/>
      <c r="D1140" s="55"/>
      <c r="E1140" s="55"/>
      <c r="F1140" s="55"/>
      <c r="G1140" s="230"/>
      <c r="H1140" s="230"/>
      <c r="I1140" s="53"/>
      <c r="J1140" s="230"/>
      <c r="K1140" s="53"/>
      <c r="L1140" s="53"/>
      <c r="M1140" s="230"/>
      <c r="N1140" s="230"/>
      <c r="O1140" s="230"/>
    </row>
    <row r="1141" spans="1:15" ht="15.75" x14ac:dyDescent="0.25">
      <c r="A1141" s="52"/>
      <c r="B1141" s="52"/>
      <c r="C1141" s="53"/>
      <c r="D1141" s="55"/>
      <c r="E1141" s="55"/>
      <c r="F1141" s="55"/>
      <c r="G1141" s="230"/>
      <c r="H1141" s="230"/>
      <c r="I1141" s="53"/>
      <c r="J1141" s="230"/>
      <c r="K1141" s="53"/>
      <c r="L1141" s="53"/>
      <c r="M1141" s="53"/>
      <c r="N1141" s="53"/>
      <c r="O1141" s="53"/>
    </row>
    <row r="1142" spans="1:15" ht="15.75" x14ac:dyDescent="0.25">
      <c r="A1142" s="52"/>
      <c r="B1142" s="52"/>
      <c r="C1142" s="56">
        <v>1</v>
      </c>
      <c r="D1142" s="55"/>
      <c r="E1142" s="55"/>
      <c r="F1142" s="55"/>
      <c r="G1142" s="57">
        <f t="shared" ref="G1142:L1142" si="1105">G12+G29+G528+G578+G1080+G873+G243</f>
        <v>118780.1</v>
      </c>
      <c r="H1142" s="57">
        <f t="shared" si="1105"/>
        <v>71178.899999999994</v>
      </c>
      <c r="I1142" s="57">
        <f t="shared" si="1105"/>
        <v>108948.27960784313</v>
      </c>
      <c r="J1142" s="57">
        <f t="shared" si="1105"/>
        <v>137733.79999999999</v>
      </c>
      <c r="K1142" s="57">
        <f t="shared" si="1105"/>
        <v>138680.90000000002</v>
      </c>
      <c r="L1142" s="57">
        <f t="shared" si="1105"/>
        <v>139391.70000000001</v>
      </c>
      <c r="M1142" s="57">
        <f>M12+M29+M243+M528+M578+M782+M873+M1080+M1118</f>
        <v>143325.1</v>
      </c>
      <c r="N1142" s="57">
        <f>N12+N29+N243+N528+N578+N782+N873+N1080+N1118</f>
        <v>102512.90000000001</v>
      </c>
      <c r="O1142" s="57">
        <f>O12+O29+O243+O528+O578+O782+O873+O1080+O1118</f>
        <v>678.7000056399304</v>
      </c>
    </row>
    <row r="1143" spans="1:15" ht="15.75" x14ac:dyDescent="0.25">
      <c r="A1143" s="52"/>
      <c r="B1143" s="52"/>
      <c r="C1143" s="56" t="s">
        <v>640</v>
      </c>
      <c r="D1143" s="55"/>
      <c r="E1143" s="55"/>
      <c r="F1143" s="55"/>
      <c r="G1143" s="57">
        <f t="shared" ref="G1143:L1143" si="1106">G12+G30+G54+G63+G67+G79+G92+G96+G134+G528+G578+G873+G1090+G1081+G1101+G1108+G250</f>
        <v>115058.5</v>
      </c>
      <c r="H1143" s="57">
        <f t="shared" si="1106"/>
        <v>68666.5</v>
      </c>
      <c r="I1143" s="57">
        <f t="shared" si="1106"/>
        <v>105226.67960784314</v>
      </c>
      <c r="J1143" s="57">
        <f t="shared" si="1106"/>
        <v>134100.9</v>
      </c>
      <c r="K1143" s="57">
        <f t="shared" si="1106"/>
        <v>135048</v>
      </c>
      <c r="L1143" s="57">
        <f t="shared" si="1106"/>
        <v>135758.79999999999</v>
      </c>
      <c r="M1143" s="57">
        <f>M12+M30+M54+M67+M79+M96+M134+M243+M529+M540+M549+M578+M782+M874+M1080+M1118-M1113</f>
        <v>139333.30000000002</v>
      </c>
      <c r="N1143" s="57">
        <f>N12+N30+N54+N67+N79+N96+N134+N243+N529+N540+N549+N578+N782+N874+N1080+N1118-N1113</f>
        <v>100435.80000000002</v>
      </c>
      <c r="O1143" s="57">
        <f>O12+O30+O54+O67+O79+O96+O134+O243+O529+O540+O549+O578+O782+O874+O1080+O1118-O1113</f>
        <v>948.26535024188126</v>
      </c>
    </row>
    <row r="1144" spans="1:15" ht="15.75" x14ac:dyDescent="0.25">
      <c r="A1144" s="52"/>
      <c r="B1144" s="52"/>
      <c r="C1144" s="56" t="s">
        <v>641</v>
      </c>
      <c r="D1144" s="55"/>
      <c r="E1144" s="55"/>
      <c r="F1144" s="55"/>
      <c r="G1144" s="57">
        <f>G1142-G1143</f>
        <v>3721.6000000000058</v>
      </c>
      <c r="H1144" s="57">
        <f>H1142-H1143</f>
        <v>2512.3999999999942</v>
      </c>
      <c r="I1144" s="57">
        <f t="shared" ref="I1144:L1144" si="1107">I1142-I1143</f>
        <v>3721.5999999999913</v>
      </c>
      <c r="J1144" s="57">
        <f t="shared" si="1107"/>
        <v>3632.8999999999942</v>
      </c>
      <c r="K1144" s="57">
        <f t="shared" si="1107"/>
        <v>3632.9000000000233</v>
      </c>
      <c r="L1144" s="57">
        <f t="shared" si="1107"/>
        <v>3632.9000000000233</v>
      </c>
      <c r="M1144" s="57">
        <f>M107+M545+M1112</f>
        <v>3991.8</v>
      </c>
      <c r="N1144" s="57">
        <f>N107+N545+N1112</f>
        <v>2077.1</v>
      </c>
      <c r="O1144" s="57">
        <f>O107+O545+O1112</f>
        <v>103.8583654257595</v>
      </c>
    </row>
    <row r="1145" spans="1:15" ht="15.75" x14ac:dyDescent="0.25">
      <c r="A1145" s="52"/>
      <c r="B1145" s="52"/>
      <c r="C1145" s="56">
        <v>2</v>
      </c>
      <c r="D1145" s="55"/>
      <c r="E1145" s="55"/>
      <c r="F1145" s="55"/>
      <c r="G1145" s="57">
        <f t="shared" ref="G1145:M1145" si="1108">G160</f>
        <v>0</v>
      </c>
      <c r="H1145" s="57">
        <f t="shared" si="1108"/>
        <v>0</v>
      </c>
      <c r="I1145" s="57">
        <f t="shared" si="1108"/>
        <v>0</v>
      </c>
      <c r="J1145" s="57">
        <f t="shared" si="1108"/>
        <v>322.89999999999998</v>
      </c>
      <c r="K1145" s="57">
        <f t="shared" si="1108"/>
        <v>22.3</v>
      </c>
      <c r="L1145" s="57">
        <f t="shared" si="1108"/>
        <v>22.3</v>
      </c>
      <c r="M1145" s="57">
        <f t="shared" si="1108"/>
        <v>0</v>
      </c>
      <c r="N1145" s="57">
        <f t="shared" ref="N1145:O1145" si="1109">N160</f>
        <v>0</v>
      </c>
      <c r="O1145" s="57" t="e">
        <f t="shared" si="1109"/>
        <v>#DIV/0!</v>
      </c>
    </row>
    <row r="1146" spans="1:15" ht="15.75" x14ac:dyDescent="0.25">
      <c r="A1146" s="52"/>
      <c r="B1146" s="52"/>
      <c r="C1146" s="56">
        <v>3</v>
      </c>
      <c r="D1146" s="55"/>
      <c r="E1146" s="55"/>
      <c r="F1146" s="55"/>
      <c r="G1146" s="57">
        <f t="shared" ref="G1146:M1146" si="1110">G887+G167</f>
        <v>7209.4000000000005</v>
      </c>
      <c r="H1146" s="57">
        <f t="shared" si="1110"/>
        <v>3838.7000000000003</v>
      </c>
      <c r="I1146" s="57">
        <f t="shared" si="1110"/>
        <v>5540.3666666666668</v>
      </c>
      <c r="J1146" s="57">
        <f t="shared" si="1110"/>
        <v>10330.9</v>
      </c>
      <c r="K1146" s="57">
        <f t="shared" si="1110"/>
        <v>8923.6</v>
      </c>
      <c r="L1146" s="57">
        <f t="shared" si="1110"/>
        <v>8970.1</v>
      </c>
      <c r="M1146" s="57">
        <f t="shared" si="1110"/>
        <v>9234.4</v>
      </c>
      <c r="N1146" s="57">
        <f t="shared" ref="N1146:O1146" si="1111">N887+N167</f>
        <v>3981.2999999999997</v>
      </c>
      <c r="O1146" s="57" t="e">
        <f t="shared" si="1111"/>
        <v>#DIV/0!</v>
      </c>
    </row>
    <row r="1147" spans="1:15" ht="15.75" x14ac:dyDescent="0.25">
      <c r="A1147" s="52"/>
      <c r="B1147" s="52"/>
      <c r="C1147" s="56">
        <v>4</v>
      </c>
      <c r="D1147" s="55"/>
      <c r="E1147" s="55"/>
      <c r="F1147" s="55"/>
      <c r="G1147" s="57">
        <f t="shared" ref="G1147:M1147" si="1112">G185+G894</f>
        <v>20153.2</v>
      </c>
      <c r="H1147" s="57">
        <f t="shared" si="1112"/>
        <v>11432.099999999999</v>
      </c>
      <c r="I1147" s="57">
        <f t="shared" si="1112"/>
        <v>20153.2</v>
      </c>
      <c r="J1147" s="57">
        <f t="shared" si="1112"/>
        <v>20793.199999999997</v>
      </c>
      <c r="K1147" s="57">
        <f t="shared" si="1112"/>
        <v>20793.199999999997</v>
      </c>
      <c r="L1147" s="57">
        <f t="shared" si="1112"/>
        <v>20793.199999999997</v>
      </c>
      <c r="M1147" s="57">
        <f t="shared" si="1112"/>
        <v>12273.4</v>
      </c>
      <c r="N1147" s="57">
        <f t="shared" ref="N1147:O1147" si="1113">N185+N894</f>
        <v>6652.2999999999993</v>
      </c>
      <c r="O1147" s="57">
        <f t="shared" si="1113"/>
        <v>96.567779200191552</v>
      </c>
    </row>
    <row r="1148" spans="1:15" ht="15.75" x14ac:dyDescent="0.25">
      <c r="A1148" s="52"/>
      <c r="B1148" s="52"/>
      <c r="C1148" s="56" t="s">
        <v>640</v>
      </c>
      <c r="D1148" s="55"/>
      <c r="E1148" s="55"/>
      <c r="F1148" s="55"/>
      <c r="G1148" s="57">
        <f>G1147-G1149</f>
        <v>18331.8</v>
      </c>
      <c r="H1148" s="57">
        <f>H1147-H1149</f>
        <v>10388.899999999998</v>
      </c>
      <c r="I1148" s="57">
        <f t="shared" ref="I1148:M1148" si="1114">I1147-I1149</f>
        <v>18331.8</v>
      </c>
      <c r="J1148" s="57">
        <f t="shared" si="1114"/>
        <v>18331.799999999996</v>
      </c>
      <c r="K1148" s="57">
        <f t="shared" si="1114"/>
        <v>18331.799999999996</v>
      </c>
      <c r="L1148" s="57">
        <f t="shared" si="1114"/>
        <v>18331.799999999996</v>
      </c>
      <c r="M1148" s="57">
        <f t="shared" si="1114"/>
        <v>10523.6</v>
      </c>
      <c r="N1148" s="57">
        <f t="shared" ref="N1148:O1148" si="1115">N1147-N1149</f>
        <v>5831.4</v>
      </c>
      <c r="O1148" s="57">
        <f t="shared" si="1115"/>
        <v>-0.61936415047767923</v>
      </c>
    </row>
    <row r="1149" spans="1:15" ht="15.75" x14ac:dyDescent="0.25">
      <c r="A1149" s="52"/>
      <c r="B1149" s="52"/>
      <c r="C1149" s="56" t="s">
        <v>641</v>
      </c>
      <c r="D1149" s="55"/>
      <c r="E1149" s="55"/>
      <c r="F1149" s="55"/>
      <c r="G1149" s="57">
        <f t="shared" ref="G1149:L1149" si="1116">G202+G186</f>
        <v>1821.3999999999999</v>
      </c>
      <c r="H1149" s="57">
        <f t="shared" si="1116"/>
        <v>1043.1999999999998</v>
      </c>
      <c r="I1149" s="57">
        <f t="shared" si="1116"/>
        <v>1821.3999999999999</v>
      </c>
      <c r="J1149" s="57">
        <f t="shared" si="1116"/>
        <v>2461.3999999999996</v>
      </c>
      <c r="K1149" s="57">
        <f t="shared" si="1116"/>
        <v>2461.3999999999996</v>
      </c>
      <c r="L1149" s="57">
        <f t="shared" si="1116"/>
        <v>2461.3999999999996</v>
      </c>
      <c r="M1149" s="57">
        <f>M195+M208</f>
        <v>1749.8</v>
      </c>
      <c r="N1149" s="57">
        <f>N195+N208</f>
        <v>820.90000000000009</v>
      </c>
      <c r="O1149" s="57">
        <f>O195+O208</f>
        <v>97.187143350669231</v>
      </c>
    </row>
    <row r="1150" spans="1:15" ht="15.75" x14ac:dyDescent="0.25">
      <c r="A1150" s="52"/>
      <c r="B1150" s="52"/>
      <c r="C1150" s="56">
        <v>5</v>
      </c>
      <c r="D1150" s="55"/>
      <c r="E1150" s="55"/>
      <c r="F1150" s="55"/>
      <c r="G1150" s="57">
        <f t="shared" ref="G1150:M1150" si="1117">G908+G556</f>
        <v>109165.6</v>
      </c>
      <c r="H1150" s="57">
        <f t="shared" si="1117"/>
        <v>32879.300000000003</v>
      </c>
      <c r="I1150" s="57">
        <f t="shared" si="1117"/>
        <v>90925.805882352943</v>
      </c>
      <c r="J1150" s="57">
        <f t="shared" si="1117"/>
        <v>65675</v>
      </c>
      <c r="K1150" s="57">
        <f t="shared" si="1117"/>
        <v>65971.899999999994</v>
      </c>
      <c r="L1150" s="57">
        <f t="shared" si="1117"/>
        <v>67991.900000000009</v>
      </c>
      <c r="M1150" s="57">
        <f t="shared" si="1117"/>
        <v>131255.98000000001</v>
      </c>
      <c r="N1150" s="57">
        <f t="shared" ref="N1150:O1150" si="1118">N908+N556</f>
        <v>70912.599999999991</v>
      </c>
      <c r="O1150" s="57">
        <f t="shared" si="1118"/>
        <v>119.4667312033682</v>
      </c>
    </row>
    <row r="1151" spans="1:15" ht="15.75" x14ac:dyDescent="0.25">
      <c r="A1151" s="52"/>
      <c r="B1151" s="52"/>
      <c r="C1151" s="56" t="s">
        <v>640</v>
      </c>
      <c r="D1151" s="55"/>
      <c r="E1151" s="55"/>
      <c r="F1151" s="55"/>
      <c r="G1151" s="57">
        <f t="shared" ref="G1151:L1151" si="1119">G1050+G1039+G1021+G990+G968+G926+G909++G557</f>
        <v>72021.2</v>
      </c>
      <c r="H1151" s="57">
        <f t="shared" si="1119"/>
        <v>24151.299999999996</v>
      </c>
      <c r="I1151" s="57">
        <f t="shared" si="1119"/>
        <v>53781.405882352941</v>
      </c>
      <c r="J1151" s="57">
        <f t="shared" si="1119"/>
        <v>65675</v>
      </c>
      <c r="K1151" s="57">
        <f t="shared" si="1119"/>
        <v>65971.899999999994</v>
      </c>
      <c r="L1151" s="57">
        <f t="shared" si="1119"/>
        <v>67991.899999999994</v>
      </c>
      <c r="M1151" s="57">
        <f>M557+M915+M926+M969+M975+M990+M1021+M1040+M1050-M1003</f>
        <v>63161.3</v>
      </c>
      <c r="N1151" s="57">
        <f>N557+N915+N926+N969+N975+N990+N1021+N1040+N1050-N1003</f>
        <v>29007.800000000003</v>
      </c>
      <c r="O1151" s="57">
        <f>O557+O915+O926+O969+O975+O990+O1021+O1040+O1050-O1003</f>
        <v>300.67161440434029</v>
      </c>
    </row>
    <row r="1152" spans="1:15" ht="15.75" x14ac:dyDescent="0.25">
      <c r="A1152" s="52"/>
      <c r="B1152" s="52"/>
      <c r="C1152" s="56" t="s">
        <v>641</v>
      </c>
      <c r="D1152" s="55"/>
      <c r="E1152" s="55"/>
      <c r="F1152" s="55"/>
      <c r="G1152" s="57">
        <f>G1150-G1151</f>
        <v>37144.400000000009</v>
      </c>
      <c r="H1152" s="57">
        <f>H1150-H1151</f>
        <v>8728.0000000000073</v>
      </c>
      <c r="I1152" s="57">
        <f t="shared" ref="I1152:L1152" si="1120">I1150-I1151</f>
        <v>37144.400000000001</v>
      </c>
      <c r="J1152" s="57">
        <f t="shared" si="1120"/>
        <v>0</v>
      </c>
      <c r="K1152" s="57">
        <f t="shared" si="1120"/>
        <v>0</v>
      </c>
      <c r="L1152" s="57">
        <f t="shared" si="1120"/>
        <v>0</v>
      </c>
      <c r="M1152" s="57">
        <f>M956+M1026+M980+M1003+M983+M986</f>
        <v>64989.18</v>
      </c>
      <c r="N1152" s="57">
        <f>N956+N1026+N980+N1003+N983+N986</f>
        <v>41904.800000000003</v>
      </c>
      <c r="O1152" s="57">
        <f>O956+O1026+O980+O1003+O983+O986</f>
        <v>329.97653239102357</v>
      </c>
    </row>
    <row r="1153" spans="1:15" ht="15.75" x14ac:dyDescent="0.25">
      <c r="A1153" s="52"/>
      <c r="B1153" s="52"/>
      <c r="C1153" s="56">
        <v>7</v>
      </c>
      <c r="D1153" s="55"/>
      <c r="E1153" s="55"/>
      <c r="F1153" s="55"/>
      <c r="G1153" s="57">
        <f t="shared" ref="G1153:M1153" si="1121">G788+G596+G282</f>
        <v>290484.60000000003</v>
      </c>
      <c r="H1153" s="57">
        <f t="shared" si="1121"/>
        <v>227718.68000000002</v>
      </c>
      <c r="I1153" s="57">
        <f t="shared" si="1121"/>
        <v>286378.90000000002</v>
      </c>
      <c r="J1153" s="57">
        <f t="shared" si="1121"/>
        <v>351289.99999999994</v>
      </c>
      <c r="K1153" s="57">
        <f t="shared" si="1121"/>
        <v>343706.9</v>
      </c>
      <c r="L1153" s="57">
        <f t="shared" si="1121"/>
        <v>337520.60000000003</v>
      </c>
      <c r="M1153" s="57">
        <f t="shared" si="1121"/>
        <v>309377.89999999997</v>
      </c>
      <c r="N1153" s="57">
        <f t="shared" ref="N1153:O1153" si="1122">N788+N596+N282</f>
        <v>249130.60000000003</v>
      </c>
      <c r="O1153" s="57">
        <f t="shared" si="1122"/>
        <v>234.60179499380342</v>
      </c>
    </row>
    <row r="1154" spans="1:15" ht="15.75" x14ac:dyDescent="0.25">
      <c r="A1154" s="52"/>
      <c r="B1154" s="52"/>
      <c r="C1154" s="56" t="s">
        <v>640</v>
      </c>
      <c r="D1154" s="55"/>
      <c r="E1154" s="55"/>
      <c r="F1154" s="55"/>
      <c r="G1154" s="57">
        <f>G1153-G1155</f>
        <v>134770.6</v>
      </c>
      <c r="H1154" s="57">
        <f>H1153-H1155</f>
        <v>100998.00000000003</v>
      </c>
      <c r="I1154" s="57">
        <f t="shared" ref="I1154:M1154" si="1123">I1153-I1155</f>
        <v>130664.9</v>
      </c>
      <c r="J1154" s="57">
        <f t="shared" si="1123"/>
        <v>195575.99999999991</v>
      </c>
      <c r="K1154" s="57">
        <f t="shared" si="1123"/>
        <v>187992.9</v>
      </c>
      <c r="L1154" s="57">
        <f t="shared" si="1123"/>
        <v>181806.6</v>
      </c>
      <c r="M1154" s="57">
        <f t="shared" si="1123"/>
        <v>136225.9</v>
      </c>
      <c r="N1154" s="57">
        <f t="shared" ref="N1154:O1154" si="1124">N1153-N1155</f>
        <v>110989.00000000003</v>
      </c>
      <c r="O1154" s="57">
        <f t="shared" si="1124"/>
        <v>-206.69657843021025</v>
      </c>
    </row>
    <row r="1155" spans="1:15" ht="15.75" x14ac:dyDescent="0.25">
      <c r="A1155" s="52"/>
      <c r="B1155" s="52"/>
      <c r="C1155" s="56" t="s">
        <v>641</v>
      </c>
      <c r="D1155" s="55"/>
      <c r="E1155" s="55"/>
      <c r="F1155" s="55"/>
      <c r="G1155" s="57">
        <f t="shared" ref="G1155:L1155" si="1125">G811+G748+G731+G686+G626+G311</f>
        <v>155714.00000000003</v>
      </c>
      <c r="H1155" s="57">
        <f t="shared" si="1125"/>
        <v>126720.68</v>
      </c>
      <c r="I1155" s="57">
        <f t="shared" si="1125"/>
        <v>155714.00000000003</v>
      </c>
      <c r="J1155" s="57">
        <f t="shared" si="1125"/>
        <v>155714.00000000003</v>
      </c>
      <c r="K1155" s="57">
        <f t="shared" si="1125"/>
        <v>155714.00000000003</v>
      </c>
      <c r="L1155" s="57">
        <f t="shared" si="1125"/>
        <v>155714.00000000003</v>
      </c>
      <c r="M1155" s="57">
        <f>M311+M626+M686+M731+M810+M748</f>
        <v>173151.99999999997</v>
      </c>
      <c r="N1155" s="57">
        <f>N311+N626+N686+N731+N810+N748</f>
        <v>138141.6</v>
      </c>
      <c r="O1155" s="57">
        <f>O311+O626+O686+O731+O810+O748</f>
        <v>441.29837342401368</v>
      </c>
    </row>
    <row r="1156" spans="1:15" ht="15.75" x14ac:dyDescent="0.25">
      <c r="A1156" s="52"/>
      <c r="B1156" s="52"/>
      <c r="C1156" s="56">
        <v>8</v>
      </c>
      <c r="D1156" s="55"/>
      <c r="E1156" s="55"/>
      <c r="F1156" s="55"/>
      <c r="G1156" s="57">
        <f t="shared" ref="G1156:M1156" si="1126">G327</f>
        <v>61699.8</v>
      </c>
      <c r="H1156" s="57">
        <f t="shared" si="1126"/>
        <v>54459.8</v>
      </c>
      <c r="I1156" s="57">
        <f t="shared" si="1126"/>
        <v>62134.184313725498</v>
      </c>
      <c r="J1156" s="57">
        <f t="shared" si="1126"/>
        <v>72053.100000000006</v>
      </c>
      <c r="K1156" s="57">
        <f t="shared" si="1126"/>
        <v>73293.100000000006</v>
      </c>
      <c r="L1156" s="57">
        <f t="shared" si="1126"/>
        <v>74048.899999999994</v>
      </c>
      <c r="M1156" s="57">
        <f t="shared" si="1126"/>
        <v>59789</v>
      </c>
      <c r="N1156" s="57">
        <f t="shared" ref="N1156:O1156" si="1127">N327</f>
        <v>48414.899999999994</v>
      </c>
      <c r="O1156" s="57">
        <f t="shared" si="1127"/>
        <v>80.9762665373229</v>
      </c>
    </row>
    <row r="1157" spans="1:15" ht="15.75" x14ac:dyDescent="0.25">
      <c r="A1157" s="52"/>
      <c r="B1157" s="52"/>
      <c r="C1157" s="56" t="s">
        <v>640</v>
      </c>
      <c r="D1157" s="55"/>
      <c r="E1157" s="55"/>
      <c r="F1157" s="55"/>
      <c r="G1157" s="57">
        <f>G1156-G1158</f>
        <v>59561.9</v>
      </c>
      <c r="H1157" s="57">
        <f>H1156-H1158</f>
        <v>53415.200000000004</v>
      </c>
      <c r="I1157" s="57">
        <f t="shared" ref="I1157:M1157" si="1128">I1156-I1158</f>
        <v>59996.284313725497</v>
      </c>
      <c r="J1157" s="57">
        <f t="shared" si="1128"/>
        <v>69919.200000000012</v>
      </c>
      <c r="K1157" s="57">
        <f t="shared" si="1128"/>
        <v>71159.200000000012</v>
      </c>
      <c r="L1157" s="57">
        <f t="shared" si="1128"/>
        <v>71915</v>
      </c>
      <c r="M1157" s="57">
        <f t="shared" si="1128"/>
        <v>57685.9</v>
      </c>
      <c r="N1157" s="57">
        <f t="shared" ref="N1157:O1157" si="1129">N1156-N1158</f>
        <v>46842.7</v>
      </c>
      <c r="O1157" s="57">
        <f t="shared" si="1129"/>
        <v>6.2199544266291866</v>
      </c>
    </row>
    <row r="1158" spans="1:15" ht="15.75" x14ac:dyDescent="0.25">
      <c r="A1158" s="52"/>
      <c r="B1158" s="52"/>
      <c r="C1158" s="56" t="s">
        <v>641</v>
      </c>
      <c r="D1158" s="55"/>
      <c r="E1158" s="55"/>
      <c r="F1158" s="55"/>
      <c r="G1158" s="57">
        <f t="shared" ref="G1158:M1158" si="1130">G394</f>
        <v>2137.9</v>
      </c>
      <c r="H1158" s="57">
        <f t="shared" si="1130"/>
        <v>1044.5999999999999</v>
      </c>
      <c r="I1158" s="57">
        <f t="shared" si="1130"/>
        <v>2137.9</v>
      </c>
      <c r="J1158" s="57">
        <f t="shared" si="1130"/>
        <v>2133.9</v>
      </c>
      <c r="K1158" s="57">
        <f t="shared" si="1130"/>
        <v>2133.9</v>
      </c>
      <c r="L1158" s="57">
        <f t="shared" si="1130"/>
        <v>2133.9</v>
      </c>
      <c r="M1158" s="57">
        <f t="shared" si="1130"/>
        <v>2103.1000000000004</v>
      </c>
      <c r="N1158" s="57">
        <f t="shared" ref="N1158:O1158" si="1131">N394</f>
        <v>1572.1999999999998</v>
      </c>
      <c r="O1158" s="57">
        <f t="shared" si="1131"/>
        <v>74.756312110693713</v>
      </c>
    </row>
    <row r="1159" spans="1:15" ht="15.75" x14ac:dyDescent="0.25">
      <c r="A1159" s="52"/>
      <c r="B1159" s="52"/>
      <c r="C1159" s="56">
        <v>10</v>
      </c>
      <c r="D1159" s="55"/>
      <c r="E1159" s="55"/>
      <c r="F1159" s="55"/>
      <c r="G1159" s="57">
        <f t="shared" ref="G1159:M1159" si="1132">G1068+G571+G453+G217</f>
        <v>16937</v>
      </c>
      <c r="H1159" s="57">
        <f t="shared" si="1132"/>
        <v>11004</v>
      </c>
      <c r="I1159" s="57">
        <f t="shared" si="1132"/>
        <v>16927</v>
      </c>
      <c r="J1159" s="57">
        <f t="shared" si="1132"/>
        <v>17517.8</v>
      </c>
      <c r="K1159" s="57">
        <f t="shared" si="1132"/>
        <v>17632.8</v>
      </c>
      <c r="L1159" s="57">
        <f t="shared" si="1132"/>
        <v>17677.8</v>
      </c>
      <c r="M1159" s="57">
        <f t="shared" si="1132"/>
        <v>16848.300000000003</v>
      </c>
      <c r="N1159" s="57">
        <f t="shared" ref="N1159:O1159" si="1133">N1068+N571+N453+N217</f>
        <v>11083.7</v>
      </c>
      <c r="O1159" s="57" t="e">
        <f t="shared" si="1133"/>
        <v>#DIV/0!</v>
      </c>
    </row>
    <row r="1160" spans="1:15" ht="15.75" x14ac:dyDescent="0.25">
      <c r="A1160" s="52"/>
      <c r="B1160" s="52"/>
      <c r="C1160" s="56" t="s">
        <v>640</v>
      </c>
      <c r="D1160" s="55"/>
      <c r="E1160" s="55"/>
      <c r="F1160" s="55"/>
      <c r="G1160" s="57">
        <f t="shared" ref="G1160:M1160" si="1134">G1069+G455+G224+G218</f>
        <v>12856.5</v>
      </c>
      <c r="H1160" s="57">
        <f t="shared" si="1134"/>
        <v>8987.7999999999993</v>
      </c>
      <c r="I1160" s="57">
        <f t="shared" si="1134"/>
        <v>12846.5</v>
      </c>
      <c r="J1160" s="57">
        <f t="shared" si="1134"/>
        <v>14369.3</v>
      </c>
      <c r="K1160" s="57">
        <f t="shared" si="1134"/>
        <v>14484.3</v>
      </c>
      <c r="L1160" s="57">
        <f t="shared" si="1134"/>
        <v>14529.3</v>
      </c>
      <c r="M1160" s="57">
        <f t="shared" si="1134"/>
        <v>12916.5</v>
      </c>
      <c r="N1160" s="57">
        <f t="shared" ref="N1160:O1160" si="1135">N1069+N455+N224+N218</f>
        <v>8889.7999999999993</v>
      </c>
      <c r="O1160" s="57">
        <f t="shared" si="1135"/>
        <v>189.25683039053425</v>
      </c>
    </row>
    <row r="1161" spans="1:15" ht="15.75" x14ac:dyDescent="0.25">
      <c r="A1161" s="52"/>
      <c r="B1161" s="52"/>
      <c r="C1161" s="56" t="s">
        <v>641</v>
      </c>
      <c r="D1161" s="55"/>
      <c r="E1161" s="55"/>
      <c r="F1161" s="55"/>
      <c r="G1161" s="57">
        <f t="shared" ref="G1161:L1161" si="1136">G512+G236</f>
        <v>4080.5000000000005</v>
      </c>
      <c r="H1161" s="57">
        <f t="shared" si="1136"/>
        <v>2016.2</v>
      </c>
      <c r="I1161" s="57">
        <f t="shared" si="1136"/>
        <v>4080.5000000000005</v>
      </c>
      <c r="J1161" s="57">
        <f t="shared" si="1136"/>
        <v>3148.5000000000005</v>
      </c>
      <c r="K1161" s="57">
        <f t="shared" si="1136"/>
        <v>3148.5000000000005</v>
      </c>
      <c r="L1161" s="57">
        <f t="shared" si="1136"/>
        <v>3148.5000000000005</v>
      </c>
      <c r="M1161" s="57">
        <f>M512+M236+M573</f>
        <v>3931.8</v>
      </c>
      <c r="N1161" s="57">
        <f>N512+N236+N573</f>
        <v>2193.9</v>
      </c>
      <c r="O1161" s="57" t="e">
        <f>O512+O236+O573</f>
        <v>#DIV/0!</v>
      </c>
    </row>
    <row r="1162" spans="1:15" ht="15.75" x14ac:dyDescent="0.25">
      <c r="A1162" s="52"/>
      <c r="B1162" s="52"/>
      <c r="C1162" s="56">
        <v>11</v>
      </c>
      <c r="D1162" s="55"/>
      <c r="E1162" s="55"/>
      <c r="F1162" s="55"/>
      <c r="G1162" s="57">
        <f t="shared" ref="G1162:M1162" si="1137">G821</f>
        <v>34702.699999999997</v>
      </c>
      <c r="H1162" s="57">
        <f t="shared" si="1137"/>
        <v>24902</v>
      </c>
      <c r="I1162" s="57">
        <f t="shared" si="1137"/>
        <v>40816.800000000003</v>
      </c>
      <c r="J1162" s="57">
        <f t="shared" si="1137"/>
        <v>64029.599999999999</v>
      </c>
      <c r="K1162" s="57">
        <f t="shared" si="1137"/>
        <v>65815.3</v>
      </c>
      <c r="L1162" s="57">
        <f t="shared" si="1137"/>
        <v>66895.899999999994</v>
      </c>
      <c r="M1162" s="57">
        <f t="shared" si="1137"/>
        <v>51617.8</v>
      </c>
      <c r="N1162" s="57">
        <f t="shared" ref="N1162:O1162" si="1138">N821</f>
        <v>33596.100000000006</v>
      </c>
      <c r="O1162" s="57">
        <f t="shared" si="1138"/>
        <v>65.086268690258024</v>
      </c>
    </row>
    <row r="1163" spans="1:15" ht="15.75" x14ac:dyDescent="0.25">
      <c r="A1163" s="52"/>
      <c r="B1163" s="52"/>
      <c r="C1163" s="56" t="s">
        <v>640</v>
      </c>
      <c r="D1163" s="55"/>
      <c r="E1163" s="55"/>
      <c r="F1163" s="55"/>
      <c r="G1163" s="57">
        <f>G1162-G1164</f>
        <v>34202.699999999997</v>
      </c>
      <c r="H1163" s="57">
        <f>H1162-H1164</f>
        <v>24902</v>
      </c>
      <c r="I1163" s="57">
        <f t="shared" ref="I1163:M1163" si="1139">I1162-I1164</f>
        <v>40316.800000000003</v>
      </c>
      <c r="J1163" s="57">
        <f t="shared" si="1139"/>
        <v>64029.599999999999</v>
      </c>
      <c r="K1163" s="57">
        <f t="shared" si="1139"/>
        <v>65815.3</v>
      </c>
      <c r="L1163" s="57">
        <f t="shared" si="1139"/>
        <v>66895.899999999994</v>
      </c>
      <c r="M1163" s="57">
        <f t="shared" si="1139"/>
        <v>51117.8</v>
      </c>
      <c r="N1163" s="57">
        <f t="shared" ref="N1163:O1163" si="1140">N1162-N1164</f>
        <v>33196.200000000004</v>
      </c>
      <c r="O1163" s="57">
        <f t="shared" si="1140"/>
        <v>-14.893731309741966</v>
      </c>
    </row>
    <row r="1164" spans="1:15" ht="15.75" x14ac:dyDescent="0.25">
      <c r="A1164" s="52"/>
      <c r="B1164" s="52"/>
      <c r="C1164" s="56" t="s">
        <v>641</v>
      </c>
      <c r="D1164" s="55"/>
      <c r="E1164" s="55"/>
      <c r="F1164" s="55"/>
      <c r="G1164" s="57">
        <f t="shared" ref="G1164:M1164" si="1141">G845</f>
        <v>500</v>
      </c>
      <c r="H1164" s="57">
        <f t="shared" si="1141"/>
        <v>0</v>
      </c>
      <c r="I1164" s="57">
        <f t="shared" si="1141"/>
        <v>500</v>
      </c>
      <c r="J1164" s="57">
        <f t="shared" si="1141"/>
        <v>0</v>
      </c>
      <c r="K1164" s="57">
        <f t="shared" si="1141"/>
        <v>0</v>
      </c>
      <c r="L1164" s="57">
        <f t="shared" si="1141"/>
        <v>0</v>
      </c>
      <c r="M1164" s="57">
        <f t="shared" si="1141"/>
        <v>500</v>
      </c>
      <c r="N1164" s="57">
        <f t="shared" ref="N1164:O1164" si="1142">N845</f>
        <v>399.9</v>
      </c>
      <c r="O1164" s="57">
        <f t="shared" si="1142"/>
        <v>79.97999999999999</v>
      </c>
    </row>
    <row r="1165" spans="1:15" ht="15.75" x14ac:dyDescent="0.25">
      <c r="A1165" s="52"/>
      <c r="B1165" s="52"/>
      <c r="C1165" s="56">
        <v>12</v>
      </c>
      <c r="D1165" s="55"/>
      <c r="E1165" s="55"/>
      <c r="F1165" s="55"/>
      <c r="G1165" s="57">
        <f t="shared" ref="G1165:M1165" si="1143">G1124</f>
        <v>6309.8</v>
      </c>
      <c r="H1165" s="57">
        <f t="shared" si="1143"/>
        <v>4427.2</v>
      </c>
      <c r="I1165" s="57">
        <f t="shared" si="1143"/>
        <v>6309.8</v>
      </c>
      <c r="J1165" s="57">
        <f t="shared" si="1143"/>
        <v>8181.7000000000007</v>
      </c>
      <c r="K1165" s="57">
        <f t="shared" si="1143"/>
        <v>8258.7000000000007</v>
      </c>
      <c r="L1165" s="57">
        <f t="shared" si="1143"/>
        <v>8332.7000000000007</v>
      </c>
      <c r="M1165" s="57">
        <f t="shared" si="1143"/>
        <v>6283.5</v>
      </c>
      <c r="N1165" s="57">
        <f t="shared" ref="N1165:O1165" si="1144">N1124</f>
        <v>4413.2000000000007</v>
      </c>
      <c r="O1165" s="57">
        <f t="shared" si="1144"/>
        <v>70.234741784037567</v>
      </c>
    </row>
    <row r="1166" spans="1:15" ht="15.75" x14ac:dyDescent="0.25">
      <c r="A1166" s="52"/>
      <c r="B1166" s="52"/>
      <c r="C1166" s="57"/>
      <c r="D1166" s="55"/>
      <c r="E1166" s="55"/>
      <c r="F1166" s="55"/>
      <c r="G1166" s="130">
        <f>G1142+G1145+G1146+G1147+G1150+G1153+G1156+G1159+G1162+G1165</f>
        <v>665442.20000000007</v>
      </c>
      <c r="H1166" s="130">
        <f>H1142+H1145+H1146+H1147+H1150+H1153+H1156+H1159+H1162+H1165</f>
        <v>441840.68</v>
      </c>
      <c r="I1166" s="130">
        <f t="shared" ref="I1166:L1166" si="1145">I1142+I1145+I1146+I1147+I1150+I1153+I1156+I1159+I1162+I1165</f>
        <v>638134.33647058834</v>
      </c>
      <c r="J1166" s="130">
        <f t="shared" si="1145"/>
        <v>747927.99999999988</v>
      </c>
      <c r="K1166" s="130">
        <f t="shared" si="1145"/>
        <v>743098.70000000007</v>
      </c>
      <c r="L1166" s="130">
        <f t="shared" si="1145"/>
        <v>741645.10000000009</v>
      </c>
      <c r="M1166" s="130">
        <f>M1142+M1145+M1146+M1147+M1150+M1153+M1156+M1159+M1162+M1165</f>
        <v>740005.38000000012</v>
      </c>
      <c r="N1166" s="130">
        <f>N1142+N1145+N1146+N1147+N1150+N1153+N1156+N1159+N1162+N1165</f>
        <v>530697.60000000009</v>
      </c>
      <c r="O1166" s="130" t="e">
        <f>O1142+O1145+O1146+O1147+O1150+O1153+O1156+O1159+O1162+O1165</f>
        <v>#DIV/0!</v>
      </c>
    </row>
    <row r="1167" spans="1:15" ht="15.75" x14ac:dyDescent="0.25">
      <c r="A1167" s="52"/>
      <c r="B1167" s="52"/>
      <c r="C1167" s="56" t="s">
        <v>640</v>
      </c>
      <c r="D1167" s="55"/>
      <c r="E1167" s="55"/>
      <c r="F1167" s="55"/>
      <c r="G1167" s="130">
        <f>G1143+G1145+G1146+G1148+G1151+G1154+G1157+G1160+G1163+G1165</f>
        <v>460322.4</v>
      </c>
      <c r="H1167" s="130">
        <f>H1143+H1145+H1146+H1148+H1151+H1154+H1157+H1160+H1163+H1165</f>
        <v>299775.60000000003</v>
      </c>
      <c r="I1167" s="130">
        <f t="shared" ref="I1167:L1167" si="1146">I1143+I1145+I1146+I1148+I1151+I1154+I1157+I1160+I1163+I1165</f>
        <v>433014.53647058824</v>
      </c>
      <c r="J1167" s="130">
        <f t="shared" si="1146"/>
        <v>580837.29999999981</v>
      </c>
      <c r="K1167" s="130">
        <f t="shared" si="1146"/>
        <v>576008</v>
      </c>
      <c r="L1167" s="130">
        <f t="shared" si="1146"/>
        <v>574554.39999999991</v>
      </c>
      <c r="M1167" s="130">
        <f>M1143+M1145+M1146+M1148+M1151+M1154+M1157+M1160+M1163+M1165</f>
        <v>486482.2</v>
      </c>
      <c r="N1167" s="130">
        <f>N1143+N1145+N1146+N1148+N1151+N1154+N1157+N1160+N1163+N1165</f>
        <v>343587.20000000007</v>
      </c>
      <c r="O1167" s="130" t="e">
        <f>O1143+O1145+O1146+O1148+O1151+O1154+O1157+O1160+O1163+O1165</f>
        <v>#DIV/0!</v>
      </c>
    </row>
    <row r="1168" spans="1:15" ht="15.75" x14ac:dyDescent="0.25">
      <c r="A1168" s="52"/>
      <c r="B1168" s="52"/>
      <c r="C1168" s="56" t="s">
        <v>641</v>
      </c>
      <c r="D1168" s="55"/>
      <c r="E1168" s="55"/>
      <c r="F1168" s="55"/>
      <c r="G1168" s="130">
        <f>G1166-G1167</f>
        <v>205119.80000000005</v>
      </c>
      <c r="H1168" s="130">
        <f>H1166-H1167</f>
        <v>142065.07999999996</v>
      </c>
      <c r="I1168" s="130">
        <f t="shared" ref="I1168:L1168" si="1147">I1166-I1167</f>
        <v>205119.8000000001</v>
      </c>
      <c r="J1168" s="130">
        <f t="shared" si="1147"/>
        <v>167090.70000000007</v>
      </c>
      <c r="K1168" s="130">
        <f t="shared" si="1147"/>
        <v>167090.70000000007</v>
      </c>
      <c r="L1168" s="130">
        <f t="shared" si="1147"/>
        <v>167090.70000000019</v>
      </c>
      <c r="M1168" s="130">
        <f>M1166-M1167</f>
        <v>253523.18000000011</v>
      </c>
      <c r="N1168" s="130">
        <f>N1166-N1167</f>
        <v>187110.40000000002</v>
      </c>
      <c r="O1168" s="130" t="e">
        <f>O1166-O1167</f>
        <v>#DIV/0!</v>
      </c>
    </row>
    <row r="1169" spans="4:15" x14ac:dyDescent="0.25">
      <c r="G1169" s="131">
        <f>G1167-G1137</f>
        <v>0</v>
      </c>
      <c r="H1169" s="131">
        <f>H1167-H1137</f>
        <v>0</v>
      </c>
      <c r="I1169" s="131"/>
      <c r="J1169" s="131"/>
      <c r="K1169" s="131"/>
      <c r="L1169" s="131"/>
      <c r="M1169" s="131"/>
      <c r="N1169" s="131"/>
      <c r="O1169" s="131"/>
    </row>
    <row r="1170" spans="4:15" x14ac:dyDescent="0.25">
      <c r="D1170" s="1" t="s">
        <v>642</v>
      </c>
      <c r="E1170" s="1">
        <v>50</v>
      </c>
      <c r="G1170" s="131">
        <f t="shared" ref="G1170:M1170" si="1148">G902</f>
        <v>15124.1</v>
      </c>
      <c r="H1170" s="131">
        <f t="shared" si="1148"/>
        <v>9060.2999999999993</v>
      </c>
      <c r="I1170" s="131">
        <f t="shared" si="1148"/>
        <v>15124.1</v>
      </c>
      <c r="J1170" s="131">
        <f t="shared" si="1148"/>
        <v>15124.1</v>
      </c>
      <c r="K1170" s="131">
        <f t="shared" si="1148"/>
        <v>15124.1</v>
      </c>
      <c r="L1170" s="131">
        <f t="shared" si="1148"/>
        <v>15124.1</v>
      </c>
      <c r="M1170" s="131">
        <f t="shared" si="1148"/>
        <v>6895.3</v>
      </c>
      <c r="N1170" s="131">
        <f t="shared" ref="N1170:O1170" si="1149">N902</f>
        <v>3675.9</v>
      </c>
      <c r="O1170" s="131">
        <f t="shared" si="1149"/>
        <v>53.310225805983791</v>
      </c>
    </row>
    <row r="1171" spans="4:15" x14ac:dyDescent="0.25">
      <c r="E1171" s="1">
        <v>51</v>
      </c>
      <c r="G1171" s="131">
        <f t="shared" ref="G1171:M1171" si="1150">G455</f>
        <v>3693</v>
      </c>
      <c r="H1171" s="131">
        <f t="shared" si="1150"/>
        <v>2188</v>
      </c>
      <c r="I1171" s="131">
        <f t="shared" si="1150"/>
        <v>3693</v>
      </c>
      <c r="J1171" s="131">
        <f t="shared" si="1150"/>
        <v>5185</v>
      </c>
      <c r="K1171" s="131">
        <f t="shared" si="1150"/>
        <v>5300</v>
      </c>
      <c r="L1171" s="131">
        <f t="shared" si="1150"/>
        <v>5345</v>
      </c>
      <c r="M1171" s="131">
        <f t="shared" si="1150"/>
        <v>3753</v>
      </c>
      <c r="N1171" s="131">
        <f t="shared" ref="N1171:O1171" si="1151">N455</f>
        <v>2032.3</v>
      </c>
      <c r="O1171" s="131">
        <f t="shared" si="1151"/>
        <v>54.151345590194509</v>
      </c>
    </row>
    <row r="1172" spans="4:15" x14ac:dyDescent="0.25">
      <c r="E1172" s="1">
        <v>52</v>
      </c>
      <c r="G1172" s="131">
        <f t="shared" ref="G1172:M1172" si="1152">G598+G649+G742+G718</f>
        <v>89244.700000000012</v>
      </c>
      <c r="H1172" s="131">
        <f t="shared" si="1152"/>
        <v>70286.5</v>
      </c>
      <c r="I1172" s="131">
        <f t="shared" si="1152"/>
        <v>89860.866666666669</v>
      </c>
      <c r="J1172" s="131">
        <f t="shared" si="1152"/>
        <v>137435.9</v>
      </c>
      <c r="K1172" s="131">
        <f t="shared" si="1152"/>
        <v>129913.1</v>
      </c>
      <c r="L1172" s="131">
        <f t="shared" si="1152"/>
        <v>123239.70000000001</v>
      </c>
      <c r="M1172" s="131">
        <f t="shared" si="1152"/>
        <v>88877.9</v>
      </c>
      <c r="N1172" s="131">
        <f t="shared" ref="N1172:O1172" si="1153">N598+N649+N742+N718</f>
        <v>74416.799999999988</v>
      </c>
      <c r="O1172" s="131">
        <f t="shared" si="1153"/>
        <v>354.85485804444539</v>
      </c>
    </row>
    <row r="1173" spans="4:15" x14ac:dyDescent="0.25">
      <c r="E1173" s="1">
        <v>53</v>
      </c>
      <c r="G1173" s="131">
        <f t="shared" ref="G1173:L1173" si="1154">G63</f>
        <v>250</v>
      </c>
      <c r="H1173" s="131">
        <f t="shared" si="1154"/>
        <v>0</v>
      </c>
      <c r="I1173" s="131">
        <f t="shared" si="1154"/>
        <v>250</v>
      </c>
      <c r="J1173" s="131">
        <f t="shared" si="1154"/>
        <v>0</v>
      </c>
      <c r="K1173" s="131">
        <f t="shared" si="1154"/>
        <v>0</v>
      </c>
      <c r="L1173" s="131">
        <f t="shared" si="1154"/>
        <v>0</v>
      </c>
      <c r="M1173" s="131">
        <f>M203</f>
        <v>250</v>
      </c>
      <c r="N1173" s="131">
        <f>N203</f>
        <v>0</v>
      </c>
      <c r="O1173" s="131">
        <f>O203</f>
        <v>0</v>
      </c>
    </row>
    <row r="1174" spans="4:15" x14ac:dyDescent="0.25">
      <c r="E1174" s="1">
        <v>54</v>
      </c>
      <c r="G1174" s="131">
        <f t="shared" ref="G1174:M1174" si="1155">G67+G1108</f>
        <v>654</v>
      </c>
      <c r="H1174" s="131">
        <f t="shared" si="1155"/>
        <v>412.49999999999994</v>
      </c>
      <c r="I1174" s="131">
        <f t="shared" si="1155"/>
        <v>654</v>
      </c>
      <c r="J1174" s="131">
        <f t="shared" si="1155"/>
        <v>669</v>
      </c>
      <c r="K1174" s="131">
        <f t="shared" si="1155"/>
        <v>669</v>
      </c>
      <c r="L1174" s="131">
        <f t="shared" si="1155"/>
        <v>669</v>
      </c>
      <c r="M1174" s="131">
        <f t="shared" si="1155"/>
        <v>741</v>
      </c>
      <c r="N1174" s="131">
        <f t="shared" ref="N1174:O1174" si="1156">N67+N1108</f>
        <v>468.3</v>
      </c>
      <c r="O1174" s="131">
        <f t="shared" si="1156"/>
        <v>163.17353139770427</v>
      </c>
    </row>
    <row r="1175" spans="4:15" x14ac:dyDescent="0.25">
      <c r="E1175" s="1">
        <v>55</v>
      </c>
      <c r="G1175" s="131">
        <f t="shared" ref="G1175:M1175" si="1157">G225</f>
        <v>10</v>
      </c>
      <c r="H1175" s="131">
        <f t="shared" si="1157"/>
        <v>0</v>
      </c>
      <c r="I1175" s="131">
        <f t="shared" si="1157"/>
        <v>0</v>
      </c>
      <c r="J1175" s="131">
        <f t="shared" si="1157"/>
        <v>10</v>
      </c>
      <c r="K1175" s="131">
        <f t="shared" si="1157"/>
        <v>10</v>
      </c>
      <c r="L1175" s="131">
        <f t="shared" si="1157"/>
        <v>10</v>
      </c>
      <c r="M1175" s="131">
        <f t="shared" si="1157"/>
        <v>10</v>
      </c>
      <c r="N1175" s="131">
        <f t="shared" ref="N1175:O1175" si="1158">N225</f>
        <v>0</v>
      </c>
      <c r="O1175" s="131">
        <f t="shared" si="1158"/>
        <v>0</v>
      </c>
    </row>
    <row r="1176" spans="4:15" x14ac:dyDescent="0.25">
      <c r="E1176" s="1">
        <v>56</v>
      </c>
      <c r="G1176" s="131">
        <f t="shared" ref="G1176:L1176" si="1159">G79</f>
        <v>80</v>
      </c>
      <c r="H1176" s="131">
        <f t="shared" si="1159"/>
        <v>14.6</v>
      </c>
      <c r="I1176" s="131">
        <f t="shared" si="1159"/>
        <v>80</v>
      </c>
      <c r="J1176" s="131">
        <f t="shared" si="1159"/>
        <v>120</v>
      </c>
      <c r="K1176" s="131">
        <f t="shared" si="1159"/>
        <v>120</v>
      </c>
      <c r="L1176" s="131">
        <f t="shared" si="1159"/>
        <v>120</v>
      </c>
      <c r="M1176" s="131">
        <f>M79+M245</f>
        <v>120</v>
      </c>
      <c r="N1176" s="131">
        <f>N79+N245</f>
        <v>25</v>
      </c>
      <c r="O1176" s="131">
        <f>O79+O245</f>
        <v>100</v>
      </c>
    </row>
    <row r="1177" spans="4:15" x14ac:dyDescent="0.25">
      <c r="E1177" s="1">
        <v>57</v>
      </c>
      <c r="G1177" s="131">
        <f t="shared" ref="G1177:M1177" si="1160">G850+G823+G790</f>
        <v>36478.9</v>
      </c>
      <c r="H1177" s="131">
        <f t="shared" si="1160"/>
        <v>26367.4</v>
      </c>
      <c r="I1177" s="131">
        <f t="shared" si="1160"/>
        <v>41702</v>
      </c>
      <c r="J1177" s="131">
        <f t="shared" si="1160"/>
        <v>72379.399999999994</v>
      </c>
      <c r="K1177" s="131">
        <f t="shared" si="1160"/>
        <v>74277.599999999991</v>
      </c>
      <c r="L1177" s="131">
        <f t="shared" si="1160"/>
        <v>75462.799999999988</v>
      </c>
      <c r="M1177" s="131">
        <f t="shared" si="1160"/>
        <v>54009.2</v>
      </c>
      <c r="N1177" s="131">
        <f t="shared" ref="N1177:O1177" si="1161">N850+N823+N790</f>
        <v>35362.800000000003</v>
      </c>
      <c r="O1177" s="131">
        <f t="shared" si="1161"/>
        <v>205.72535200244752</v>
      </c>
    </row>
    <row r="1178" spans="4:15" x14ac:dyDescent="0.25">
      <c r="E1178" s="1">
        <v>58</v>
      </c>
      <c r="G1178" s="131">
        <f t="shared" ref="G1178:M1178" si="1162">G329+G284</f>
        <v>58528.700000000004</v>
      </c>
      <c r="H1178" s="131">
        <f t="shared" si="1162"/>
        <v>49473.3</v>
      </c>
      <c r="I1178" s="131">
        <f t="shared" si="1162"/>
        <v>53466.433333333342</v>
      </c>
      <c r="J1178" s="131">
        <f t="shared" si="1162"/>
        <v>72150.8</v>
      </c>
      <c r="K1178" s="131">
        <f t="shared" si="1162"/>
        <v>72948.7</v>
      </c>
      <c r="L1178" s="131">
        <f t="shared" si="1162"/>
        <v>73823.600000000006</v>
      </c>
      <c r="M1178" s="131">
        <f t="shared" si="1162"/>
        <v>57777.3</v>
      </c>
      <c r="N1178" s="131">
        <f t="shared" ref="N1178:O1178" si="1163">N329+N284</f>
        <v>47079.199999999997</v>
      </c>
      <c r="O1178" s="131">
        <f t="shared" si="1163"/>
        <v>163.36751504694257</v>
      </c>
    </row>
    <row r="1179" spans="4:15" x14ac:dyDescent="0.25">
      <c r="E1179" s="1">
        <v>59</v>
      </c>
      <c r="G1179" s="131">
        <f t="shared" ref="G1179:L1179" si="1164">G389</f>
        <v>200</v>
      </c>
      <c r="H1179" s="131">
        <f t="shared" si="1164"/>
        <v>0</v>
      </c>
      <c r="I1179" s="131">
        <f t="shared" si="1164"/>
        <v>200</v>
      </c>
      <c r="J1179" s="131">
        <f t="shared" si="1164"/>
        <v>0</v>
      </c>
      <c r="K1179" s="131">
        <f t="shared" si="1164"/>
        <v>0</v>
      </c>
      <c r="L1179" s="131">
        <f t="shared" si="1164"/>
        <v>0</v>
      </c>
      <c r="M1179" s="131">
        <f>M840</f>
        <v>545</v>
      </c>
      <c r="N1179" s="131">
        <f>N840</f>
        <v>545</v>
      </c>
      <c r="O1179" s="131">
        <f>O840</f>
        <v>100</v>
      </c>
    </row>
    <row r="1180" spans="4:15" x14ac:dyDescent="0.25">
      <c r="E1180" s="1">
        <v>60</v>
      </c>
      <c r="G1180" s="131">
        <f t="shared" ref="G1180:M1180" si="1165">G990</f>
        <v>12375.499999999998</v>
      </c>
      <c r="H1180" s="131">
        <f t="shared" si="1165"/>
        <v>1616.6000000000001</v>
      </c>
      <c r="I1180" s="131">
        <f t="shared" si="1165"/>
        <v>3394.8</v>
      </c>
      <c r="J1180" s="131">
        <f t="shared" si="1165"/>
        <v>16123</v>
      </c>
      <c r="K1180" s="131">
        <f t="shared" si="1165"/>
        <v>16291.599999999999</v>
      </c>
      <c r="L1180" s="131">
        <f t="shared" si="1165"/>
        <v>18205.7</v>
      </c>
      <c r="M1180" s="131">
        <f t="shared" si="1165"/>
        <v>18293.899999999998</v>
      </c>
      <c r="N1180" s="131">
        <f t="shared" ref="N1180:O1180" si="1166">N990</f>
        <v>3493.4</v>
      </c>
      <c r="O1180" s="131">
        <f t="shared" si="1166"/>
        <v>19.095982813943451</v>
      </c>
    </row>
    <row r="1181" spans="4:15" x14ac:dyDescent="0.25">
      <c r="E1181" s="1">
        <v>61</v>
      </c>
      <c r="G1181" s="131">
        <f t="shared" ref="G1181:L1181" si="1167">G92</f>
        <v>120</v>
      </c>
      <c r="H1181" s="131">
        <f t="shared" si="1167"/>
        <v>30</v>
      </c>
      <c r="I1181" s="131">
        <f t="shared" si="1167"/>
        <v>120</v>
      </c>
      <c r="J1181" s="131">
        <f t="shared" si="1167"/>
        <v>0</v>
      </c>
      <c r="K1181" s="131">
        <f t="shared" si="1167"/>
        <v>0</v>
      </c>
      <c r="L1181" s="131">
        <f t="shared" si="1167"/>
        <v>0</v>
      </c>
      <c r="M1181" s="131">
        <f>M187</f>
        <v>120</v>
      </c>
      <c r="N1181" s="131">
        <f>N187</f>
        <v>11</v>
      </c>
      <c r="O1181" s="131">
        <f>O187</f>
        <v>9.1666666666666661</v>
      </c>
    </row>
    <row r="1182" spans="4:15" x14ac:dyDescent="0.25">
      <c r="E1182" s="1">
        <v>62</v>
      </c>
      <c r="G1182" s="131">
        <f t="shared" ref="G1182:M1182" si="1168">G926</f>
        <v>5427.9</v>
      </c>
      <c r="H1182" s="131">
        <f t="shared" si="1168"/>
        <v>61.8</v>
      </c>
      <c r="I1182" s="131">
        <f t="shared" si="1168"/>
        <v>5427.9</v>
      </c>
      <c r="J1182" s="131">
        <f t="shared" si="1168"/>
        <v>967</v>
      </c>
      <c r="K1182" s="131">
        <f t="shared" si="1168"/>
        <v>967</v>
      </c>
      <c r="L1182" s="131">
        <f t="shared" si="1168"/>
        <v>967</v>
      </c>
      <c r="M1182" s="131">
        <f t="shared" si="1168"/>
        <v>6625.1</v>
      </c>
      <c r="N1182" s="131">
        <f t="shared" ref="N1182:O1182" si="1169">N926</f>
        <v>3232.2000000000003</v>
      </c>
      <c r="O1182" s="131">
        <f t="shared" si="1169"/>
        <v>48.787188117915207</v>
      </c>
    </row>
    <row r="1183" spans="4:15" x14ac:dyDescent="0.25">
      <c r="E1183" s="1">
        <v>63</v>
      </c>
      <c r="G1183" s="131">
        <f>G415+G754</f>
        <v>145</v>
      </c>
      <c r="H1183" s="131">
        <f>H415+H754</f>
        <v>0</v>
      </c>
      <c r="I1183" s="131">
        <f>I415+I754</f>
        <v>145</v>
      </c>
      <c r="J1183" s="131">
        <f t="shared" ref="J1183:O1183" si="1170">J415+J754+J580+J250</f>
        <v>155</v>
      </c>
      <c r="K1183" s="131">
        <f t="shared" si="1170"/>
        <v>155</v>
      </c>
      <c r="L1183" s="131">
        <f t="shared" si="1170"/>
        <v>155</v>
      </c>
      <c r="M1183" s="131">
        <f t="shared" si="1170"/>
        <v>155</v>
      </c>
      <c r="N1183" s="131">
        <f t="shared" si="1170"/>
        <v>0</v>
      </c>
      <c r="O1183" s="131" t="e">
        <f t="shared" si="1170"/>
        <v>#DIV/0!</v>
      </c>
    </row>
    <row r="1184" spans="4:15" x14ac:dyDescent="0.25">
      <c r="E1184" s="1">
        <v>64</v>
      </c>
      <c r="G1184" s="131">
        <f t="shared" ref="G1184:L1184" si="1171">G96+G434</f>
        <v>34</v>
      </c>
      <c r="H1184" s="131">
        <f t="shared" si="1171"/>
        <v>19.100000000000001</v>
      </c>
      <c r="I1184" s="131">
        <f t="shared" si="1171"/>
        <v>34</v>
      </c>
      <c r="J1184" s="131">
        <f t="shared" si="1171"/>
        <v>0</v>
      </c>
      <c r="K1184" s="131">
        <f t="shared" si="1171"/>
        <v>0</v>
      </c>
      <c r="L1184" s="131">
        <f t="shared" si="1171"/>
        <v>0</v>
      </c>
      <c r="M1184" s="131">
        <f>M96+M434+M1120+M784+M592+M275</f>
        <v>4285.1000000000004</v>
      </c>
      <c r="N1184" s="131">
        <f>N96+N434+N1120+N784+N592+N275</f>
        <v>3738</v>
      </c>
      <c r="O1184" s="131" t="e">
        <f>O96+O434+O1120+O784+O592+O275</f>
        <v>#DIV/0!</v>
      </c>
    </row>
    <row r="1185" spans="5:15" x14ac:dyDescent="0.25">
      <c r="E1185" s="1">
        <v>65</v>
      </c>
      <c r="G1185" s="131">
        <f t="shared" ref="G1185:M1185" si="1172">G1021</f>
        <v>600</v>
      </c>
      <c r="H1185" s="131">
        <f t="shared" si="1172"/>
        <v>0</v>
      </c>
      <c r="I1185" s="131">
        <f t="shared" si="1172"/>
        <v>600</v>
      </c>
      <c r="J1185" s="131">
        <f t="shared" si="1172"/>
        <v>0</v>
      </c>
      <c r="K1185" s="131">
        <f t="shared" si="1172"/>
        <v>0</v>
      </c>
      <c r="L1185" s="131">
        <f t="shared" si="1172"/>
        <v>0</v>
      </c>
      <c r="M1185" s="131">
        <f t="shared" si="1172"/>
        <v>500</v>
      </c>
      <c r="N1185" s="131">
        <f t="shared" ref="N1185:O1185" si="1173">N1021</f>
        <v>399</v>
      </c>
      <c r="O1185" s="131">
        <f t="shared" si="1173"/>
        <v>79.800000000000011</v>
      </c>
    </row>
    <row r="1186" spans="5:15" x14ac:dyDescent="0.25">
      <c r="E1186" s="1">
        <v>66</v>
      </c>
      <c r="G1186" s="131"/>
      <c r="H1186" s="131"/>
      <c r="I1186" s="131"/>
      <c r="J1186" s="131"/>
      <c r="K1186" s="131"/>
      <c r="L1186" s="131"/>
      <c r="M1186" s="131">
        <f>M540</f>
        <v>67</v>
      </c>
      <c r="N1186" s="131">
        <f>N540</f>
        <v>0</v>
      </c>
      <c r="O1186" s="131">
        <f>O540</f>
        <v>0</v>
      </c>
    </row>
    <row r="1187" spans="5:15" x14ac:dyDescent="0.25">
      <c r="G1187" s="131">
        <f>SUM(G1170:G1185)</f>
        <v>222965.80000000002</v>
      </c>
      <c r="H1187" s="131">
        <f>SUM(H1170:H1185)</f>
        <v>159530.10000000003</v>
      </c>
      <c r="I1187" s="131">
        <f t="shared" ref="I1187:L1187" si="1174">SUM(I1170:I1185)</f>
        <v>214752.1</v>
      </c>
      <c r="J1187" s="131">
        <f t="shared" si="1174"/>
        <v>320319.2</v>
      </c>
      <c r="K1187" s="131">
        <f t="shared" si="1174"/>
        <v>315776.09999999998</v>
      </c>
      <c r="L1187" s="131">
        <f t="shared" si="1174"/>
        <v>313121.90000000002</v>
      </c>
      <c r="M1187" s="131">
        <f>SUM(M1170:M1186)</f>
        <v>243024.80000000002</v>
      </c>
      <c r="N1187" s="131">
        <f>SUM(N1170:N1186)</f>
        <v>174478.9</v>
      </c>
      <c r="O1187" s="131" t="e">
        <f>SUM(O1170:O1186)</f>
        <v>#DIV/0!</v>
      </c>
    </row>
    <row r="1188" spans="5:15" x14ac:dyDescent="0.25">
      <c r="G1188" s="131"/>
      <c r="H1188" s="131"/>
      <c r="I1188" s="131"/>
    </row>
  </sheetData>
  <mergeCells count="2">
    <mergeCell ref="A3:G3"/>
    <mergeCell ref="A7:O7"/>
  </mergeCells>
  <pageMargins left="0.39370078740157483" right="0.39370078740157483" top="1.1811023622047245" bottom="0.39370078740157483" header="0.31496062992125984" footer="0.31496062992125984"/>
  <pageSetup paperSize="9" scale="70" orientation="portrait" r:id="rId1"/>
  <rowBreaks count="1" manualBreakCount="1">
    <brk id="113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5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6" t="s">
        <v>159</v>
      </c>
      <c r="G1" s="74"/>
      <c r="H1" s="209"/>
    </row>
    <row r="2" spans="1:9" ht="18.75" x14ac:dyDescent="0.3">
      <c r="A2" s="74"/>
      <c r="B2" s="74"/>
      <c r="C2" s="74"/>
      <c r="D2" s="74"/>
      <c r="E2" s="73"/>
      <c r="F2" s="186" t="s">
        <v>0</v>
      </c>
      <c r="G2" s="74"/>
      <c r="H2" s="209"/>
    </row>
    <row r="3" spans="1:9" ht="18.75" x14ac:dyDescent="0.3">
      <c r="A3" s="74"/>
      <c r="B3" s="74"/>
      <c r="C3" s="74"/>
      <c r="D3" s="74"/>
      <c r="E3" s="73"/>
      <c r="F3" s="186" t="s">
        <v>831</v>
      </c>
      <c r="G3" s="74"/>
      <c r="H3" s="209"/>
    </row>
    <row r="4" spans="1:9" ht="15.75" x14ac:dyDescent="0.25">
      <c r="A4" s="336"/>
      <c r="B4" s="336"/>
      <c r="C4" s="336"/>
      <c r="D4" s="336"/>
      <c r="E4" s="336"/>
      <c r="F4" s="336"/>
      <c r="G4" s="336"/>
      <c r="H4" s="209"/>
    </row>
    <row r="5" spans="1:9" ht="15.75" x14ac:dyDescent="0.25">
      <c r="A5" s="329" t="s">
        <v>160</v>
      </c>
      <c r="B5" s="329"/>
      <c r="C5" s="329"/>
      <c r="D5" s="329"/>
      <c r="E5" s="329"/>
      <c r="F5" s="329"/>
      <c r="G5" s="329"/>
      <c r="H5" s="209"/>
    </row>
    <row r="6" spans="1:9" ht="15.75" x14ac:dyDescent="0.25">
      <c r="A6" s="206"/>
      <c r="B6" s="206"/>
      <c r="C6" s="206"/>
      <c r="D6" s="206"/>
      <c r="E6" s="206"/>
      <c r="F6" s="206"/>
      <c r="G6" s="206"/>
      <c r="H6" s="209"/>
    </row>
    <row r="7" spans="1:9" ht="15.75" x14ac:dyDescent="0.25">
      <c r="A7" s="14"/>
      <c r="B7" s="14"/>
      <c r="C7" s="14"/>
      <c r="D7" s="14"/>
      <c r="E7" s="14"/>
      <c r="F7" s="14"/>
      <c r="G7" s="127" t="s">
        <v>1</v>
      </c>
      <c r="H7" s="209"/>
    </row>
    <row r="8" spans="1:9" ht="47.25" x14ac:dyDescent="0.25">
      <c r="A8" s="15" t="s">
        <v>161</v>
      </c>
      <c r="B8" s="15" t="s">
        <v>162</v>
      </c>
      <c r="C8" s="16" t="s">
        <v>163</v>
      </c>
      <c r="D8" s="16" t="s">
        <v>164</v>
      </c>
      <c r="E8" s="16" t="s">
        <v>165</v>
      </c>
      <c r="F8" s="16" t="s">
        <v>166</v>
      </c>
      <c r="G8" s="15" t="s">
        <v>4</v>
      </c>
      <c r="H8" s="209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09"/>
    </row>
    <row r="10" spans="1:9" ht="31.5" x14ac:dyDescent="0.25">
      <c r="A10" s="20" t="s">
        <v>167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09"/>
      <c r="I10" s="140"/>
    </row>
    <row r="11" spans="1:9" ht="15.75" x14ac:dyDescent="0.25">
      <c r="A11" s="24" t="s">
        <v>168</v>
      </c>
      <c r="B11" s="20">
        <v>901</v>
      </c>
      <c r="C11" s="25" t="s">
        <v>169</v>
      </c>
      <c r="D11" s="21"/>
      <c r="E11" s="21"/>
      <c r="F11" s="21"/>
      <c r="G11" s="22">
        <f>G12+G22</f>
        <v>14164.460000000001</v>
      </c>
      <c r="H11" s="209"/>
    </row>
    <row r="12" spans="1:9" ht="63" x14ac:dyDescent="0.25">
      <c r="A12" s="24" t="s">
        <v>170</v>
      </c>
      <c r="B12" s="20">
        <v>901</v>
      </c>
      <c r="C12" s="25" t="s">
        <v>169</v>
      </c>
      <c r="D12" s="25" t="s">
        <v>171</v>
      </c>
      <c r="E12" s="25"/>
      <c r="F12" s="25"/>
      <c r="G12" s="22">
        <f>G13</f>
        <v>14114.460000000001</v>
      </c>
      <c r="H12" s="209"/>
    </row>
    <row r="13" spans="1:9" ht="15.75" x14ac:dyDescent="0.25">
      <c r="A13" s="26" t="s">
        <v>172</v>
      </c>
      <c r="B13" s="17">
        <v>901</v>
      </c>
      <c r="C13" s="21" t="s">
        <v>169</v>
      </c>
      <c r="D13" s="21" t="s">
        <v>171</v>
      </c>
      <c r="E13" s="21" t="s">
        <v>173</v>
      </c>
      <c r="F13" s="21"/>
      <c r="G13" s="27">
        <f>G14</f>
        <v>14114.460000000001</v>
      </c>
      <c r="H13" s="209"/>
    </row>
    <row r="14" spans="1:9" ht="31.5" x14ac:dyDescent="0.25">
      <c r="A14" s="26" t="s">
        <v>174</v>
      </c>
      <c r="B14" s="17">
        <v>901</v>
      </c>
      <c r="C14" s="21" t="s">
        <v>169</v>
      </c>
      <c r="D14" s="21" t="s">
        <v>171</v>
      </c>
      <c r="E14" s="21" t="s">
        <v>175</v>
      </c>
      <c r="F14" s="21"/>
      <c r="G14" s="27">
        <f>G15</f>
        <v>14114.460000000001</v>
      </c>
      <c r="H14" s="209"/>
    </row>
    <row r="15" spans="1:9" ht="47.25" x14ac:dyDescent="0.25">
      <c r="A15" s="26" t="s">
        <v>176</v>
      </c>
      <c r="B15" s="17">
        <v>901</v>
      </c>
      <c r="C15" s="21" t="s">
        <v>169</v>
      </c>
      <c r="D15" s="21" t="s">
        <v>171</v>
      </c>
      <c r="E15" s="21" t="s">
        <v>177</v>
      </c>
      <c r="F15" s="21"/>
      <c r="G15" s="27">
        <f>G16+G18+G20</f>
        <v>14114.460000000001</v>
      </c>
      <c r="H15" s="209"/>
    </row>
    <row r="16" spans="1:9" ht="94.5" x14ac:dyDescent="0.25">
      <c r="A16" s="26" t="s">
        <v>178</v>
      </c>
      <c r="B16" s="17">
        <v>901</v>
      </c>
      <c r="C16" s="21" t="s">
        <v>169</v>
      </c>
      <c r="D16" s="21" t="s">
        <v>171</v>
      </c>
      <c r="E16" s="21" t="s">
        <v>177</v>
      </c>
      <c r="F16" s="21" t="s">
        <v>179</v>
      </c>
      <c r="G16" s="27">
        <f>G17</f>
        <v>12784.1</v>
      </c>
      <c r="H16" s="209"/>
    </row>
    <row r="17" spans="1:8" ht="31.5" x14ac:dyDescent="0.25">
      <c r="A17" s="26" t="s">
        <v>180</v>
      </c>
      <c r="B17" s="17">
        <v>901</v>
      </c>
      <c r="C17" s="21" t="s">
        <v>169</v>
      </c>
      <c r="D17" s="21" t="s">
        <v>171</v>
      </c>
      <c r="E17" s="21" t="s">
        <v>177</v>
      </c>
      <c r="F17" s="21" t="s">
        <v>181</v>
      </c>
      <c r="G17" s="28">
        <v>12784.1</v>
      </c>
      <c r="H17" s="209"/>
    </row>
    <row r="18" spans="1:8" ht="31.5" x14ac:dyDescent="0.25">
      <c r="A18" s="26" t="s">
        <v>182</v>
      </c>
      <c r="B18" s="17">
        <v>901</v>
      </c>
      <c r="C18" s="21" t="s">
        <v>169</v>
      </c>
      <c r="D18" s="21" t="s">
        <v>171</v>
      </c>
      <c r="E18" s="21" t="s">
        <v>177</v>
      </c>
      <c r="F18" s="21" t="s">
        <v>183</v>
      </c>
      <c r="G18" s="27">
        <f>G19</f>
        <v>1302.3599999999999</v>
      </c>
      <c r="H18" s="209"/>
    </row>
    <row r="19" spans="1:8" ht="47.25" x14ac:dyDescent="0.25">
      <c r="A19" s="26" t="s">
        <v>184</v>
      </c>
      <c r="B19" s="17">
        <v>901</v>
      </c>
      <c r="C19" s="21" t="s">
        <v>169</v>
      </c>
      <c r="D19" s="21" t="s">
        <v>171</v>
      </c>
      <c r="E19" s="21" t="s">
        <v>177</v>
      </c>
      <c r="F19" s="21" t="s">
        <v>185</v>
      </c>
      <c r="G19" s="28">
        <v>1302.3599999999999</v>
      </c>
      <c r="H19" s="209"/>
    </row>
    <row r="20" spans="1:8" ht="15.75" x14ac:dyDescent="0.25">
      <c r="A20" s="26" t="s">
        <v>186</v>
      </c>
      <c r="B20" s="17">
        <v>901</v>
      </c>
      <c r="C20" s="21" t="s">
        <v>169</v>
      </c>
      <c r="D20" s="21" t="s">
        <v>171</v>
      </c>
      <c r="E20" s="21" t="s">
        <v>177</v>
      </c>
      <c r="F20" s="21" t="s">
        <v>187</v>
      </c>
      <c r="G20" s="27">
        <f>G21</f>
        <v>28</v>
      </c>
      <c r="H20" s="209"/>
    </row>
    <row r="21" spans="1:8" ht="15.75" x14ac:dyDescent="0.25">
      <c r="A21" s="26" t="s">
        <v>620</v>
      </c>
      <c r="B21" s="17">
        <v>901</v>
      </c>
      <c r="C21" s="21" t="s">
        <v>169</v>
      </c>
      <c r="D21" s="21" t="s">
        <v>171</v>
      </c>
      <c r="E21" s="21" t="s">
        <v>177</v>
      </c>
      <c r="F21" s="21" t="s">
        <v>189</v>
      </c>
      <c r="G21" s="27">
        <v>28</v>
      </c>
      <c r="H21" s="209"/>
    </row>
    <row r="22" spans="1:8" ht="31.5" customHeight="1" x14ac:dyDescent="0.25">
      <c r="A22" s="24" t="s">
        <v>190</v>
      </c>
      <c r="B22" s="20">
        <v>901</v>
      </c>
      <c r="C22" s="25" t="s">
        <v>169</v>
      </c>
      <c r="D22" s="25" t="s">
        <v>191</v>
      </c>
      <c r="E22" s="25"/>
      <c r="F22" s="25"/>
      <c r="G22" s="22">
        <f>G23</f>
        <v>50</v>
      </c>
      <c r="H22" s="209"/>
    </row>
    <row r="23" spans="1:8" ht="15.75" x14ac:dyDescent="0.25">
      <c r="A23" s="26" t="s">
        <v>192</v>
      </c>
      <c r="B23" s="17">
        <v>901</v>
      </c>
      <c r="C23" s="21" t="s">
        <v>169</v>
      </c>
      <c r="D23" s="21" t="s">
        <v>191</v>
      </c>
      <c r="E23" s="21" t="s">
        <v>193</v>
      </c>
      <c r="F23" s="21"/>
      <c r="G23" s="27">
        <f>G24</f>
        <v>50</v>
      </c>
      <c r="H23" s="209"/>
    </row>
    <row r="24" spans="1:8" ht="15.75" x14ac:dyDescent="0.25">
      <c r="A24" s="26" t="s">
        <v>194</v>
      </c>
      <c r="B24" s="17">
        <v>901</v>
      </c>
      <c r="C24" s="21" t="s">
        <v>169</v>
      </c>
      <c r="D24" s="21" t="s">
        <v>191</v>
      </c>
      <c r="E24" s="21" t="s">
        <v>195</v>
      </c>
      <c r="F24" s="21"/>
      <c r="G24" s="27">
        <f>G25</f>
        <v>50</v>
      </c>
      <c r="H24" s="209"/>
    </row>
    <row r="25" spans="1:8" ht="15.75" x14ac:dyDescent="0.25">
      <c r="A25" s="26" t="s">
        <v>186</v>
      </c>
      <c r="B25" s="17">
        <v>901</v>
      </c>
      <c r="C25" s="21" t="s">
        <v>169</v>
      </c>
      <c r="D25" s="21" t="s">
        <v>191</v>
      </c>
      <c r="E25" s="21" t="s">
        <v>195</v>
      </c>
      <c r="F25" s="21" t="s">
        <v>196</v>
      </c>
      <c r="G25" s="27">
        <f>G26</f>
        <v>50</v>
      </c>
      <c r="H25" s="209"/>
    </row>
    <row r="26" spans="1:8" ht="15.75" x14ac:dyDescent="0.25">
      <c r="A26" s="26" t="s">
        <v>197</v>
      </c>
      <c r="B26" s="17">
        <v>901</v>
      </c>
      <c r="C26" s="21" t="s">
        <v>169</v>
      </c>
      <c r="D26" s="21" t="s">
        <v>191</v>
      </c>
      <c r="E26" s="21" t="s">
        <v>195</v>
      </c>
      <c r="F26" s="21" t="s">
        <v>198</v>
      </c>
      <c r="G26" s="27">
        <v>50</v>
      </c>
      <c r="H26" s="209"/>
    </row>
    <row r="27" spans="1:8" ht="31.5" x14ac:dyDescent="0.25">
      <c r="A27" s="20" t="s">
        <v>199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09"/>
    </row>
    <row r="28" spans="1:8" ht="15.75" x14ac:dyDescent="0.25">
      <c r="A28" s="24" t="s">
        <v>168</v>
      </c>
      <c r="B28" s="20">
        <v>902</v>
      </c>
      <c r="C28" s="25" t="s">
        <v>169</v>
      </c>
      <c r="D28" s="21"/>
      <c r="E28" s="21"/>
      <c r="F28" s="21"/>
      <c r="G28" s="22">
        <f>G29+G48+G56</f>
        <v>66062.7</v>
      </c>
      <c r="H28" s="209"/>
    </row>
    <row r="29" spans="1:8" ht="78.75" x14ac:dyDescent="0.25">
      <c r="A29" s="24" t="s">
        <v>200</v>
      </c>
      <c r="B29" s="20">
        <v>902</v>
      </c>
      <c r="C29" s="25" t="s">
        <v>169</v>
      </c>
      <c r="D29" s="25" t="s">
        <v>201</v>
      </c>
      <c r="E29" s="25"/>
      <c r="F29" s="25"/>
      <c r="G29" s="22">
        <f>G30</f>
        <v>51508.2</v>
      </c>
      <c r="H29" s="209"/>
    </row>
    <row r="30" spans="1:8" ht="15.75" x14ac:dyDescent="0.25">
      <c r="A30" s="26" t="s">
        <v>172</v>
      </c>
      <c r="B30" s="17">
        <v>902</v>
      </c>
      <c r="C30" s="21" t="s">
        <v>169</v>
      </c>
      <c r="D30" s="21" t="s">
        <v>201</v>
      </c>
      <c r="E30" s="21" t="s">
        <v>173</v>
      </c>
      <c r="F30" s="21"/>
      <c r="G30" s="28">
        <f>G31+G42</f>
        <v>51508.2</v>
      </c>
      <c r="H30" s="209"/>
    </row>
    <row r="31" spans="1:8" ht="31.5" x14ac:dyDescent="0.25">
      <c r="A31" s="26" t="s">
        <v>174</v>
      </c>
      <c r="B31" s="17">
        <v>902</v>
      </c>
      <c r="C31" s="21" t="s">
        <v>169</v>
      </c>
      <c r="D31" s="21" t="s">
        <v>201</v>
      </c>
      <c r="E31" s="21" t="s">
        <v>175</v>
      </c>
      <c r="F31" s="21"/>
      <c r="G31" s="28">
        <f>G32+G39</f>
        <v>43489.2</v>
      </c>
      <c r="H31" s="209"/>
    </row>
    <row r="32" spans="1:8" ht="47.25" x14ac:dyDescent="0.25">
      <c r="A32" s="26" t="s">
        <v>176</v>
      </c>
      <c r="B32" s="17">
        <v>902</v>
      </c>
      <c r="C32" s="21" t="s">
        <v>169</v>
      </c>
      <c r="D32" s="21" t="s">
        <v>201</v>
      </c>
      <c r="E32" s="21" t="s">
        <v>177</v>
      </c>
      <c r="F32" s="21"/>
      <c r="G32" s="27">
        <f>G33+G35+G37</f>
        <v>39943.599999999999</v>
      </c>
      <c r="H32" s="209"/>
    </row>
    <row r="33" spans="1:10" ht="94.5" x14ac:dyDescent="0.25">
      <c r="A33" s="26" t="s">
        <v>178</v>
      </c>
      <c r="B33" s="17">
        <v>902</v>
      </c>
      <c r="C33" s="21" t="s">
        <v>169</v>
      </c>
      <c r="D33" s="21" t="s">
        <v>201</v>
      </c>
      <c r="E33" s="21" t="s">
        <v>177</v>
      </c>
      <c r="F33" s="21" t="s">
        <v>179</v>
      </c>
      <c r="G33" s="27">
        <f>G34</f>
        <v>34230.5</v>
      </c>
      <c r="H33" s="209"/>
    </row>
    <row r="34" spans="1:10" ht="31.5" x14ac:dyDescent="0.25">
      <c r="A34" s="26" t="s">
        <v>180</v>
      </c>
      <c r="B34" s="17">
        <v>902</v>
      </c>
      <c r="C34" s="21" t="s">
        <v>169</v>
      </c>
      <c r="D34" s="21" t="s">
        <v>201</v>
      </c>
      <c r="E34" s="21" t="s">
        <v>177</v>
      </c>
      <c r="F34" s="21" t="s">
        <v>181</v>
      </c>
      <c r="G34" s="187">
        <f>36517.7-553.5-1733.7</f>
        <v>34230.5</v>
      </c>
      <c r="H34" s="188" t="s">
        <v>809</v>
      </c>
      <c r="J34" s="204" t="s">
        <v>853</v>
      </c>
    </row>
    <row r="35" spans="1:10" ht="31.5" x14ac:dyDescent="0.25">
      <c r="A35" s="26" t="s">
        <v>182</v>
      </c>
      <c r="B35" s="17">
        <v>902</v>
      </c>
      <c r="C35" s="21" t="s">
        <v>169</v>
      </c>
      <c r="D35" s="21" t="s">
        <v>201</v>
      </c>
      <c r="E35" s="21" t="s">
        <v>177</v>
      </c>
      <c r="F35" s="21" t="s">
        <v>183</v>
      </c>
      <c r="G35" s="27">
        <f>G36</f>
        <v>5592.4</v>
      </c>
      <c r="H35" s="209"/>
    </row>
    <row r="36" spans="1:10" ht="47.25" x14ac:dyDescent="0.25">
      <c r="A36" s="26" t="s">
        <v>184</v>
      </c>
      <c r="B36" s="17">
        <v>902</v>
      </c>
      <c r="C36" s="21" t="s">
        <v>169</v>
      </c>
      <c r="D36" s="21" t="s">
        <v>201</v>
      </c>
      <c r="E36" s="21" t="s">
        <v>177</v>
      </c>
      <c r="F36" s="21" t="s">
        <v>185</v>
      </c>
      <c r="G36" s="28">
        <f>3962.7+1800-140.3-30</f>
        <v>5592.4</v>
      </c>
      <c r="H36" s="132"/>
      <c r="I36" s="153"/>
    </row>
    <row r="37" spans="1:10" ht="15.75" x14ac:dyDescent="0.25">
      <c r="A37" s="26" t="s">
        <v>186</v>
      </c>
      <c r="B37" s="17">
        <v>902</v>
      </c>
      <c r="C37" s="21" t="s">
        <v>169</v>
      </c>
      <c r="D37" s="21" t="s">
        <v>201</v>
      </c>
      <c r="E37" s="21" t="s">
        <v>177</v>
      </c>
      <c r="F37" s="21" t="s">
        <v>196</v>
      </c>
      <c r="G37" s="27">
        <f>G38</f>
        <v>120.7</v>
      </c>
      <c r="H37" s="209"/>
    </row>
    <row r="38" spans="1:10" ht="15.75" x14ac:dyDescent="0.25">
      <c r="A38" s="26" t="s">
        <v>620</v>
      </c>
      <c r="B38" s="17">
        <v>902</v>
      </c>
      <c r="C38" s="21" t="s">
        <v>169</v>
      </c>
      <c r="D38" s="21" t="s">
        <v>201</v>
      </c>
      <c r="E38" s="21" t="s">
        <v>177</v>
      </c>
      <c r="F38" s="21" t="s">
        <v>189</v>
      </c>
      <c r="G38" s="28">
        <f>90.7+30</f>
        <v>120.7</v>
      </c>
      <c r="H38" s="132"/>
      <c r="I38" s="152"/>
    </row>
    <row r="39" spans="1:10" ht="31.5" x14ac:dyDescent="0.25">
      <c r="A39" s="26" t="s">
        <v>202</v>
      </c>
      <c r="B39" s="17">
        <v>902</v>
      </c>
      <c r="C39" s="21" t="s">
        <v>169</v>
      </c>
      <c r="D39" s="21" t="s">
        <v>201</v>
      </c>
      <c r="E39" s="21" t="s">
        <v>203</v>
      </c>
      <c r="F39" s="21"/>
      <c r="G39" s="27">
        <f t="shared" ref="G39" si="0">G40</f>
        <v>3545.6</v>
      </c>
      <c r="H39" s="209"/>
    </row>
    <row r="40" spans="1:10" ht="94.5" x14ac:dyDescent="0.25">
      <c r="A40" s="26" t="s">
        <v>178</v>
      </c>
      <c r="B40" s="17">
        <v>902</v>
      </c>
      <c r="C40" s="21" t="s">
        <v>169</v>
      </c>
      <c r="D40" s="21" t="s">
        <v>201</v>
      </c>
      <c r="E40" s="21" t="s">
        <v>203</v>
      </c>
      <c r="F40" s="21" t="s">
        <v>179</v>
      </c>
      <c r="G40" s="27">
        <f>G41</f>
        <v>3545.6</v>
      </c>
      <c r="H40" s="209"/>
    </row>
    <row r="41" spans="1:10" ht="31.5" x14ac:dyDescent="0.25">
      <c r="A41" s="26" t="s">
        <v>180</v>
      </c>
      <c r="B41" s="17">
        <v>902</v>
      </c>
      <c r="C41" s="21" t="s">
        <v>169</v>
      </c>
      <c r="D41" s="21" t="s">
        <v>201</v>
      </c>
      <c r="E41" s="21" t="s">
        <v>203</v>
      </c>
      <c r="F41" s="21" t="s">
        <v>181</v>
      </c>
      <c r="G41" s="28">
        <v>3545.6</v>
      </c>
      <c r="H41" s="209"/>
    </row>
    <row r="42" spans="1:10" ht="15.75" x14ac:dyDescent="0.25">
      <c r="A42" s="26" t="s">
        <v>192</v>
      </c>
      <c r="B42" s="17">
        <v>902</v>
      </c>
      <c r="C42" s="21" t="s">
        <v>169</v>
      </c>
      <c r="D42" s="21" t="s">
        <v>201</v>
      </c>
      <c r="E42" s="21" t="s">
        <v>193</v>
      </c>
      <c r="F42" s="21"/>
      <c r="G42" s="30">
        <f>G43</f>
        <v>8019</v>
      </c>
      <c r="H42" s="209"/>
    </row>
    <row r="43" spans="1:10" ht="31.5" x14ac:dyDescent="0.25">
      <c r="A43" s="26" t="s">
        <v>204</v>
      </c>
      <c r="B43" s="17">
        <v>902</v>
      </c>
      <c r="C43" s="21" t="s">
        <v>169</v>
      </c>
      <c r="D43" s="21" t="s">
        <v>201</v>
      </c>
      <c r="E43" s="21" t="s">
        <v>205</v>
      </c>
      <c r="F43" s="21"/>
      <c r="G43" s="27">
        <f>G44+G46</f>
        <v>8019</v>
      </c>
      <c r="H43" s="209"/>
    </row>
    <row r="44" spans="1:10" ht="94.5" x14ac:dyDescent="0.25">
      <c r="A44" s="26" t="s">
        <v>178</v>
      </c>
      <c r="B44" s="17">
        <v>902</v>
      </c>
      <c r="C44" s="21" t="s">
        <v>169</v>
      </c>
      <c r="D44" s="21" t="s">
        <v>201</v>
      </c>
      <c r="E44" s="21" t="s">
        <v>205</v>
      </c>
      <c r="F44" s="21" t="s">
        <v>179</v>
      </c>
      <c r="G44" s="27">
        <f>G45</f>
        <v>5761.2</v>
      </c>
      <c r="H44" s="209"/>
    </row>
    <row r="45" spans="1:10" ht="31.5" x14ac:dyDescent="0.25">
      <c r="A45" s="26" t="s">
        <v>180</v>
      </c>
      <c r="B45" s="17">
        <v>902</v>
      </c>
      <c r="C45" s="21" t="s">
        <v>169</v>
      </c>
      <c r="D45" s="21" t="s">
        <v>201</v>
      </c>
      <c r="E45" s="21" t="s">
        <v>205</v>
      </c>
      <c r="F45" s="21" t="s">
        <v>181</v>
      </c>
      <c r="G45" s="187">
        <f>6958.6+88.4-2398.3+1112.5</f>
        <v>5761.2</v>
      </c>
      <c r="H45" s="132" t="s">
        <v>810</v>
      </c>
      <c r="I45" s="152"/>
      <c r="J45" s="203" t="s">
        <v>854</v>
      </c>
    </row>
    <row r="46" spans="1:10" ht="31.5" x14ac:dyDescent="0.25">
      <c r="A46" s="26" t="s">
        <v>182</v>
      </c>
      <c r="B46" s="17">
        <v>902</v>
      </c>
      <c r="C46" s="21" t="s">
        <v>169</v>
      </c>
      <c r="D46" s="21" t="s">
        <v>201</v>
      </c>
      <c r="E46" s="21" t="s">
        <v>205</v>
      </c>
      <c r="F46" s="21" t="s">
        <v>183</v>
      </c>
      <c r="G46" s="27">
        <f>G47</f>
        <v>2257.8000000000002</v>
      </c>
      <c r="H46" s="209"/>
    </row>
    <row r="47" spans="1:10" ht="47.25" x14ac:dyDescent="0.25">
      <c r="A47" s="26" t="s">
        <v>184</v>
      </c>
      <c r="B47" s="17">
        <v>902</v>
      </c>
      <c r="C47" s="21" t="s">
        <v>169</v>
      </c>
      <c r="D47" s="21" t="s">
        <v>201</v>
      </c>
      <c r="E47" s="21" t="s">
        <v>205</v>
      </c>
      <c r="F47" s="21" t="s">
        <v>185</v>
      </c>
      <c r="G47" s="187">
        <f>2109.3+129.9+835.5-1438.1+621.2</f>
        <v>2257.8000000000002</v>
      </c>
      <c r="H47" s="132" t="s">
        <v>811</v>
      </c>
      <c r="I47" s="153"/>
    </row>
    <row r="48" spans="1:10" ht="63" x14ac:dyDescent="0.25">
      <c r="A48" s="24" t="s">
        <v>170</v>
      </c>
      <c r="B48" s="20">
        <v>902</v>
      </c>
      <c r="C48" s="25" t="s">
        <v>169</v>
      </c>
      <c r="D48" s="25" t="s">
        <v>171</v>
      </c>
      <c r="E48" s="25"/>
      <c r="F48" s="21"/>
      <c r="G48" s="22">
        <f>G49</f>
        <v>1081.7</v>
      </c>
      <c r="H48" s="209"/>
    </row>
    <row r="49" spans="1:11" ht="21" customHeight="1" x14ac:dyDescent="0.25">
      <c r="A49" s="26" t="s">
        <v>172</v>
      </c>
      <c r="B49" s="17">
        <v>902</v>
      </c>
      <c r="C49" s="21" t="s">
        <v>169</v>
      </c>
      <c r="D49" s="21" t="s">
        <v>171</v>
      </c>
      <c r="E49" s="21" t="s">
        <v>173</v>
      </c>
      <c r="F49" s="21"/>
      <c r="G49" s="27">
        <f t="shared" ref="G49" si="1">G50</f>
        <v>1081.7</v>
      </c>
      <c r="H49" s="209"/>
    </row>
    <row r="50" spans="1:11" ht="31.5" x14ac:dyDescent="0.25">
      <c r="A50" s="26" t="s">
        <v>174</v>
      </c>
      <c r="B50" s="17">
        <v>902</v>
      </c>
      <c r="C50" s="21" t="s">
        <v>169</v>
      </c>
      <c r="D50" s="21" t="s">
        <v>171</v>
      </c>
      <c r="E50" s="21" t="s">
        <v>175</v>
      </c>
      <c r="F50" s="21"/>
      <c r="G50" s="27">
        <f>G51</f>
        <v>1081.7</v>
      </c>
      <c r="H50" s="209"/>
      <c r="K50" s="27"/>
    </row>
    <row r="51" spans="1:11" ht="47.25" x14ac:dyDescent="0.25">
      <c r="A51" s="26" t="s">
        <v>176</v>
      </c>
      <c r="B51" s="17">
        <v>902</v>
      </c>
      <c r="C51" s="21" t="s">
        <v>169</v>
      </c>
      <c r="D51" s="21" t="s">
        <v>171</v>
      </c>
      <c r="E51" s="21" t="s">
        <v>177</v>
      </c>
      <c r="F51" s="21"/>
      <c r="G51" s="27">
        <f>G52+G54</f>
        <v>1081.7</v>
      </c>
      <c r="H51" s="209"/>
      <c r="K51" s="27"/>
    </row>
    <row r="52" spans="1:11" ht="94.5" x14ac:dyDescent="0.25">
      <c r="A52" s="26" t="s">
        <v>178</v>
      </c>
      <c r="B52" s="17">
        <v>902</v>
      </c>
      <c r="C52" s="21" t="s">
        <v>169</v>
      </c>
      <c r="D52" s="21" t="s">
        <v>171</v>
      </c>
      <c r="E52" s="21" t="s">
        <v>177</v>
      </c>
      <c r="F52" s="21" t="s">
        <v>179</v>
      </c>
      <c r="G52" s="27">
        <f>G53</f>
        <v>1081.7</v>
      </c>
      <c r="H52" s="209"/>
      <c r="K52" s="28"/>
    </row>
    <row r="53" spans="1:11" ht="31.5" x14ac:dyDescent="0.25">
      <c r="A53" s="26" t="s">
        <v>180</v>
      </c>
      <c r="B53" s="17">
        <v>902</v>
      </c>
      <c r="C53" s="21" t="s">
        <v>169</v>
      </c>
      <c r="D53" s="21" t="s">
        <v>171</v>
      </c>
      <c r="E53" s="21" t="s">
        <v>177</v>
      </c>
      <c r="F53" s="21" t="s">
        <v>181</v>
      </c>
      <c r="G53" s="28">
        <f>1081.7</f>
        <v>1081.7</v>
      </c>
      <c r="H53" s="209"/>
      <c r="I53" s="141"/>
      <c r="K53" s="27"/>
    </row>
    <row r="54" spans="1:11" ht="31.5" hidden="1" x14ac:dyDescent="0.25">
      <c r="A54" s="26" t="s">
        <v>182</v>
      </c>
      <c r="B54" s="17">
        <v>902</v>
      </c>
      <c r="C54" s="21" t="s">
        <v>169</v>
      </c>
      <c r="D54" s="21" t="s">
        <v>171</v>
      </c>
      <c r="E54" s="21" t="s">
        <v>177</v>
      </c>
      <c r="F54" s="21" t="s">
        <v>183</v>
      </c>
      <c r="G54" s="28">
        <f>G55</f>
        <v>0</v>
      </c>
      <c r="H54" s="209"/>
      <c r="K54" s="27"/>
    </row>
    <row r="55" spans="1:11" ht="47.25" hidden="1" x14ac:dyDescent="0.25">
      <c r="A55" s="26" t="s">
        <v>184</v>
      </c>
      <c r="B55" s="17">
        <v>902</v>
      </c>
      <c r="C55" s="21" t="s">
        <v>169</v>
      </c>
      <c r="D55" s="21" t="s">
        <v>171</v>
      </c>
      <c r="E55" s="21" t="s">
        <v>177</v>
      </c>
      <c r="F55" s="21" t="s">
        <v>185</v>
      </c>
      <c r="G55" s="28"/>
      <c r="H55" s="209"/>
      <c r="I55" s="141"/>
      <c r="K55" s="27"/>
    </row>
    <row r="56" spans="1:11" ht="15.75" x14ac:dyDescent="0.25">
      <c r="A56" s="24" t="s">
        <v>190</v>
      </c>
      <c r="B56" s="20">
        <v>902</v>
      </c>
      <c r="C56" s="25" t="s">
        <v>169</v>
      </c>
      <c r="D56" s="25" t="s">
        <v>191</v>
      </c>
      <c r="E56" s="25"/>
      <c r="F56" s="25"/>
      <c r="G56" s="22">
        <f>G57+G61+G73+G86+G97+G90</f>
        <v>13472.8</v>
      </c>
      <c r="H56" s="209"/>
      <c r="I56" s="140"/>
      <c r="K56" s="27"/>
    </row>
    <row r="57" spans="1:11" ht="63" x14ac:dyDescent="0.25">
      <c r="A57" s="26" t="s">
        <v>206</v>
      </c>
      <c r="B57" s="17">
        <v>902</v>
      </c>
      <c r="C57" s="21" t="s">
        <v>169</v>
      </c>
      <c r="D57" s="21" t="s">
        <v>191</v>
      </c>
      <c r="E57" s="21" t="s">
        <v>207</v>
      </c>
      <c r="F57" s="21"/>
      <c r="G57" s="27">
        <f>G58</f>
        <v>250</v>
      </c>
      <c r="H57" s="209"/>
    </row>
    <row r="58" spans="1:11" ht="31.5" x14ac:dyDescent="0.25">
      <c r="A58" s="26" t="s">
        <v>208</v>
      </c>
      <c r="B58" s="17">
        <v>902</v>
      </c>
      <c r="C58" s="21" t="s">
        <v>169</v>
      </c>
      <c r="D58" s="21" t="s">
        <v>191</v>
      </c>
      <c r="E58" s="21" t="s">
        <v>209</v>
      </c>
      <c r="F58" s="21"/>
      <c r="G58" s="27">
        <f>G59</f>
        <v>250</v>
      </c>
      <c r="H58" s="209"/>
    </row>
    <row r="59" spans="1:11" ht="15.75" x14ac:dyDescent="0.25">
      <c r="A59" s="26" t="s">
        <v>186</v>
      </c>
      <c r="B59" s="17">
        <v>902</v>
      </c>
      <c r="C59" s="21" t="s">
        <v>169</v>
      </c>
      <c r="D59" s="21" t="s">
        <v>191</v>
      </c>
      <c r="E59" s="21" t="s">
        <v>209</v>
      </c>
      <c r="F59" s="21" t="s">
        <v>196</v>
      </c>
      <c r="G59" s="27">
        <f>G60</f>
        <v>250</v>
      </c>
      <c r="H59" s="209"/>
    </row>
    <row r="60" spans="1:11" ht="78.75" x14ac:dyDescent="0.25">
      <c r="A60" s="26" t="s">
        <v>210</v>
      </c>
      <c r="B60" s="17">
        <v>902</v>
      </c>
      <c r="C60" s="21" t="s">
        <v>169</v>
      </c>
      <c r="D60" s="21" t="s">
        <v>191</v>
      </c>
      <c r="E60" s="21" t="s">
        <v>209</v>
      </c>
      <c r="F60" s="21" t="s">
        <v>211</v>
      </c>
      <c r="G60" s="27">
        <f>100+150</f>
        <v>250</v>
      </c>
      <c r="H60" s="209"/>
      <c r="I60" s="141"/>
    </row>
    <row r="61" spans="1:11" ht="47.25" x14ac:dyDescent="0.25">
      <c r="A61" s="26" t="s">
        <v>212</v>
      </c>
      <c r="B61" s="17">
        <v>902</v>
      </c>
      <c r="C61" s="21" t="s">
        <v>169</v>
      </c>
      <c r="D61" s="21" t="s">
        <v>191</v>
      </c>
      <c r="E61" s="21" t="s">
        <v>213</v>
      </c>
      <c r="F61" s="21"/>
      <c r="G61" s="27">
        <f>G62+G65+G70</f>
        <v>653.5</v>
      </c>
      <c r="H61" s="209"/>
    </row>
    <row r="62" spans="1:11" ht="31.5" x14ac:dyDescent="0.25">
      <c r="A62" s="31" t="s">
        <v>214</v>
      </c>
      <c r="B62" s="17">
        <v>902</v>
      </c>
      <c r="C62" s="21" t="s">
        <v>169</v>
      </c>
      <c r="D62" s="21" t="s">
        <v>191</v>
      </c>
      <c r="E62" s="42" t="s">
        <v>215</v>
      </c>
      <c r="F62" s="21"/>
      <c r="G62" s="27">
        <f>G63</f>
        <v>428.1</v>
      </c>
      <c r="H62" s="209"/>
    </row>
    <row r="63" spans="1:11" ht="31.5" x14ac:dyDescent="0.25">
      <c r="A63" s="26" t="s">
        <v>182</v>
      </c>
      <c r="B63" s="17">
        <v>902</v>
      </c>
      <c r="C63" s="21" t="s">
        <v>169</v>
      </c>
      <c r="D63" s="21" t="s">
        <v>191</v>
      </c>
      <c r="E63" s="42" t="s">
        <v>215</v>
      </c>
      <c r="F63" s="21" t="s">
        <v>183</v>
      </c>
      <c r="G63" s="27">
        <f>G64</f>
        <v>428.1</v>
      </c>
      <c r="H63" s="209"/>
    </row>
    <row r="64" spans="1:11" ht="47.25" x14ac:dyDescent="0.25">
      <c r="A64" s="26" t="s">
        <v>184</v>
      </c>
      <c r="B64" s="17">
        <v>902</v>
      </c>
      <c r="C64" s="21" t="s">
        <v>169</v>
      </c>
      <c r="D64" s="21" t="s">
        <v>191</v>
      </c>
      <c r="E64" s="42" t="s">
        <v>215</v>
      </c>
      <c r="F64" s="21" t="s">
        <v>185</v>
      </c>
      <c r="G64" s="27">
        <f>494.3-66.2</f>
        <v>428.1</v>
      </c>
      <c r="H64" s="209"/>
    </row>
    <row r="65" spans="1:8" ht="63" x14ac:dyDescent="0.25">
      <c r="A65" s="210" t="s">
        <v>216</v>
      </c>
      <c r="B65" s="17">
        <v>902</v>
      </c>
      <c r="C65" s="21" t="s">
        <v>169</v>
      </c>
      <c r="D65" s="21" t="s">
        <v>191</v>
      </c>
      <c r="E65" s="42" t="s">
        <v>217</v>
      </c>
      <c r="F65" s="21"/>
      <c r="G65" s="27">
        <f>G66+G68</f>
        <v>224.89999999999998</v>
      </c>
      <c r="H65" s="209"/>
    </row>
    <row r="66" spans="1:8" ht="94.5" x14ac:dyDescent="0.25">
      <c r="A66" s="26" t="s">
        <v>178</v>
      </c>
      <c r="B66" s="17">
        <v>902</v>
      </c>
      <c r="C66" s="21" t="s">
        <v>169</v>
      </c>
      <c r="D66" s="21" t="s">
        <v>191</v>
      </c>
      <c r="E66" s="42" t="s">
        <v>217</v>
      </c>
      <c r="F66" s="21" t="s">
        <v>179</v>
      </c>
      <c r="G66" s="27">
        <f>G67</f>
        <v>159.69999999999999</v>
      </c>
      <c r="H66" s="209"/>
    </row>
    <row r="67" spans="1:8" ht="31.5" x14ac:dyDescent="0.25">
      <c r="A67" s="26" t="s">
        <v>180</v>
      </c>
      <c r="B67" s="17">
        <v>902</v>
      </c>
      <c r="C67" s="21" t="s">
        <v>169</v>
      </c>
      <c r="D67" s="21" t="s">
        <v>191</v>
      </c>
      <c r="E67" s="42" t="s">
        <v>217</v>
      </c>
      <c r="F67" s="21" t="s">
        <v>181</v>
      </c>
      <c r="G67" s="27">
        <v>159.69999999999999</v>
      </c>
      <c r="H67" s="209"/>
    </row>
    <row r="68" spans="1:8" ht="31.5" x14ac:dyDescent="0.25">
      <c r="A68" s="26" t="s">
        <v>182</v>
      </c>
      <c r="B68" s="17">
        <v>902</v>
      </c>
      <c r="C68" s="21" t="s">
        <v>169</v>
      </c>
      <c r="D68" s="21" t="s">
        <v>191</v>
      </c>
      <c r="E68" s="42" t="s">
        <v>217</v>
      </c>
      <c r="F68" s="21" t="s">
        <v>183</v>
      </c>
      <c r="G68" s="27">
        <f>G69</f>
        <v>65.2</v>
      </c>
      <c r="H68" s="209"/>
    </row>
    <row r="69" spans="1:8" ht="47.25" x14ac:dyDescent="0.25">
      <c r="A69" s="26" t="s">
        <v>184</v>
      </c>
      <c r="B69" s="17">
        <v>902</v>
      </c>
      <c r="C69" s="21" t="s">
        <v>169</v>
      </c>
      <c r="D69" s="21" t="s">
        <v>191</v>
      </c>
      <c r="E69" s="42" t="s">
        <v>217</v>
      </c>
      <c r="F69" s="21" t="s">
        <v>185</v>
      </c>
      <c r="G69" s="27">
        <f>66.2-0.5-0.5</f>
        <v>65.2</v>
      </c>
      <c r="H69" s="132"/>
    </row>
    <row r="70" spans="1:8" ht="47.25" x14ac:dyDescent="0.25">
      <c r="A70" s="35" t="s">
        <v>242</v>
      </c>
      <c r="B70" s="17">
        <v>902</v>
      </c>
      <c r="C70" s="21" t="s">
        <v>169</v>
      </c>
      <c r="D70" s="21" t="s">
        <v>191</v>
      </c>
      <c r="E70" s="42" t="s">
        <v>763</v>
      </c>
      <c r="F70" s="21"/>
      <c r="G70" s="27">
        <f>G71</f>
        <v>0.5</v>
      </c>
      <c r="H70" s="134"/>
    </row>
    <row r="71" spans="1:8" ht="31.5" x14ac:dyDescent="0.25">
      <c r="A71" s="26" t="s">
        <v>182</v>
      </c>
      <c r="B71" s="17">
        <v>902</v>
      </c>
      <c r="C71" s="21" t="s">
        <v>169</v>
      </c>
      <c r="D71" s="21" t="s">
        <v>191</v>
      </c>
      <c r="E71" s="42" t="s">
        <v>763</v>
      </c>
      <c r="F71" s="21" t="s">
        <v>183</v>
      </c>
      <c r="G71" s="27">
        <f>G72</f>
        <v>0.5</v>
      </c>
      <c r="H71" s="209"/>
    </row>
    <row r="72" spans="1:8" ht="47.25" x14ac:dyDescent="0.25">
      <c r="A72" s="26" t="s">
        <v>184</v>
      </c>
      <c r="B72" s="17">
        <v>902</v>
      </c>
      <c r="C72" s="21" t="s">
        <v>169</v>
      </c>
      <c r="D72" s="21" t="s">
        <v>191</v>
      </c>
      <c r="E72" s="42" t="s">
        <v>763</v>
      </c>
      <c r="F72" s="21" t="s">
        <v>185</v>
      </c>
      <c r="G72" s="27">
        <v>0.5</v>
      </c>
      <c r="H72" s="132"/>
    </row>
    <row r="73" spans="1:8" ht="94.5" x14ac:dyDescent="0.25">
      <c r="A73" s="31" t="s">
        <v>218</v>
      </c>
      <c r="B73" s="17">
        <v>902</v>
      </c>
      <c r="C73" s="10" t="s">
        <v>169</v>
      </c>
      <c r="D73" s="10" t="s">
        <v>191</v>
      </c>
      <c r="E73" s="6" t="s">
        <v>219</v>
      </c>
      <c r="F73" s="10"/>
      <c r="G73" s="27">
        <f>G74+G78+G82</f>
        <v>80</v>
      </c>
      <c r="H73" s="209"/>
    </row>
    <row r="74" spans="1:8" ht="78.75" x14ac:dyDescent="0.25">
      <c r="A74" s="31" t="s">
        <v>220</v>
      </c>
      <c r="B74" s="17">
        <v>902</v>
      </c>
      <c r="C74" s="10" t="s">
        <v>169</v>
      </c>
      <c r="D74" s="10" t="s">
        <v>191</v>
      </c>
      <c r="E74" s="32" t="s">
        <v>221</v>
      </c>
      <c r="F74" s="10"/>
      <c r="G74" s="27">
        <f>G75</f>
        <v>15</v>
      </c>
      <c r="H74" s="209"/>
    </row>
    <row r="75" spans="1:8" ht="31.5" x14ac:dyDescent="0.25">
      <c r="A75" s="210" t="s">
        <v>222</v>
      </c>
      <c r="B75" s="17">
        <v>902</v>
      </c>
      <c r="C75" s="10" t="s">
        <v>169</v>
      </c>
      <c r="D75" s="10" t="s">
        <v>191</v>
      </c>
      <c r="E75" s="6" t="s">
        <v>223</v>
      </c>
      <c r="F75" s="10"/>
      <c r="G75" s="27">
        <f>G76</f>
        <v>15</v>
      </c>
      <c r="H75" s="209"/>
    </row>
    <row r="76" spans="1:8" ht="31.5" x14ac:dyDescent="0.25">
      <c r="A76" s="26" t="s">
        <v>182</v>
      </c>
      <c r="B76" s="17">
        <v>902</v>
      </c>
      <c r="C76" s="10" t="s">
        <v>169</v>
      </c>
      <c r="D76" s="10" t="s">
        <v>191</v>
      </c>
      <c r="E76" s="6" t="s">
        <v>223</v>
      </c>
      <c r="F76" s="10" t="s">
        <v>183</v>
      </c>
      <c r="G76" s="27">
        <f>G77</f>
        <v>15</v>
      </c>
      <c r="H76" s="209"/>
    </row>
    <row r="77" spans="1:8" ht="47.25" x14ac:dyDescent="0.25">
      <c r="A77" s="26" t="s">
        <v>184</v>
      </c>
      <c r="B77" s="17">
        <v>902</v>
      </c>
      <c r="C77" s="10" t="s">
        <v>169</v>
      </c>
      <c r="D77" s="10" t="s">
        <v>191</v>
      </c>
      <c r="E77" s="6" t="s">
        <v>223</v>
      </c>
      <c r="F77" s="10" t="s">
        <v>185</v>
      </c>
      <c r="G77" s="27">
        <v>15</v>
      </c>
      <c r="H77" s="209"/>
    </row>
    <row r="78" spans="1:8" ht="63" x14ac:dyDescent="0.25">
      <c r="A78" s="31" t="s">
        <v>224</v>
      </c>
      <c r="B78" s="17">
        <v>902</v>
      </c>
      <c r="C78" s="10" t="s">
        <v>169</v>
      </c>
      <c r="D78" s="10" t="s">
        <v>191</v>
      </c>
      <c r="E78" s="32" t="s">
        <v>225</v>
      </c>
      <c r="F78" s="10"/>
      <c r="G78" s="27">
        <f>G79</f>
        <v>50</v>
      </c>
      <c r="H78" s="209"/>
    </row>
    <row r="79" spans="1:8" ht="31.5" x14ac:dyDescent="0.25">
      <c r="A79" s="47" t="s">
        <v>226</v>
      </c>
      <c r="B79" s="17">
        <v>902</v>
      </c>
      <c r="C79" s="10" t="s">
        <v>169</v>
      </c>
      <c r="D79" s="10" t="s">
        <v>191</v>
      </c>
      <c r="E79" s="6" t="s">
        <v>227</v>
      </c>
      <c r="F79" s="10"/>
      <c r="G79" s="27">
        <f>G80</f>
        <v>50</v>
      </c>
      <c r="H79" s="209"/>
    </row>
    <row r="80" spans="1:8" ht="31.5" x14ac:dyDescent="0.25">
      <c r="A80" s="26" t="s">
        <v>182</v>
      </c>
      <c r="B80" s="17">
        <v>902</v>
      </c>
      <c r="C80" s="10" t="s">
        <v>169</v>
      </c>
      <c r="D80" s="10" t="s">
        <v>191</v>
      </c>
      <c r="E80" s="6" t="s">
        <v>227</v>
      </c>
      <c r="F80" s="10" t="s">
        <v>183</v>
      </c>
      <c r="G80" s="27">
        <f>G81</f>
        <v>50</v>
      </c>
      <c r="H80" s="209"/>
    </row>
    <row r="81" spans="1:9" ht="47.25" x14ac:dyDescent="0.25">
      <c r="A81" s="26" t="s">
        <v>184</v>
      </c>
      <c r="B81" s="17">
        <v>902</v>
      </c>
      <c r="C81" s="10" t="s">
        <v>169</v>
      </c>
      <c r="D81" s="10" t="s">
        <v>191</v>
      </c>
      <c r="E81" s="6" t="s">
        <v>227</v>
      </c>
      <c r="F81" s="10" t="s">
        <v>185</v>
      </c>
      <c r="G81" s="27">
        <v>50</v>
      </c>
      <c r="H81" s="209"/>
    </row>
    <row r="82" spans="1:9" ht="47.25" x14ac:dyDescent="0.25">
      <c r="A82" s="26" t="s">
        <v>228</v>
      </c>
      <c r="B82" s="17">
        <v>902</v>
      </c>
      <c r="C82" s="10" t="s">
        <v>169</v>
      </c>
      <c r="D82" s="10" t="s">
        <v>191</v>
      </c>
      <c r="E82" s="6" t="s">
        <v>229</v>
      </c>
      <c r="F82" s="10"/>
      <c r="G82" s="27">
        <f>G83</f>
        <v>15</v>
      </c>
      <c r="H82" s="209"/>
    </row>
    <row r="83" spans="1:9" ht="15.75" x14ac:dyDescent="0.25">
      <c r="A83" s="47" t="s">
        <v>230</v>
      </c>
      <c r="B83" s="17">
        <v>902</v>
      </c>
      <c r="C83" s="10" t="s">
        <v>169</v>
      </c>
      <c r="D83" s="10" t="s">
        <v>191</v>
      </c>
      <c r="E83" s="6" t="s">
        <v>231</v>
      </c>
      <c r="F83" s="10"/>
      <c r="G83" s="27">
        <f>G84</f>
        <v>15</v>
      </c>
      <c r="H83" s="209"/>
    </row>
    <row r="84" spans="1:9" ht="31.5" x14ac:dyDescent="0.25">
      <c r="A84" s="26" t="s">
        <v>182</v>
      </c>
      <c r="B84" s="17">
        <v>902</v>
      </c>
      <c r="C84" s="10" t="s">
        <v>169</v>
      </c>
      <c r="D84" s="10" t="s">
        <v>191</v>
      </c>
      <c r="E84" s="6" t="s">
        <v>231</v>
      </c>
      <c r="F84" s="10" t="s">
        <v>183</v>
      </c>
      <c r="G84" s="27">
        <f>G85</f>
        <v>15</v>
      </c>
      <c r="H84" s="209"/>
    </row>
    <row r="85" spans="1:9" ht="47.25" x14ac:dyDescent="0.25">
      <c r="A85" s="26" t="s">
        <v>184</v>
      </c>
      <c r="B85" s="17">
        <v>902</v>
      </c>
      <c r="C85" s="10" t="s">
        <v>169</v>
      </c>
      <c r="D85" s="10" t="s">
        <v>191</v>
      </c>
      <c r="E85" s="6" t="s">
        <v>231</v>
      </c>
      <c r="F85" s="10" t="s">
        <v>185</v>
      </c>
      <c r="G85" s="27">
        <v>15</v>
      </c>
      <c r="H85" s="209"/>
    </row>
    <row r="86" spans="1:9" ht="47.25" x14ac:dyDescent="0.25">
      <c r="A86" s="33" t="s">
        <v>232</v>
      </c>
      <c r="B86" s="17">
        <v>902</v>
      </c>
      <c r="C86" s="21" t="s">
        <v>169</v>
      </c>
      <c r="D86" s="21" t="s">
        <v>191</v>
      </c>
      <c r="E86" s="32" t="s">
        <v>233</v>
      </c>
      <c r="F86" s="34"/>
      <c r="G86" s="27">
        <f>G87</f>
        <v>120</v>
      </c>
      <c r="H86" s="209"/>
    </row>
    <row r="87" spans="1:9" ht="31.5" x14ac:dyDescent="0.25">
      <c r="A87" s="26" t="s">
        <v>208</v>
      </c>
      <c r="B87" s="17">
        <v>902</v>
      </c>
      <c r="C87" s="21" t="s">
        <v>169</v>
      </c>
      <c r="D87" s="21" t="s">
        <v>191</v>
      </c>
      <c r="E87" s="21" t="s">
        <v>234</v>
      </c>
      <c r="F87" s="34"/>
      <c r="G87" s="27">
        <f>G88</f>
        <v>120</v>
      </c>
      <c r="H87" s="209"/>
    </row>
    <row r="88" spans="1:9" ht="15.75" x14ac:dyDescent="0.25">
      <c r="A88" s="31" t="s">
        <v>186</v>
      </c>
      <c r="B88" s="17">
        <v>902</v>
      </c>
      <c r="C88" s="21" t="s">
        <v>169</v>
      </c>
      <c r="D88" s="21" t="s">
        <v>191</v>
      </c>
      <c r="E88" s="21" t="s">
        <v>234</v>
      </c>
      <c r="F88" s="34" t="s">
        <v>196</v>
      </c>
      <c r="G88" s="27">
        <f>G89</f>
        <v>120</v>
      </c>
      <c r="H88" s="209"/>
    </row>
    <row r="89" spans="1:9" ht="63" x14ac:dyDescent="0.25">
      <c r="A89" s="31" t="s">
        <v>235</v>
      </c>
      <c r="B89" s="17">
        <v>902</v>
      </c>
      <c r="C89" s="21" t="s">
        <v>169</v>
      </c>
      <c r="D89" s="21" t="s">
        <v>191</v>
      </c>
      <c r="E89" s="21" t="s">
        <v>234</v>
      </c>
      <c r="F89" s="34" t="s">
        <v>211</v>
      </c>
      <c r="G89" s="27">
        <f>100+20</f>
        <v>120</v>
      </c>
      <c r="H89" s="132"/>
      <c r="I89" s="154"/>
    </row>
    <row r="90" spans="1:9" ht="63" x14ac:dyDescent="0.25">
      <c r="A90" s="31" t="s">
        <v>801</v>
      </c>
      <c r="B90" s="17">
        <v>902</v>
      </c>
      <c r="C90" s="21" t="s">
        <v>169</v>
      </c>
      <c r="D90" s="21" t="s">
        <v>191</v>
      </c>
      <c r="E90" s="21" t="s">
        <v>799</v>
      </c>
      <c r="F90" s="34"/>
      <c r="G90" s="27">
        <f>G91</f>
        <v>29</v>
      </c>
      <c r="H90" s="134"/>
    </row>
    <row r="91" spans="1:9" ht="31.5" x14ac:dyDescent="0.25">
      <c r="A91" s="33" t="s">
        <v>208</v>
      </c>
      <c r="B91" s="17">
        <v>902</v>
      </c>
      <c r="C91" s="21" t="s">
        <v>169</v>
      </c>
      <c r="D91" s="21" t="s">
        <v>191</v>
      </c>
      <c r="E91" s="21" t="s">
        <v>807</v>
      </c>
      <c r="F91" s="34"/>
      <c r="G91" s="27">
        <f>G92</f>
        <v>29</v>
      </c>
      <c r="H91" s="134"/>
    </row>
    <row r="92" spans="1:9" ht="31.5" x14ac:dyDescent="0.25">
      <c r="A92" s="26" t="s">
        <v>182</v>
      </c>
      <c r="B92" s="17">
        <v>902</v>
      </c>
      <c r="C92" s="21" t="s">
        <v>169</v>
      </c>
      <c r="D92" s="21" t="s">
        <v>191</v>
      </c>
      <c r="E92" s="21" t="s">
        <v>807</v>
      </c>
      <c r="F92" s="34" t="s">
        <v>183</v>
      </c>
      <c r="G92" s="27">
        <f>G93</f>
        <v>29</v>
      </c>
      <c r="H92" s="134"/>
    </row>
    <row r="93" spans="1:9" ht="47.25" x14ac:dyDescent="0.25">
      <c r="A93" s="26" t="s">
        <v>184</v>
      </c>
      <c r="B93" s="17">
        <v>902</v>
      </c>
      <c r="C93" s="21" t="s">
        <v>169</v>
      </c>
      <c r="D93" s="21" t="s">
        <v>191</v>
      </c>
      <c r="E93" s="21" t="s">
        <v>807</v>
      </c>
      <c r="F93" s="34" t="s">
        <v>185</v>
      </c>
      <c r="G93" s="27">
        <v>29</v>
      </c>
      <c r="H93" s="134"/>
      <c r="I93" s="152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4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4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4"/>
      <c r="I96" s="152"/>
    </row>
    <row r="97" spans="1:9" ht="15.75" x14ac:dyDescent="0.25">
      <c r="A97" s="26" t="s">
        <v>172</v>
      </c>
      <c r="B97" s="17">
        <v>902</v>
      </c>
      <c r="C97" s="21" t="s">
        <v>169</v>
      </c>
      <c r="D97" s="21" t="s">
        <v>191</v>
      </c>
      <c r="E97" s="21" t="s">
        <v>173</v>
      </c>
      <c r="F97" s="21"/>
      <c r="G97" s="27">
        <f>G98+G121</f>
        <v>12340.3</v>
      </c>
      <c r="H97" s="209"/>
    </row>
    <row r="98" spans="1:9" ht="31.5" x14ac:dyDescent="0.25">
      <c r="A98" s="26" t="s">
        <v>236</v>
      </c>
      <c r="B98" s="17">
        <v>902</v>
      </c>
      <c r="C98" s="21" t="s">
        <v>169</v>
      </c>
      <c r="D98" s="21" t="s">
        <v>191</v>
      </c>
      <c r="E98" s="21" t="s">
        <v>237</v>
      </c>
      <c r="F98" s="21"/>
      <c r="G98" s="27">
        <f>G104+G107+G113+G116</f>
        <v>3600.8999999999996</v>
      </c>
      <c r="H98" s="209"/>
    </row>
    <row r="99" spans="1:9" ht="47.25" hidden="1" x14ac:dyDescent="0.25">
      <c r="A99" s="26" t="s">
        <v>238</v>
      </c>
      <c r="B99" s="17">
        <v>902</v>
      </c>
      <c r="C99" s="21" t="s">
        <v>169</v>
      </c>
      <c r="D99" s="21" t="s">
        <v>191</v>
      </c>
      <c r="E99" s="21" t="s">
        <v>239</v>
      </c>
      <c r="F99" s="25"/>
      <c r="G99" s="27">
        <f t="shared" ref="G99" si="2">G100+G102</f>
        <v>0</v>
      </c>
      <c r="H99" s="209"/>
    </row>
    <row r="100" spans="1:9" ht="94.5" hidden="1" x14ac:dyDescent="0.25">
      <c r="A100" s="26" t="s">
        <v>178</v>
      </c>
      <c r="B100" s="17">
        <v>902</v>
      </c>
      <c r="C100" s="21" t="s">
        <v>169</v>
      </c>
      <c r="D100" s="21" t="s">
        <v>191</v>
      </c>
      <c r="E100" s="21" t="s">
        <v>239</v>
      </c>
      <c r="F100" s="21" t="s">
        <v>179</v>
      </c>
      <c r="G100" s="27">
        <f>G101</f>
        <v>0</v>
      </c>
      <c r="H100" s="209"/>
    </row>
    <row r="101" spans="1:9" ht="31.5" hidden="1" x14ac:dyDescent="0.25">
      <c r="A101" s="26" t="s">
        <v>180</v>
      </c>
      <c r="B101" s="17">
        <v>902</v>
      </c>
      <c r="C101" s="21" t="s">
        <v>169</v>
      </c>
      <c r="D101" s="21" t="s">
        <v>191</v>
      </c>
      <c r="E101" s="21" t="s">
        <v>239</v>
      </c>
      <c r="F101" s="21" t="s">
        <v>181</v>
      </c>
      <c r="G101" s="27">
        <v>0</v>
      </c>
      <c r="H101" s="209"/>
    </row>
    <row r="102" spans="1:9" ht="31.5" hidden="1" x14ac:dyDescent="0.25">
      <c r="A102" s="26" t="s">
        <v>182</v>
      </c>
      <c r="B102" s="17">
        <v>902</v>
      </c>
      <c r="C102" s="21" t="s">
        <v>169</v>
      </c>
      <c r="D102" s="21" t="s">
        <v>191</v>
      </c>
      <c r="E102" s="21" t="s">
        <v>239</v>
      </c>
      <c r="F102" s="21" t="s">
        <v>183</v>
      </c>
      <c r="G102" s="27">
        <f t="shared" ref="G102" si="3">G103</f>
        <v>0</v>
      </c>
      <c r="H102" s="209"/>
    </row>
    <row r="103" spans="1:9" ht="47.25" hidden="1" x14ac:dyDescent="0.25">
      <c r="A103" s="26" t="s">
        <v>184</v>
      </c>
      <c r="B103" s="17">
        <v>902</v>
      </c>
      <c r="C103" s="21" t="s">
        <v>169</v>
      </c>
      <c r="D103" s="21" t="s">
        <v>191</v>
      </c>
      <c r="E103" s="21" t="s">
        <v>239</v>
      </c>
      <c r="F103" s="21" t="s">
        <v>185</v>
      </c>
      <c r="G103" s="27">
        <v>0</v>
      </c>
      <c r="H103" s="209"/>
    </row>
    <row r="104" spans="1:9" ht="47.25" x14ac:dyDescent="0.25">
      <c r="A104" s="33" t="s">
        <v>240</v>
      </c>
      <c r="B104" s="17">
        <v>902</v>
      </c>
      <c r="C104" s="21" t="s">
        <v>169</v>
      </c>
      <c r="D104" s="21" t="s">
        <v>191</v>
      </c>
      <c r="E104" s="21" t="s">
        <v>241</v>
      </c>
      <c r="F104" s="21"/>
      <c r="G104" s="27">
        <f>G105</f>
        <v>701.8</v>
      </c>
      <c r="H104" s="209"/>
    </row>
    <row r="105" spans="1:9" ht="94.5" x14ac:dyDescent="0.25">
      <c r="A105" s="26" t="s">
        <v>178</v>
      </c>
      <c r="B105" s="17">
        <v>902</v>
      </c>
      <c r="C105" s="21" t="s">
        <v>169</v>
      </c>
      <c r="D105" s="21" t="s">
        <v>191</v>
      </c>
      <c r="E105" s="21" t="s">
        <v>241</v>
      </c>
      <c r="F105" s="21" t="s">
        <v>179</v>
      </c>
      <c r="G105" s="27">
        <f>G106</f>
        <v>701.8</v>
      </c>
      <c r="H105" s="209"/>
    </row>
    <row r="106" spans="1:9" ht="31.5" x14ac:dyDescent="0.25">
      <c r="A106" s="26" t="s">
        <v>180</v>
      </c>
      <c r="B106" s="17">
        <v>902</v>
      </c>
      <c r="C106" s="21" t="s">
        <v>169</v>
      </c>
      <c r="D106" s="21" t="s">
        <v>191</v>
      </c>
      <c r="E106" s="21" t="s">
        <v>241</v>
      </c>
      <c r="F106" s="21" t="s">
        <v>181</v>
      </c>
      <c r="G106" s="27">
        <v>701.8</v>
      </c>
      <c r="H106" s="209"/>
      <c r="I106" s="141"/>
    </row>
    <row r="107" spans="1:9" ht="47.25" x14ac:dyDescent="0.25">
      <c r="A107" s="35" t="s">
        <v>242</v>
      </c>
      <c r="B107" s="17">
        <v>902</v>
      </c>
      <c r="C107" s="21" t="s">
        <v>169</v>
      </c>
      <c r="D107" s="21" t="s">
        <v>191</v>
      </c>
      <c r="E107" s="21" t="s">
        <v>243</v>
      </c>
      <c r="F107" s="21"/>
      <c r="G107" s="27">
        <f>G108</f>
        <v>40</v>
      </c>
      <c r="H107" s="209"/>
    </row>
    <row r="108" spans="1:9" ht="31.5" x14ac:dyDescent="0.25">
      <c r="A108" s="26" t="s">
        <v>182</v>
      </c>
      <c r="B108" s="17">
        <v>902</v>
      </c>
      <c r="C108" s="21" t="s">
        <v>169</v>
      </c>
      <c r="D108" s="21" t="s">
        <v>191</v>
      </c>
      <c r="E108" s="21" t="s">
        <v>243</v>
      </c>
      <c r="F108" s="21" t="s">
        <v>183</v>
      </c>
      <c r="G108" s="27">
        <f>G109</f>
        <v>40</v>
      </c>
      <c r="H108" s="209"/>
    </row>
    <row r="109" spans="1:9" ht="47.25" x14ac:dyDescent="0.25">
      <c r="A109" s="26" t="s">
        <v>184</v>
      </c>
      <c r="B109" s="17">
        <v>902</v>
      </c>
      <c r="C109" s="21" t="s">
        <v>169</v>
      </c>
      <c r="D109" s="21" t="s">
        <v>191</v>
      </c>
      <c r="E109" s="21" t="s">
        <v>243</v>
      </c>
      <c r="F109" s="21" t="s">
        <v>185</v>
      </c>
      <c r="G109" s="27">
        <f>36+4</f>
        <v>40</v>
      </c>
      <c r="H109" s="209"/>
      <c r="I109" s="141"/>
    </row>
    <row r="110" spans="1:9" ht="31.5" hidden="1" x14ac:dyDescent="0.25">
      <c r="A110" s="33" t="s">
        <v>244</v>
      </c>
      <c r="B110" s="17">
        <v>902</v>
      </c>
      <c r="C110" s="21" t="s">
        <v>169</v>
      </c>
      <c r="D110" s="21" t="s">
        <v>191</v>
      </c>
      <c r="E110" s="21" t="s">
        <v>243</v>
      </c>
      <c r="F110" s="21"/>
      <c r="G110" s="27">
        <f t="shared" ref="G110:G111" si="4">G111</f>
        <v>0</v>
      </c>
      <c r="H110" s="209"/>
    </row>
    <row r="111" spans="1:9" ht="31.5" hidden="1" x14ac:dyDescent="0.25">
      <c r="A111" s="26" t="s">
        <v>182</v>
      </c>
      <c r="B111" s="17">
        <v>902</v>
      </c>
      <c r="C111" s="21" t="s">
        <v>169</v>
      </c>
      <c r="D111" s="21" t="s">
        <v>191</v>
      </c>
      <c r="E111" s="21" t="s">
        <v>243</v>
      </c>
      <c r="F111" s="21" t="s">
        <v>183</v>
      </c>
      <c r="G111" s="27">
        <f t="shared" si="4"/>
        <v>0</v>
      </c>
      <c r="H111" s="209"/>
    </row>
    <row r="112" spans="1:9" ht="47.25" hidden="1" x14ac:dyDescent="0.25">
      <c r="A112" s="26" t="s">
        <v>184</v>
      </c>
      <c r="B112" s="17">
        <v>902</v>
      </c>
      <c r="C112" s="21" t="s">
        <v>169</v>
      </c>
      <c r="D112" s="21" t="s">
        <v>191</v>
      </c>
      <c r="E112" s="21" t="s">
        <v>243</v>
      </c>
      <c r="F112" s="21" t="s">
        <v>185</v>
      </c>
      <c r="G112" s="27"/>
      <c r="H112" s="209"/>
    </row>
    <row r="113" spans="1:9" ht="63" x14ac:dyDescent="0.25">
      <c r="A113" s="33" t="s">
        <v>245</v>
      </c>
      <c r="B113" s="17">
        <v>902</v>
      </c>
      <c r="C113" s="21" t="s">
        <v>169</v>
      </c>
      <c r="D113" s="21" t="s">
        <v>191</v>
      </c>
      <c r="E113" s="21" t="s">
        <v>246</v>
      </c>
      <c r="F113" s="21"/>
      <c r="G113" s="27">
        <f>G114</f>
        <v>1752.9</v>
      </c>
      <c r="H113" s="209"/>
    </row>
    <row r="114" spans="1:9" ht="94.5" x14ac:dyDescent="0.25">
      <c r="A114" s="26" t="s">
        <v>178</v>
      </c>
      <c r="B114" s="17">
        <v>902</v>
      </c>
      <c r="C114" s="21" t="s">
        <v>169</v>
      </c>
      <c r="D114" s="21" t="s">
        <v>191</v>
      </c>
      <c r="E114" s="21" t="s">
        <v>246</v>
      </c>
      <c r="F114" s="21" t="s">
        <v>179</v>
      </c>
      <c r="G114" s="27">
        <f>G115</f>
        <v>1752.9</v>
      </c>
      <c r="H114" s="209"/>
    </row>
    <row r="115" spans="1:9" ht="31.5" x14ac:dyDescent="0.25">
      <c r="A115" s="26" t="s">
        <v>180</v>
      </c>
      <c r="B115" s="17">
        <v>902</v>
      </c>
      <c r="C115" s="21" t="s">
        <v>169</v>
      </c>
      <c r="D115" s="21" t="s">
        <v>191</v>
      </c>
      <c r="E115" s="21" t="s">
        <v>246</v>
      </c>
      <c r="F115" s="21" t="s">
        <v>181</v>
      </c>
      <c r="G115" s="27">
        <v>1752.9</v>
      </c>
      <c r="H115" s="209"/>
    </row>
    <row r="116" spans="1:9" ht="47.25" x14ac:dyDescent="0.25">
      <c r="A116" s="33" t="s">
        <v>247</v>
      </c>
      <c r="B116" s="17">
        <v>902</v>
      </c>
      <c r="C116" s="21" t="s">
        <v>169</v>
      </c>
      <c r="D116" s="21" t="s">
        <v>191</v>
      </c>
      <c r="E116" s="21" t="s">
        <v>248</v>
      </c>
      <c r="F116" s="21"/>
      <c r="G116" s="27">
        <f>G117+G119</f>
        <v>1106.1999999999998</v>
      </c>
      <c r="H116" s="209"/>
    </row>
    <row r="117" spans="1:9" ht="94.5" x14ac:dyDescent="0.25">
      <c r="A117" s="26" t="s">
        <v>178</v>
      </c>
      <c r="B117" s="17">
        <v>902</v>
      </c>
      <c r="C117" s="21" t="s">
        <v>169</v>
      </c>
      <c r="D117" s="21" t="s">
        <v>191</v>
      </c>
      <c r="E117" s="21" t="s">
        <v>248</v>
      </c>
      <c r="F117" s="21" t="s">
        <v>179</v>
      </c>
      <c r="G117" s="27">
        <f>G118</f>
        <v>1073.0999999999999</v>
      </c>
      <c r="H117" s="209"/>
    </row>
    <row r="118" spans="1:9" ht="31.5" x14ac:dyDescent="0.25">
      <c r="A118" s="26" t="s">
        <v>180</v>
      </c>
      <c r="B118" s="17">
        <v>902</v>
      </c>
      <c r="C118" s="21" t="s">
        <v>169</v>
      </c>
      <c r="D118" s="21" t="s">
        <v>191</v>
      </c>
      <c r="E118" s="21" t="s">
        <v>248</v>
      </c>
      <c r="F118" s="21" t="s">
        <v>181</v>
      </c>
      <c r="G118" s="27">
        <f>1537-463.9</f>
        <v>1073.0999999999999</v>
      </c>
      <c r="H118" s="209"/>
      <c r="I118" s="141"/>
    </row>
    <row r="119" spans="1:9" ht="47.25" x14ac:dyDescent="0.25">
      <c r="A119" s="26" t="s">
        <v>249</v>
      </c>
      <c r="B119" s="17">
        <v>902</v>
      </c>
      <c r="C119" s="21" t="s">
        <v>169</v>
      </c>
      <c r="D119" s="21" t="s">
        <v>191</v>
      </c>
      <c r="E119" s="21" t="s">
        <v>248</v>
      </c>
      <c r="F119" s="21" t="s">
        <v>183</v>
      </c>
      <c r="G119" s="27">
        <f>G120</f>
        <v>33.1</v>
      </c>
      <c r="H119" s="209"/>
    </row>
    <row r="120" spans="1:9" ht="47.25" x14ac:dyDescent="0.25">
      <c r="A120" s="26" t="s">
        <v>184</v>
      </c>
      <c r="B120" s="17">
        <v>902</v>
      </c>
      <c r="C120" s="21" t="s">
        <v>169</v>
      </c>
      <c r="D120" s="21" t="s">
        <v>191</v>
      </c>
      <c r="E120" s="21" t="s">
        <v>248</v>
      </c>
      <c r="F120" s="21" t="s">
        <v>185</v>
      </c>
      <c r="G120" s="27">
        <v>33.1</v>
      </c>
      <c r="H120" s="209"/>
    </row>
    <row r="121" spans="1:9" ht="15.75" x14ac:dyDescent="0.25">
      <c r="A121" s="26" t="s">
        <v>192</v>
      </c>
      <c r="B121" s="17">
        <v>902</v>
      </c>
      <c r="C121" s="21" t="s">
        <v>169</v>
      </c>
      <c r="D121" s="21" t="s">
        <v>191</v>
      </c>
      <c r="E121" s="21" t="s">
        <v>193</v>
      </c>
      <c r="F121" s="21"/>
      <c r="G121" s="27">
        <f>G134+G139+G144</f>
        <v>8739.4</v>
      </c>
      <c r="H121" s="209"/>
    </row>
    <row r="122" spans="1:9" ht="15.75" hidden="1" x14ac:dyDescent="0.25">
      <c r="A122" s="26" t="s">
        <v>250</v>
      </c>
      <c r="B122" s="17">
        <v>902</v>
      </c>
      <c r="C122" s="21" t="s">
        <v>169</v>
      </c>
      <c r="D122" s="21" t="s">
        <v>191</v>
      </c>
      <c r="E122" s="21" t="s">
        <v>251</v>
      </c>
      <c r="F122" s="21"/>
      <c r="G122" s="27">
        <f t="shared" ref="G122:G123" si="5">G123</f>
        <v>0</v>
      </c>
      <c r="H122" s="209"/>
    </row>
    <row r="123" spans="1:9" ht="33" hidden="1" customHeight="1" x14ac:dyDescent="0.25">
      <c r="A123" s="26" t="s">
        <v>249</v>
      </c>
      <c r="B123" s="17">
        <v>902</v>
      </c>
      <c r="C123" s="21" t="s">
        <v>169</v>
      </c>
      <c r="D123" s="21" t="s">
        <v>191</v>
      </c>
      <c r="E123" s="21" t="s">
        <v>251</v>
      </c>
      <c r="F123" s="21" t="s">
        <v>183</v>
      </c>
      <c r="G123" s="27">
        <f t="shared" si="5"/>
        <v>0</v>
      </c>
      <c r="H123" s="209"/>
    </row>
    <row r="124" spans="1:9" ht="47.25" hidden="1" x14ac:dyDescent="0.25">
      <c r="A124" s="26" t="s">
        <v>184</v>
      </c>
      <c r="B124" s="17">
        <v>902</v>
      </c>
      <c r="C124" s="21" t="s">
        <v>169</v>
      </c>
      <c r="D124" s="21" t="s">
        <v>191</v>
      </c>
      <c r="E124" s="21" t="s">
        <v>251</v>
      </c>
      <c r="F124" s="21" t="s">
        <v>185</v>
      </c>
      <c r="G124" s="27">
        <v>0</v>
      </c>
      <c r="H124" s="209"/>
    </row>
    <row r="125" spans="1:9" ht="15.75" hidden="1" x14ac:dyDescent="0.25">
      <c r="A125" s="26" t="s">
        <v>252</v>
      </c>
      <c r="B125" s="17">
        <v>902</v>
      </c>
      <c r="C125" s="21" t="s">
        <v>169</v>
      </c>
      <c r="D125" s="21" t="s">
        <v>191</v>
      </c>
      <c r="E125" s="21" t="s">
        <v>253</v>
      </c>
      <c r="F125" s="25"/>
      <c r="G125" s="27">
        <f t="shared" ref="G125:G126" si="6">G126</f>
        <v>0</v>
      </c>
      <c r="H125" s="209"/>
    </row>
    <row r="126" spans="1:9" ht="47.25" hidden="1" x14ac:dyDescent="0.25">
      <c r="A126" s="26" t="s">
        <v>249</v>
      </c>
      <c r="B126" s="17">
        <v>902</v>
      </c>
      <c r="C126" s="21" t="s">
        <v>169</v>
      </c>
      <c r="D126" s="21" t="s">
        <v>191</v>
      </c>
      <c r="E126" s="21" t="s">
        <v>253</v>
      </c>
      <c r="F126" s="21" t="s">
        <v>183</v>
      </c>
      <c r="G126" s="27">
        <f t="shared" si="6"/>
        <v>0</v>
      </c>
      <c r="H126" s="209"/>
    </row>
    <row r="127" spans="1:9" ht="47.25" hidden="1" x14ac:dyDescent="0.25">
      <c r="A127" s="26" t="s">
        <v>184</v>
      </c>
      <c r="B127" s="17">
        <v>902</v>
      </c>
      <c r="C127" s="21" t="s">
        <v>169</v>
      </c>
      <c r="D127" s="21" t="s">
        <v>191</v>
      </c>
      <c r="E127" s="21" t="s">
        <v>253</v>
      </c>
      <c r="F127" s="21" t="s">
        <v>185</v>
      </c>
      <c r="G127" s="27">
        <v>0</v>
      </c>
      <c r="H127" s="209"/>
    </row>
    <row r="128" spans="1:9" ht="31.5" hidden="1" x14ac:dyDescent="0.25">
      <c r="A128" s="26" t="s">
        <v>254</v>
      </c>
      <c r="B128" s="17">
        <v>902</v>
      </c>
      <c r="C128" s="21" t="s">
        <v>169</v>
      </c>
      <c r="D128" s="21" t="s">
        <v>191</v>
      </c>
      <c r="E128" s="21" t="s">
        <v>255</v>
      </c>
      <c r="F128" s="21"/>
      <c r="G128" s="27">
        <f t="shared" ref="G128:G129" si="7">G129</f>
        <v>0</v>
      </c>
      <c r="H128" s="209"/>
    </row>
    <row r="129" spans="1:9" ht="47.25" hidden="1" x14ac:dyDescent="0.25">
      <c r="A129" s="26" t="s">
        <v>249</v>
      </c>
      <c r="B129" s="17">
        <v>902</v>
      </c>
      <c r="C129" s="21" t="s">
        <v>169</v>
      </c>
      <c r="D129" s="21" t="s">
        <v>191</v>
      </c>
      <c r="E129" s="21" t="s">
        <v>255</v>
      </c>
      <c r="F129" s="21" t="s">
        <v>183</v>
      </c>
      <c r="G129" s="27">
        <f t="shared" si="7"/>
        <v>0</v>
      </c>
      <c r="H129" s="209"/>
    </row>
    <row r="130" spans="1:9" ht="47.25" hidden="1" x14ac:dyDescent="0.25">
      <c r="A130" s="26" t="s">
        <v>184</v>
      </c>
      <c r="B130" s="17">
        <v>902</v>
      </c>
      <c r="C130" s="21" t="s">
        <v>169</v>
      </c>
      <c r="D130" s="21" t="s">
        <v>191</v>
      </c>
      <c r="E130" s="21" t="s">
        <v>255</v>
      </c>
      <c r="F130" s="21" t="s">
        <v>185</v>
      </c>
      <c r="G130" s="27">
        <v>0</v>
      </c>
      <c r="H130" s="209"/>
    </row>
    <row r="131" spans="1:9" ht="15.75" hidden="1" x14ac:dyDescent="0.25">
      <c r="A131" s="26" t="s">
        <v>230</v>
      </c>
      <c r="B131" s="17">
        <v>902</v>
      </c>
      <c r="C131" s="21" t="s">
        <v>169</v>
      </c>
      <c r="D131" s="21" t="s">
        <v>191</v>
      </c>
      <c r="E131" s="21" t="s">
        <v>256</v>
      </c>
      <c r="F131" s="21"/>
      <c r="G131" s="27">
        <f t="shared" ref="G131:G132" si="8">G132</f>
        <v>0</v>
      </c>
      <c r="H131" s="209"/>
    </row>
    <row r="132" spans="1:9" ht="47.25" hidden="1" x14ac:dyDescent="0.25">
      <c r="A132" s="26" t="s">
        <v>249</v>
      </c>
      <c r="B132" s="17">
        <v>902</v>
      </c>
      <c r="C132" s="21" t="s">
        <v>169</v>
      </c>
      <c r="D132" s="21" t="s">
        <v>191</v>
      </c>
      <c r="E132" s="21" t="s">
        <v>256</v>
      </c>
      <c r="F132" s="21" t="s">
        <v>183</v>
      </c>
      <c r="G132" s="27">
        <f t="shared" si="8"/>
        <v>0</v>
      </c>
      <c r="H132" s="209"/>
    </row>
    <row r="133" spans="1:9" ht="47.25" hidden="1" x14ac:dyDescent="0.25">
      <c r="A133" s="26" t="s">
        <v>184</v>
      </c>
      <c r="B133" s="17">
        <v>902</v>
      </c>
      <c r="C133" s="21" t="s">
        <v>169</v>
      </c>
      <c r="D133" s="21" t="s">
        <v>191</v>
      </c>
      <c r="E133" s="21" t="s">
        <v>256</v>
      </c>
      <c r="F133" s="21" t="s">
        <v>185</v>
      </c>
      <c r="G133" s="27">
        <v>0</v>
      </c>
      <c r="H133" s="209"/>
    </row>
    <row r="134" spans="1:9" ht="31.5" x14ac:dyDescent="0.25">
      <c r="A134" s="26" t="s">
        <v>257</v>
      </c>
      <c r="B134" s="17">
        <v>902</v>
      </c>
      <c r="C134" s="21" t="s">
        <v>169</v>
      </c>
      <c r="D134" s="21" t="s">
        <v>191</v>
      </c>
      <c r="E134" s="21" t="s">
        <v>258</v>
      </c>
      <c r="F134" s="21"/>
      <c r="G134" s="27">
        <f>G135+G137</f>
        <v>6126.7</v>
      </c>
      <c r="H134" s="209"/>
    </row>
    <row r="135" spans="1:9" ht="94.5" x14ac:dyDescent="0.25">
      <c r="A135" s="26" t="s">
        <v>178</v>
      </c>
      <c r="B135" s="17">
        <v>902</v>
      </c>
      <c r="C135" s="21" t="s">
        <v>169</v>
      </c>
      <c r="D135" s="21" t="s">
        <v>191</v>
      </c>
      <c r="E135" s="21" t="s">
        <v>258</v>
      </c>
      <c r="F135" s="21" t="s">
        <v>179</v>
      </c>
      <c r="G135" s="27">
        <f>G136</f>
        <v>4952</v>
      </c>
      <c r="H135" s="209"/>
    </row>
    <row r="136" spans="1:9" ht="31.5" x14ac:dyDescent="0.25">
      <c r="A136" s="26" t="s">
        <v>259</v>
      </c>
      <c r="B136" s="17">
        <v>902</v>
      </c>
      <c r="C136" s="21" t="s">
        <v>169</v>
      </c>
      <c r="D136" s="21" t="s">
        <v>191</v>
      </c>
      <c r="E136" s="21" t="s">
        <v>258</v>
      </c>
      <c r="F136" s="21" t="s">
        <v>260</v>
      </c>
      <c r="G136" s="28">
        <f>5174.7-222.7</f>
        <v>4952</v>
      </c>
      <c r="H136" s="209"/>
    </row>
    <row r="137" spans="1:9" ht="47.25" x14ac:dyDescent="0.25">
      <c r="A137" s="26" t="s">
        <v>249</v>
      </c>
      <c r="B137" s="17">
        <v>902</v>
      </c>
      <c r="C137" s="21" t="s">
        <v>169</v>
      </c>
      <c r="D137" s="21" t="s">
        <v>191</v>
      </c>
      <c r="E137" s="21" t="s">
        <v>258</v>
      </c>
      <c r="F137" s="21" t="s">
        <v>183</v>
      </c>
      <c r="G137" s="27">
        <f>G138</f>
        <v>1174.7</v>
      </c>
      <c r="H137" s="209"/>
    </row>
    <row r="138" spans="1:9" ht="47.25" x14ac:dyDescent="0.25">
      <c r="A138" s="26" t="s">
        <v>184</v>
      </c>
      <c r="B138" s="17">
        <v>902</v>
      </c>
      <c r="C138" s="21" t="s">
        <v>169</v>
      </c>
      <c r="D138" s="21" t="s">
        <v>191</v>
      </c>
      <c r="E138" s="21" t="s">
        <v>258</v>
      </c>
      <c r="F138" s="21" t="s">
        <v>185</v>
      </c>
      <c r="G138" s="28">
        <f>724.7+450</f>
        <v>1174.7</v>
      </c>
      <c r="H138" s="209"/>
      <c r="I138" s="141"/>
    </row>
    <row r="139" spans="1:9" ht="47.25" x14ac:dyDescent="0.25">
      <c r="A139" s="26" t="s">
        <v>261</v>
      </c>
      <c r="B139" s="17">
        <v>902</v>
      </c>
      <c r="C139" s="21" t="s">
        <v>169</v>
      </c>
      <c r="D139" s="21" t="s">
        <v>191</v>
      </c>
      <c r="E139" s="21" t="s">
        <v>262</v>
      </c>
      <c r="F139" s="21"/>
      <c r="G139" s="27">
        <f>G140+G142</f>
        <v>2520.4</v>
      </c>
      <c r="H139" s="209"/>
    </row>
    <row r="140" spans="1:9" ht="94.5" x14ac:dyDescent="0.25">
      <c r="A140" s="26" t="s">
        <v>178</v>
      </c>
      <c r="B140" s="17">
        <v>902</v>
      </c>
      <c r="C140" s="21" t="s">
        <v>169</v>
      </c>
      <c r="D140" s="21" t="s">
        <v>191</v>
      </c>
      <c r="E140" s="21" t="s">
        <v>262</v>
      </c>
      <c r="F140" s="21" t="s">
        <v>179</v>
      </c>
      <c r="G140" s="27">
        <f>G141</f>
        <v>1895</v>
      </c>
      <c r="H140" s="209"/>
    </row>
    <row r="141" spans="1:9" ht="31.5" x14ac:dyDescent="0.25">
      <c r="A141" s="26" t="s">
        <v>180</v>
      </c>
      <c r="B141" s="17">
        <v>902</v>
      </c>
      <c r="C141" s="21" t="s">
        <v>169</v>
      </c>
      <c r="D141" s="21" t="s">
        <v>191</v>
      </c>
      <c r="E141" s="21" t="s">
        <v>262</v>
      </c>
      <c r="F141" s="21" t="s">
        <v>181</v>
      </c>
      <c r="G141" s="28">
        <f>1952.2-57.2</f>
        <v>1895</v>
      </c>
      <c r="H141" s="209"/>
      <c r="I141" s="141"/>
    </row>
    <row r="142" spans="1:9" ht="47.25" x14ac:dyDescent="0.25">
      <c r="A142" s="26" t="s">
        <v>249</v>
      </c>
      <c r="B142" s="17">
        <v>902</v>
      </c>
      <c r="C142" s="21" t="s">
        <v>169</v>
      </c>
      <c r="D142" s="21" t="s">
        <v>191</v>
      </c>
      <c r="E142" s="21" t="s">
        <v>262</v>
      </c>
      <c r="F142" s="21" t="s">
        <v>183</v>
      </c>
      <c r="G142" s="27">
        <f>G143</f>
        <v>625.4</v>
      </c>
      <c r="H142" s="209"/>
    </row>
    <row r="143" spans="1:9" ht="47.25" x14ac:dyDescent="0.25">
      <c r="A143" s="26" t="s">
        <v>184</v>
      </c>
      <c r="B143" s="17">
        <v>902</v>
      </c>
      <c r="C143" s="21" t="s">
        <v>169</v>
      </c>
      <c r="D143" s="21" t="s">
        <v>191</v>
      </c>
      <c r="E143" s="21" t="s">
        <v>262</v>
      </c>
      <c r="F143" s="21" t="s">
        <v>185</v>
      </c>
      <c r="G143" s="27">
        <f>821.9-196.5</f>
        <v>625.4</v>
      </c>
      <c r="H143" s="209"/>
    </row>
    <row r="144" spans="1:9" ht="15.75" x14ac:dyDescent="0.25">
      <c r="A144" s="47" t="s">
        <v>194</v>
      </c>
      <c r="B144" s="17">
        <v>902</v>
      </c>
      <c r="C144" s="21" t="s">
        <v>169</v>
      </c>
      <c r="D144" s="21" t="s">
        <v>191</v>
      </c>
      <c r="E144" s="21" t="s">
        <v>195</v>
      </c>
      <c r="F144" s="21"/>
      <c r="G144" s="27">
        <f>G145</f>
        <v>92.3</v>
      </c>
      <c r="H144" s="209"/>
    </row>
    <row r="145" spans="1:8" ht="15.75" x14ac:dyDescent="0.25">
      <c r="A145" s="26" t="s">
        <v>186</v>
      </c>
      <c r="B145" s="17">
        <v>902</v>
      </c>
      <c r="C145" s="21" t="s">
        <v>169</v>
      </c>
      <c r="D145" s="21" t="s">
        <v>191</v>
      </c>
      <c r="E145" s="21" t="s">
        <v>195</v>
      </c>
      <c r="F145" s="21" t="s">
        <v>196</v>
      </c>
      <c r="G145" s="27">
        <f>G146</f>
        <v>92.3</v>
      </c>
      <c r="H145" s="209"/>
    </row>
    <row r="146" spans="1:8" ht="15.75" x14ac:dyDescent="0.25">
      <c r="A146" s="26" t="s">
        <v>197</v>
      </c>
      <c r="B146" s="17">
        <v>902</v>
      </c>
      <c r="C146" s="21" t="s">
        <v>169</v>
      </c>
      <c r="D146" s="21" t="s">
        <v>191</v>
      </c>
      <c r="E146" s="21" t="s">
        <v>195</v>
      </c>
      <c r="F146" s="21" t="s">
        <v>198</v>
      </c>
      <c r="G146" s="27">
        <v>92.3</v>
      </c>
      <c r="H146" s="132"/>
    </row>
    <row r="147" spans="1:8" ht="15.75" hidden="1" x14ac:dyDescent="0.25">
      <c r="A147" s="24" t="s">
        <v>263</v>
      </c>
      <c r="B147" s="20">
        <v>902</v>
      </c>
      <c r="C147" s="25" t="s">
        <v>264</v>
      </c>
      <c r="D147" s="25"/>
      <c r="E147" s="25"/>
      <c r="F147" s="25"/>
      <c r="G147" s="22">
        <f t="shared" ref="G147" si="9">G148+G154</f>
        <v>0</v>
      </c>
      <c r="H147" s="209"/>
    </row>
    <row r="148" spans="1:8" ht="31.5" hidden="1" x14ac:dyDescent="0.25">
      <c r="A148" s="24" t="s">
        <v>265</v>
      </c>
      <c r="B148" s="20">
        <v>902</v>
      </c>
      <c r="C148" s="25" t="s">
        <v>264</v>
      </c>
      <c r="D148" s="25" t="s">
        <v>266</v>
      </c>
      <c r="E148" s="25"/>
      <c r="F148" s="25"/>
      <c r="G148" s="22">
        <f t="shared" ref="G148:G152" si="10">G149</f>
        <v>0</v>
      </c>
      <c r="H148" s="209"/>
    </row>
    <row r="149" spans="1:8" ht="15.75" hidden="1" x14ac:dyDescent="0.25">
      <c r="A149" s="26" t="s">
        <v>172</v>
      </c>
      <c r="B149" s="17">
        <v>902</v>
      </c>
      <c r="C149" s="21" t="s">
        <v>264</v>
      </c>
      <c r="D149" s="21" t="s">
        <v>266</v>
      </c>
      <c r="E149" s="21" t="s">
        <v>173</v>
      </c>
      <c r="F149" s="21"/>
      <c r="G149" s="27">
        <f t="shared" si="10"/>
        <v>0</v>
      </c>
      <c r="H149" s="209"/>
    </row>
    <row r="150" spans="1:8" ht="31.5" hidden="1" x14ac:dyDescent="0.25">
      <c r="A150" s="26" t="s">
        <v>236</v>
      </c>
      <c r="B150" s="17">
        <v>902</v>
      </c>
      <c r="C150" s="21" t="s">
        <v>264</v>
      </c>
      <c r="D150" s="21" t="s">
        <v>266</v>
      </c>
      <c r="E150" s="21" t="s">
        <v>237</v>
      </c>
      <c r="F150" s="21"/>
      <c r="G150" s="27">
        <f t="shared" si="10"/>
        <v>0</v>
      </c>
      <c r="H150" s="209"/>
    </row>
    <row r="151" spans="1:8" ht="47.25" hidden="1" x14ac:dyDescent="0.25">
      <c r="A151" s="26" t="s">
        <v>267</v>
      </c>
      <c r="B151" s="17">
        <v>902</v>
      </c>
      <c r="C151" s="21" t="s">
        <v>264</v>
      </c>
      <c r="D151" s="21" t="s">
        <v>266</v>
      </c>
      <c r="E151" s="21" t="s">
        <v>268</v>
      </c>
      <c r="F151" s="21"/>
      <c r="G151" s="27">
        <f t="shared" si="10"/>
        <v>0</v>
      </c>
      <c r="H151" s="209"/>
    </row>
    <row r="152" spans="1:8" ht="94.5" hidden="1" x14ac:dyDescent="0.25">
      <c r="A152" s="26" t="s">
        <v>178</v>
      </c>
      <c r="B152" s="17">
        <v>902</v>
      </c>
      <c r="C152" s="21" t="s">
        <v>264</v>
      </c>
      <c r="D152" s="21" t="s">
        <v>266</v>
      </c>
      <c r="E152" s="21" t="s">
        <v>268</v>
      </c>
      <c r="F152" s="21" t="s">
        <v>179</v>
      </c>
      <c r="G152" s="27">
        <f t="shared" si="10"/>
        <v>0</v>
      </c>
      <c r="H152" s="209"/>
    </row>
    <row r="153" spans="1:8" ht="31.5" hidden="1" x14ac:dyDescent="0.25">
      <c r="A153" s="26" t="s">
        <v>180</v>
      </c>
      <c r="B153" s="17">
        <v>902</v>
      </c>
      <c r="C153" s="21" t="s">
        <v>264</v>
      </c>
      <c r="D153" s="21" t="s">
        <v>266</v>
      </c>
      <c r="E153" s="21" t="s">
        <v>268</v>
      </c>
      <c r="F153" s="21" t="s">
        <v>181</v>
      </c>
      <c r="G153" s="28"/>
      <c r="H153" s="209"/>
    </row>
    <row r="154" spans="1:8" ht="31.5" hidden="1" x14ac:dyDescent="0.25">
      <c r="A154" s="24" t="s">
        <v>269</v>
      </c>
      <c r="B154" s="20">
        <v>902</v>
      </c>
      <c r="C154" s="25" t="s">
        <v>264</v>
      </c>
      <c r="D154" s="25" t="s">
        <v>270</v>
      </c>
      <c r="E154" s="25"/>
      <c r="F154" s="25"/>
      <c r="G154" s="27">
        <f t="shared" ref="G154:G157" si="11">G155</f>
        <v>0</v>
      </c>
      <c r="H154" s="209"/>
    </row>
    <row r="155" spans="1:8" ht="15.75" hidden="1" x14ac:dyDescent="0.25">
      <c r="A155" s="26" t="s">
        <v>172</v>
      </c>
      <c r="B155" s="17">
        <v>902</v>
      </c>
      <c r="C155" s="21" t="s">
        <v>264</v>
      </c>
      <c r="D155" s="21" t="s">
        <v>270</v>
      </c>
      <c r="E155" s="21" t="s">
        <v>173</v>
      </c>
      <c r="F155" s="21"/>
      <c r="G155" s="27">
        <f t="shared" si="11"/>
        <v>0</v>
      </c>
      <c r="H155" s="209"/>
    </row>
    <row r="156" spans="1:8" ht="31.5" hidden="1" x14ac:dyDescent="0.25">
      <c r="A156" s="26" t="s">
        <v>271</v>
      </c>
      <c r="B156" s="17">
        <v>902</v>
      </c>
      <c r="C156" s="21" t="s">
        <v>264</v>
      </c>
      <c r="D156" s="21" t="s">
        <v>270</v>
      </c>
      <c r="E156" s="21" t="s">
        <v>272</v>
      </c>
      <c r="F156" s="21"/>
      <c r="G156" s="27">
        <f t="shared" si="11"/>
        <v>0</v>
      </c>
      <c r="H156" s="209"/>
    </row>
    <row r="157" spans="1:8" ht="47.25" hidden="1" x14ac:dyDescent="0.25">
      <c r="A157" s="26" t="s">
        <v>249</v>
      </c>
      <c r="B157" s="17">
        <v>902</v>
      </c>
      <c r="C157" s="21" t="s">
        <v>264</v>
      </c>
      <c r="D157" s="21" t="s">
        <v>270</v>
      </c>
      <c r="E157" s="21" t="s">
        <v>272</v>
      </c>
      <c r="F157" s="21" t="s">
        <v>183</v>
      </c>
      <c r="G157" s="27">
        <f t="shared" si="11"/>
        <v>0</v>
      </c>
      <c r="H157" s="209"/>
    </row>
    <row r="158" spans="1:8" ht="47.25" hidden="1" x14ac:dyDescent="0.25">
      <c r="A158" s="26" t="s">
        <v>184</v>
      </c>
      <c r="B158" s="17">
        <v>902</v>
      </c>
      <c r="C158" s="21" t="s">
        <v>264</v>
      </c>
      <c r="D158" s="21" t="s">
        <v>270</v>
      </c>
      <c r="E158" s="21" t="s">
        <v>272</v>
      </c>
      <c r="F158" s="21" t="s">
        <v>185</v>
      </c>
      <c r="G158" s="27">
        <v>0</v>
      </c>
      <c r="H158" s="209"/>
    </row>
    <row r="159" spans="1:8" ht="31.5" x14ac:dyDescent="0.25">
      <c r="A159" s="24" t="s">
        <v>273</v>
      </c>
      <c r="B159" s="20">
        <v>902</v>
      </c>
      <c r="C159" s="25" t="s">
        <v>266</v>
      </c>
      <c r="D159" s="25"/>
      <c r="E159" s="25"/>
      <c r="F159" s="25"/>
      <c r="G159" s="22">
        <f>G160</f>
        <v>7159.4000000000005</v>
      </c>
      <c r="H159" s="209"/>
    </row>
    <row r="160" spans="1:8" ht="63" x14ac:dyDescent="0.25">
      <c r="A160" s="24" t="s">
        <v>274</v>
      </c>
      <c r="B160" s="20">
        <v>902</v>
      </c>
      <c r="C160" s="25" t="s">
        <v>266</v>
      </c>
      <c r="D160" s="25" t="s">
        <v>270</v>
      </c>
      <c r="E160" s="21"/>
      <c r="F160" s="21"/>
      <c r="G160" s="22">
        <f>G161</f>
        <v>7159.4000000000005</v>
      </c>
      <c r="H160" s="209"/>
    </row>
    <row r="161" spans="1:9" ht="15.75" x14ac:dyDescent="0.25">
      <c r="A161" s="26" t="s">
        <v>172</v>
      </c>
      <c r="B161" s="17">
        <v>902</v>
      </c>
      <c r="C161" s="21" t="s">
        <v>266</v>
      </c>
      <c r="D161" s="21" t="s">
        <v>270</v>
      </c>
      <c r="E161" s="21" t="s">
        <v>173</v>
      </c>
      <c r="F161" s="21"/>
      <c r="G161" s="27">
        <f>G162</f>
        <v>7159.4000000000005</v>
      </c>
      <c r="H161" s="209"/>
    </row>
    <row r="162" spans="1:9" ht="15.75" x14ac:dyDescent="0.25">
      <c r="A162" s="26" t="s">
        <v>192</v>
      </c>
      <c r="B162" s="17">
        <v>902</v>
      </c>
      <c r="C162" s="21" t="s">
        <v>266</v>
      </c>
      <c r="D162" s="21" t="s">
        <v>270</v>
      </c>
      <c r="E162" s="21" t="s">
        <v>193</v>
      </c>
      <c r="F162" s="21"/>
      <c r="G162" s="27">
        <f>G163+G169+G174</f>
        <v>7159.4000000000005</v>
      </c>
      <c r="H162" s="209"/>
    </row>
    <row r="163" spans="1:9" ht="47.25" x14ac:dyDescent="0.25">
      <c r="A163" s="26" t="s">
        <v>275</v>
      </c>
      <c r="B163" s="17">
        <v>902</v>
      </c>
      <c r="C163" s="21" t="s">
        <v>266</v>
      </c>
      <c r="D163" s="21" t="s">
        <v>270</v>
      </c>
      <c r="E163" s="21" t="s">
        <v>276</v>
      </c>
      <c r="F163" s="21"/>
      <c r="G163" s="27">
        <f>G164</f>
        <v>2064.1</v>
      </c>
      <c r="H163" s="209"/>
    </row>
    <row r="164" spans="1:9" ht="47.25" x14ac:dyDescent="0.25">
      <c r="A164" s="26" t="s">
        <v>249</v>
      </c>
      <c r="B164" s="17">
        <v>902</v>
      </c>
      <c r="C164" s="21" t="s">
        <v>266</v>
      </c>
      <c r="D164" s="21" t="s">
        <v>270</v>
      </c>
      <c r="E164" s="21" t="s">
        <v>276</v>
      </c>
      <c r="F164" s="21" t="s">
        <v>183</v>
      </c>
      <c r="G164" s="27">
        <f>G165</f>
        <v>2064.1</v>
      </c>
      <c r="H164" s="209"/>
    </row>
    <row r="165" spans="1:9" ht="47.25" x14ac:dyDescent="0.25">
      <c r="A165" s="26" t="s">
        <v>184</v>
      </c>
      <c r="B165" s="17">
        <v>902</v>
      </c>
      <c r="C165" s="21" t="s">
        <v>266</v>
      </c>
      <c r="D165" s="21" t="s">
        <v>270</v>
      </c>
      <c r="E165" s="21" t="s">
        <v>276</v>
      </c>
      <c r="F165" s="21" t="s">
        <v>185</v>
      </c>
      <c r="G165" s="190">
        <f>1908.4+354-98.3-100</f>
        <v>2064.1</v>
      </c>
      <c r="H165" s="132" t="s">
        <v>813</v>
      </c>
      <c r="I165" s="153"/>
    </row>
    <row r="166" spans="1:9" ht="15.75" hidden="1" x14ac:dyDescent="0.25">
      <c r="A166" s="26" t="s">
        <v>277</v>
      </c>
      <c r="B166" s="17">
        <v>902</v>
      </c>
      <c r="C166" s="21" t="s">
        <v>266</v>
      </c>
      <c r="D166" s="21" t="s">
        <v>270</v>
      </c>
      <c r="E166" s="21" t="s">
        <v>278</v>
      </c>
      <c r="F166" s="21"/>
      <c r="G166" s="27">
        <f>G167</f>
        <v>0</v>
      </c>
      <c r="H166" s="209"/>
    </row>
    <row r="167" spans="1:9" ht="47.25" hidden="1" x14ac:dyDescent="0.25">
      <c r="A167" s="26" t="s">
        <v>249</v>
      </c>
      <c r="B167" s="17">
        <v>902</v>
      </c>
      <c r="C167" s="21" t="s">
        <v>266</v>
      </c>
      <c r="D167" s="21" t="s">
        <v>270</v>
      </c>
      <c r="E167" s="21" t="s">
        <v>278</v>
      </c>
      <c r="F167" s="21" t="s">
        <v>183</v>
      </c>
      <c r="G167" s="27">
        <f>G168</f>
        <v>0</v>
      </c>
      <c r="H167" s="209"/>
    </row>
    <row r="168" spans="1:9" ht="47.25" hidden="1" x14ac:dyDescent="0.25">
      <c r="A168" s="26" t="s">
        <v>184</v>
      </c>
      <c r="B168" s="17">
        <v>902</v>
      </c>
      <c r="C168" s="21" t="s">
        <v>266</v>
      </c>
      <c r="D168" s="21" t="s">
        <v>270</v>
      </c>
      <c r="E168" s="21" t="s">
        <v>278</v>
      </c>
      <c r="F168" s="21" t="s">
        <v>185</v>
      </c>
      <c r="G168" s="27">
        <v>0</v>
      </c>
      <c r="H168" s="209"/>
    </row>
    <row r="169" spans="1:9" ht="31.5" x14ac:dyDescent="0.25">
      <c r="A169" s="26" t="s">
        <v>279</v>
      </c>
      <c r="B169" s="17">
        <v>902</v>
      </c>
      <c r="C169" s="21" t="s">
        <v>266</v>
      </c>
      <c r="D169" s="21" t="s">
        <v>270</v>
      </c>
      <c r="E169" s="21" t="s">
        <v>280</v>
      </c>
      <c r="F169" s="21"/>
      <c r="G169" s="27">
        <f>G170+G172</f>
        <v>4997</v>
      </c>
      <c r="H169" s="209"/>
    </row>
    <row r="170" spans="1:9" ht="94.5" x14ac:dyDescent="0.25">
      <c r="A170" s="26" t="s">
        <v>178</v>
      </c>
      <c r="B170" s="17">
        <v>902</v>
      </c>
      <c r="C170" s="21" t="s">
        <v>266</v>
      </c>
      <c r="D170" s="21" t="s">
        <v>270</v>
      </c>
      <c r="E170" s="21" t="s">
        <v>280</v>
      </c>
      <c r="F170" s="21" t="s">
        <v>179</v>
      </c>
      <c r="G170" s="27">
        <f>G171</f>
        <v>4692.3</v>
      </c>
      <c r="H170" s="209"/>
    </row>
    <row r="171" spans="1:9" ht="31.5" x14ac:dyDescent="0.25">
      <c r="A171" s="26" t="s">
        <v>259</v>
      </c>
      <c r="B171" s="17">
        <v>902</v>
      </c>
      <c r="C171" s="21" t="s">
        <v>266</v>
      </c>
      <c r="D171" s="21" t="s">
        <v>270</v>
      </c>
      <c r="E171" s="21" t="s">
        <v>280</v>
      </c>
      <c r="F171" s="21" t="s">
        <v>260</v>
      </c>
      <c r="G171" s="28">
        <f>4586.3+106</f>
        <v>4692.3</v>
      </c>
      <c r="H171" s="209"/>
    </row>
    <row r="172" spans="1:9" ht="47.25" x14ac:dyDescent="0.25">
      <c r="A172" s="26" t="s">
        <v>249</v>
      </c>
      <c r="B172" s="17">
        <v>902</v>
      </c>
      <c r="C172" s="21" t="s">
        <v>266</v>
      </c>
      <c r="D172" s="21" t="s">
        <v>270</v>
      </c>
      <c r="E172" s="21" t="s">
        <v>280</v>
      </c>
      <c r="F172" s="21" t="s">
        <v>183</v>
      </c>
      <c r="G172" s="27">
        <f>G173</f>
        <v>304.7</v>
      </c>
      <c r="H172" s="209"/>
    </row>
    <row r="173" spans="1:9" ht="47.25" x14ac:dyDescent="0.25">
      <c r="A173" s="26" t="s">
        <v>184</v>
      </c>
      <c r="B173" s="17">
        <v>902</v>
      </c>
      <c r="C173" s="21" t="s">
        <v>266</v>
      </c>
      <c r="D173" s="21" t="s">
        <v>270</v>
      </c>
      <c r="E173" s="21" t="s">
        <v>280</v>
      </c>
      <c r="F173" s="21" t="s">
        <v>185</v>
      </c>
      <c r="G173" s="187">
        <f>204.7+100</f>
        <v>304.7</v>
      </c>
      <c r="H173" s="188" t="s">
        <v>814</v>
      </c>
    </row>
    <row r="174" spans="1:9" ht="15.75" x14ac:dyDescent="0.25">
      <c r="A174" s="26" t="s">
        <v>281</v>
      </c>
      <c r="B174" s="17">
        <v>902</v>
      </c>
      <c r="C174" s="21" t="s">
        <v>266</v>
      </c>
      <c r="D174" s="21" t="s">
        <v>270</v>
      </c>
      <c r="E174" s="21" t="s">
        <v>282</v>
      </c>
      <c r="F174" s="21"/>
      <c r="G174" s="28">
        <f t="shared" ref="G174:G175" si="12">G175</f>
        <v>98.3</v>
      </c>
      <c r="H174" s="209"/>
    </row>
    <row r="175" spans="1:9" ht="47.25" x14ac:dyDescent="0.25">
      <c r="A175" s="26" t="s">
        <v>249</v>
      </c>
      <c r="B175" s="17">
        <v>902</v>
      </c>
      <c r="C175" s="21" t="s">
        <v>266</v>
      </c>
      <c r="D175" s="21" t="s">
        <v>270</v>
      </c>
      <c r="E175" s="21" t="s">
        <v>282</v>
      </c>
      <c r="F175" s="21" t="s">
        <v>183</v>
      </c>
      <c r="G175" s="28">
        <f t="shared" si="12"/>
        <v>98.3</v>
      </c>
      <c r="H175" s="209"/>
    </row>
    <row r="176" spans="1:9" ht="47.25" x14ac:dyDescent="0.25">
      <c r="A176" s="26" t="s">
        <v>184</v>
      </c>
      <c r="B176" s="17">
        <v>902</v>
      </c>
      <c r="C176" s="21" t="s">
        <v>266</v>
      </c>
      <c r="D176" s="21" t="s">
        <v>270</v>
      </c>
      <c r="E176" s="21" t="s">
        <v>282</v>
      </c>
      <c r="F176" s="21" t="s">
        <v>185</v>
      </c>
      <c r="G176" s="28">
        <v>98.3</v>
      </c>
      <c r="H176" s="132"/>
      <c r="I176" s="152"/>
    </row>
    <row r="177" spans="1:9" ht="15.75" x14ac:dyDescent="0.25">
      <c r="A177" s="24" t="s">
        <v>283</v>
      </c>
      <c r="B177" s="20">
        <v>902</v>
      </c>
      <c r="C177" s="25" t="s">
        <v>201</v>
      </c>
      <c r="D177" s="25"/>
      <c r="E177" s="25"/>
      <c r="F177" s="21"/>
      <c r="G177" s="22">
        <f t="shared" ref="G177" si="13">G184+G178</f>
        <v>1821.3999999999999</v>
      </c>
      <c r="H177" s="209"/>
    </row>
    <row r="178" spans="1:9" ht="15.75" x14ac:dyDescent="0.25">
      <c r="A178" s="24" t="s">
        <v>284</v>
      </c>
      <c r="B178" s="20">
        <v>902</v>
      </c>
      <c r="C178" s="25" t="s">
        <v>201</v>
      </c>
      <c r="D178" s="25" t="s">
        <v>285</v>
      </c>
      <c r="E178" s="25"/>
      <c r="F178" s="21"/>
      <c r="G178" s="22">
        <f>G179</f>
        <v>450</v>
      </c>
      <c r="H178" s="209"/>
    </row>
    <row r="179" spans="1:9" ht="15.75" x14ac:dyDescent="0.25">
      <c r="A179" s="26" t="s">
        <v>172</v>
      </c>
      <c r="B179" s="17">
        <v>902</v>
      </c>
      <c r="C179" s="21" t="s">
        <v>201</v>
      </c>
      <c r="D179" s="21" t="s">
        <v>285</v>
      </c>
      <c r="E179" s="21" t="s">
        <v>173</v>
      </c>
      <c r="F179" s="21"/>
      <c r="G179" s="27">
        <f t="shared" ref="G179:G181" si="14">G180</f>
        <v>450</v>
      </c>
      <c r="H179" s="209"/>
    </row>
    <row r="180" spans="1:9" ht="31.5" x14ac:dyDescent="0.25">
      <c r="A180" s="26" t="s">
        <v>236</v>
      </c>
      <c r="B180" s="17">
        <v>902</v>
      </c>
      <c r="C180" s="21" t="s">
        <v>201</v>
      </c>
      <c r="D180" s="21" t="s">
        <v>285</v>
      </c>
      <c r="E180" s="21" t="s">
        <v>237</v>
      </c>
      <c r="F180" s="21"/>
      <c r="G180" s="27">
        <f>G181</f>
        <v>450</v>
      </c>
      <c r="H180" s="209"/>
    </row>
    <row r="181" spans="1:9" ht="31.5" x14ac:dyDescent="0.25">
      <c r="A181" s="26" t="s">
        <v>286</v>
      </c>
      <c r="B181" s="17">
        <v>902</v>
      </c>
      <c r="C181" s="21" t="s">
        <v>201</v>
      </c>
      <c r="D181" s="21" t="s">
        <v>285</v>
      </c>
      <c r="E181" s="21" t="s">
        <v>287</v>
      </c>
      <c r="F181" s="21"/>
      <c r="G181" s="27">
        <f t="shared" si="14"/>
        <v>450</v>
      </c>
      <c r="H181" s="209"/>
    </row>
    <row r="182" spans="1:9" ht="15.75" x14ac:dyDescent="0.25">
      <c r="A182" s="26" t="s">
        <v>186</v>
      </c>
      <c r="B182" s="17">
        <v>902</v>
      </c>
      <c r="C182" s="21" t="s">
        <v>201</v>
      </c>
      <c r="D182" s="21" t="s">
        <v>285</v>
      </c>
      <c r="E182" s="21" t="s">
        <v>287</v>
      </c>
      <c r="F182" s="21" t="s">
        <v>196</v>
      </c>
      <c r="G182" s="27">
        <f>G183</f>
        <v>450</v>
      </c>
      <c r="H182" s="209"/>
    </row>
    <row r="183" spans="1:9" ht="63" x14ac:dyDescent="0.25">
      <c r="A183" s="26" t="s">
        <v>235</v>
      </c>
      <c r="B183" s="17">
        <v>902</v>
      </c>
      <c r="C183" s="21" t="s">
        <v>201</v>
      </c>
      <c r="D183" s="21" t="s">
        <v>285</v>
      </c>
      <c r="E183" s="21" t="s">
        <v>287</v>
      </c>
      <c r="F183" s="21" t="s">
        <v>211</v>
      </c>
      <c r="G183" s="189">
        <f>310+140</f>
        <v>450</v>
      </c>
      <c r="H183" s="188" t="s">
        <v>812</v>
      </c>
      <c r="I183" s="141"/>
    </row>
    <row r="184" spans="1:9" ht="31.5" x14ac:dyDescent="0.25">
      <c r="A184" s="24" t="s">
        <v>288</v>
      </c>
      <c r="B184" s="20">
        <v>902</v>
      </c>
      <c r="C184" s="25" t="s">
        <v>201</v>
      </c>
      <c r="D184" s="25" t="s">
        <v>289</v>
      </c>
      <c r="E184" s="25"/>
      <c r="F184" s="25"/>
      <c r="G184" s="22">
        <f>G185</f>
        <v>1371.3999999999999</v>
      </c>
      <c r="H184" s="209"/>
    </row>
    <row r="185" spans="1:9" ht="15.75" x14ac:dyDescent="0.25">
      <c r="A185" s="26" t="s">
        <v>172</v>
      </c>
      <c r="B185" s="17">
        <v>902</v>
      </c>
      <c r="C185" s="21" t="s">
        <v>201</v>
      </c>
      <c r="D185" s="21" t="s">
        <v>289</v>
      </c>
      <c r="E185" s="21" t="s">
        <v>173</v>
      </c>
      <c r="F185" s="25"/>
      <c r="G185" s="27">
        <f>G186</f>
        <v>1371.3999999999999</v>
      </c>
      <c r="H185" s="209"/>
    </row>
    <row r="186" spans="1:9" ht="31.5" x14ac:dyDescent="0.25">
      <c r="A186" s="26" t="s">
        <v>236</v>
      </c>
      <c r="B186" s="17">
        <v>902</v>
      </c>
      <c r="C186" s="21" t="s">
        <v>201</v>
      </c>
      <c r="D186" s="21" t="s">
        <v>289</v>
      </c>
      <c r="E186" s="21" t="s">
        <v>237</v>
      </c>
      <c r="F186" s="25"/>
      <c r="G186" s="27">
        <f>G190+G187</f>
        <v>1371.3999999999999</v>
      </c>
      <c r="H186" s="209"/>
    </row>
    <row r="187" spans="1:9" ht="31.5" x14ac:dyDescent="0.25">
      <c r="A187" s="26" t="s">
        <v>290</v>
      </c>
      <c r="B187" s="17">
        <v>902</v>
      </c>
      <c r="C187" s="21" t="s">
        <v>201</v>
      </c>
      <c r="D187" s="21" t="s">
        <v>289</v>
      </c>
      <c r="E187" s="21" t="s">
        <v>291</v>
      </c>
      <c r="F187" s="25"/>
      <c r="G187" s="27">
        <f t="shared" ref="G187:G188" si="15">G188</f>
        <v>90</v>
      </c>
      <c r="H187" s="209"/>
    </row>
    <row r="188" spans="1:9" ht="15.75" x14ac:dyDescent="0.25">
      <c r="A188" s="26" t="s">
        <v>186</v>
      </c>
      <c r="B188" s="17">
        <v>902</v>
      </c>
      <c r="C188" s="21" t="s">
        <v>201</v>
      </c>
      <c r="D188" s="21" t="s">
        <v>289</v>
      </c>
      <c r="E188" s="21" t="s">
        <v>291</v>
      </c>
      <c r="F188" s="21" t="s">
        <v>196</v>
      </c>
      <c r="G188" s="27">
        <f t="shared" si="15"/>
        <v>90</v>
      </c>
      <c r="H188" s="209"/>
    </row>
    <row r="189" spans="1:9" ht="63" x14ac:dyDescent="0.25">
      <c r="A189" s="26" t="s">
        <v>235</v>
      </c>
      <c r="B189" s="17">
        <v>902</v>
      </c>
      <c r="C189" s="21" t="s">
        <v>201</v>
      </c>
      <c r="D189" s="21" t="s">
        <v>289</v>
      </c>
      <c r="E189" s="21" t="s">
        <v>291</v>
      </c>
      <c r="F189" s="21" t="s">
        <v>211</v>
      </c>
      <c r="G189" s="193">
        <v>90</v>
      </c>
      <c r="H189" s="188" t="s">
        <v>821</v>
      </c>
    </row>
    <row r="190" spans="1:9" ht="63" x14ac:dyDescent="0.25">
      <c r="A190" s="33" t="s">
        <v>292</v>
      </c>
      <c r="B190" s="17">
        <v>902</v>
      </c>
      <c r="C190" s="21" t="s">
        <v>201</v>
      </c>
      <c r="D190" s="21" t="s">
        <v>289</v>
      </c>
      <c r="E190" s="21" t="s">
        <v>293</v>
      </c>
      <c r="F190" s="21"/>
      <c r="G190" s="27">
        <f>G191+G193</f>
        <v>1281.3999999999999</v>
      </c>
      <c r="H190" s="209"/>
    </row>
    <row r="191" spans="1:9" ht="94.5" x14ac:dyDescent="0.25">
      <c r="A191" s="26" t="s">
        <v>178</v>
      </c>
      <c r="B191" s="17">
        <v>902</v>
      </c>
      <c r="C191" s="21" t="s">
        <v>201</v>
      </c>
      <c r="D191" s="21" t="s">
        <v>289</v>
      </c>
      <c r="E191" s="21" t="s">
        <v>293</v>
      </c>
      <c r="F191" s="21" t="s">
        <v>179</v>
      </c>
      <c r="G191" s="27">
        <f>G192</f>
        <v>1116.3999999999999</v>
      </c>
      <c r="H191" s="209"/>
    </row>
    <row r="192" spans="1:9" ht="31.5" x14ac:dyDescent="0.25">
      <c r="A192" s="26" t="s">
        <v>180</v>
      </c>
      <c r="B192" s="17">
        <v>902</v>
      </c>
      <c r="C192" s="21" t="s">
        <v>201</v>
      </c>
      <c r="D192" s="21" t="s">
        <v>289</v>
      </c>
      <c r="E192" s="21" t="s">
        <v>293</v>
      </c>
      <c r="F192" s="21" t="s">
        <v>181</v>
      </c>
      <c r="G192" s="27">
        <f>1302-123.4-62.2</f>
        <v>1116.3999999999999</v>
      </c>
      <c r="H192" s="209"/>
      <c r="I192" s="141"/>
    </row>
    <row r="193" spans="1:8" ht="31.5" x14ac:dyDescent="0.25">
      <c r="A193" s="26" t="s">
        <v>182</v>
      </c>
      <c r="B193" s="17">
        <v>902</v>
      </c>
      <c r="C193" s="21" t="s">
        <v>201</v>
      </c>
      <c r="D193" s="21" t="s">
        <v>289</v>
      </c>
      <c r="E193" s="21" t="s">
        <v>293</v>
      </c>
      <c r="F193" s="21" t="s">
        <v>183</v>
      </c>
      <c r="G193" s="27">
        <f>G194</f>
        <v>165</v>
      </c>
      <c r="H193" s="209"/>
    </row>
    <row r="194" spans="1:8" ht="47.25" x14ac:dyDescent="0.25">
      <c r="A194" s="26" t="s">
        <v>184</v>
      </c>
      <c r="B194" s="17">
        <v>902</v>
      </c>
      <c r="C194" s="21" t="s">
        <v>201</v>
      </c>
      <c r="D194" s="21" t="s">
        <v>289</v>
      </c>
      <c r="E194" s="21" t="s">
        <v>293</v>
      </c>
      <c r="F194" s="21" t="s">
        <v>185</v>
      </c>
      <c r="G194" s="27">
        <f>102.8+62.2</f>
        <v>165</v>
      </c>
      <c r="H194" s="209"/>
    </row>
    <row r="195" spans="1:8" ht="16.5" customHeight="1" x14ac:dyDescent="0.25">
      <c r="A195" s="24" t="s">
        <v>294</v>
      </c>
      <c r="B195" s="20">
        <v>902</v>
      </c>
      <c r="C195" s="25" t="s">
        <v>295</v>
      </c>
      <c r="D195" s="25"/>
      <c r="E195" s="25"/>
      <c r="F195" s="25"/>
      <c r="G195" s="22">
        <f>G196+G202+G212</f>
        <v>12224.9</v>
      </c>
      <c r="H195" s="209"/>
    </row>
    <row r="196" spans="1:8" ht="15.75" x14ac:dyDescent="0.25">
      <c r="A196" s="24" t="s">
        <v>296</v>
      </c>
      <c r="B196" s="20">
        <v>902</v>
      </c>
      <c r="C196" s="25" t="s">
        <v>295</v>
      </c>
      <c r="D196" s="25" t="s">
        <v>169</v>
      </c>
      <c r="E196" s="25"/>
      <c r="F196" s="25"/>
      <c r="G196" s="22">
        <f>G197</f>
        <v>9066.4</v>
      </c>
      <c r="H196" s="209"/>
    </row>
    <row r="197" spans="1:8" ht="15.75" x14ac:dyDescent="0.25">
      <c r="A197" s="26" t="s">
        <v>172</v>
      </c>
      <c r="B197" s="17">
        <v>902</v>
      </c>
      <c r="C197" s="21" t="s">
        <v>295</v>
      </c>
      <c r="D197" s="21" t="s">
        <v>169</v>
      </c>
      <c r="E197" s="21" t="s">
        <v>173</v>
      </c>
      <c r="F197" s="21"/>
      <c r="G197" s="27">
        <f t="shared" ref="G197:G199" si="16">G198</f>
        <v>9066.4</v>
      </c>
      <c r="H197" s="209"/>
    </row>
    <row r="198" spans="1:8" ht="15.75" x14ac:dyDescent="0.25">
      <c r="A198" s="26" t="s">
        <v>192</v>
      </c>
      <c r="B198" s="17">
        <v>902</v>
      </c>
      <c r="C198" s="21" t="s">
        <v>295</v>
      </c>
      <c r="D198" s="21" t="s">
        <v>169</v>
      </c>
      <c r="E198" s="21" t="s">
        <v>193</v>
      </c>
      <c r="F198" s="21"/>
      <c r="G198" s="27">
        <f>G199</f>
        <v>9066.4</v>
      </c>
      <c r="H198" s="209"/>
    </row>
    <row r="199" spans="1:8" ht="15.75" x14ac:dyDescent="0.25">
      <c r="A199" s="26" t="s">
        <v>297</v>
      </c>
      <c r="B199" s="17">
        <v>902</v>
      </c>
      <c r="C199" s="21" t="s">
        <v>295</v>
      </c>
      <c r="D199" s="21" t="s">
        <v>169</v>
      </c>
      <c r="E199" s="21" t="s">
        <v>298</v>
      </c>
      <c r="F199" s="21"/>
      <c r="G199" s="27">
        <f t="shared" si="16"/>
        <v>9066.4</v>
      </c>
      <c r="H199" s="209"/>
    </row>
    <row r="200" spans="1:8" ht="31.5" x14ac:dyDescent="0.25">
      <c r="A200" s="26" t="s">
        <v>299</v>
      </c>
      <c r="B200" s="17">
        <v>902</v>
      </c>
      <c r="C200" s="21" t="s">
        <v>295</v>
      </c>
      <c r="D200" s="21" t="s">
        <v>169</v>
      </c>
      <c r="E200" s="21" t="s">
        <v>298</v>
      </c>
      <c r="F200" s="21" t="s">
        <v>300</v>
      </c>
      <c r="G200" s="27">
        <f>G201</f>
        <v>9066.4</v>
      </c>
      <c r="H200" s="209"/>
    </row>
    <row r="201" spans="1:8" ht="31.5" x14ac:dyDescent="0.25">
      <c r="A201" s="26" t="s">
        <v>301</v>
      </c>
      <c r="B201" s="17">
        <v>902</v>
      </c>
      <c r="C201" s="21" t="s">
        <v>295</v>
      </c>
      <c r="D201" s="21" t="s">
        <v>169</v>
      </c>
      <c r="E201" s="21" t="s">
        <v>298</v>
      </c>
      <c r="F201" s="21" t="s">
        <v>302</v>
      </c>
      <c r="G201" s="28">
        <v>9066.4</v>
      </c>
      <c r="H201" s="209"/>
    </row>
    <row r="202" spans="1:8" ht="15.75" x14ac:dyDescent="0.25">
      <c r="A202" s="24" t="s">
        <v>303</v>
      </c>
      <c r="B202" s="20">
        <v>902</v>
      </c>
      <c r="C202" s="25" t="s">
        <v>295</v>
      </c>
      <c r="D202" s="25" t="s">
        <v>266</v>
      </c>
      <c r="E202" s="21"/>
      <c r="F202" s="21"/>
      <c r="G202" s="22">
        <f>G203+G207</f>
        <v>10</v>
      </c>
      <c r="H202" s="209"/>
    </row>
    <row r="203" spans="1:8" ht="78.75" x14ac:dyDescent="0.25">
      <c r="A203" s="26" t="s">
        <v>304</v>
      </c>
      <c r="B203" s="17">
        <v>902</v>
      </c>
      <c r="C203" s="21" t="s">
        <v>295</v>
      </c>
      <c r="D203" s="21" t="s">
        <v>266</v>
      </c>
      <c r="E203" s="21" t="s">
        <v>305</v>
      </c>
      <c r="F203" s="21"/>
      <c r="G203" s="27">
        <f>G204</f>
        <v>10</v>
      </c>
      <c r="H203" s="209"/>
    </row>
    <row r="204" spans="1:8" ht="31.5" x14ac:dyDescent="0.25">
      <c r="A204" s="26" t="s">
        <v>208</v>
      </c>
      <c r="B204" s="17">
        <v>902</v>
      </c>
      <c r="C204" s="21" t="s">
        <v>295</v>
      </c>
      <c r="D204" s="21" t="s">
        <v>266</v>
      </c>
      <c r="E204" s="21" t="s">
        <v>306</v>
      </c>
      <c r="F204" s="21"/>
      <c r="G204" s="27">
        <f>G205</f>
        <v>10</v>
      </c>
      <c r="H204" s="209"/>
    </row>
    <row r="205" spans="1:8" ht="31.5" x14ac:dyDescent="0.25">
      <c r="A205" s="26" t="s">
        <v>299</v>
      </c>
      <c r="B205" s="17">
        <v>902</v>
      </c>
      <c r="C205" s="21" t="s">
        <v>295</v>
      </c>
      <c r="D205" s="21" t="s">
        <v>266</v>
      </c>
      <c r="E205" s="21" t="s">
        <v>306</v>
      </c>
      <c r="F205" s="21" t="s">
        <v>300</v>
      </c>
      <c r="G205" s="27">
        <f>G206</f>
        <v>10</v>
      </c>
      <c r="H205" s="209"/>
    </row>
    <row r="206" spans="1:8" ht="31.5" x14ac:dyDescent="0.25">
      <c r="A206" s="26" t="s">
        <v>301</v>
      </c>
      <c r="B206" s="17">
        <v>902</v>
      </c>
      <c r="C206" s="21" t="s">
        <v>295</v>
      </c>
      <c r="D206" s="21" t="s">
        <v>266</v>
      </c>
      <c r="E206" s="21" t="s">
        <v>306</v>
      </c>
      <c r="F206" s="21" t="s">
        <v>302</v>
      </c>
      <c r="G206" s="27">
        <v>10</v>
      </c>
      <c r="H206" s="209"/>
    </row>
    <row r="207" spans="1:8" ht="15.75" hidden="1" x14ac:dyDescent="0.25">
      <c r="A207" s="26" t="s">
        <v>172</v>
      </c>
      <c r="B207" s="17">
        <v>902</v>
      </c>
      <c r="C207" s="21" t="s">
        <v>295</v>
      </c>
      <c r="D207" s="21" t="s">
        <v>266</v>
      </c>
      <c r="E207" s="21" t="s">
        <v>173</v>
      </c>
      <c r="F207" s="21"/>
      <c r="G207" s="27">
        <f>G208</f>
        <v>0</v>
      </c>
      <c r="H207" s="209"/>
    </row>
    <row r="208" spans="1:8" ht="31.5" hidden="1" x14ac:dyDescent="0.25">
      <c r="A208" s="26" t="s">
        <v>236</v>
      </c>
      <c r="B208" s="17">
        <v>902</v>
      </c>
      <c r="C208" s="21" t="s">
        <v>295</v>
      </c>
      <c r="D208" s="21" t="s">
        <v>266</v>
      </c>
      <c r="E208" s="21" t="s">
        <v>237</v>
      </c>
      <c r="F208" s="21"/>
      <c r="G208" s="27">
        <f>G209</f>
        <v>0</v>
      </c>
      <c r="H208" s="209"/>
    </row>
    <row r="209" spans="1:12" ht="47.25" hidden="1" x14ac:dyDescent="0.25">
      <c r="A209" s="33" t="s">
        <v>307</v>
      </c>
      <c r="B209" s="17">
        <v>902</v>
      </c>
      <c r="C209" s="21" t="s">
        <v>295</v>
      </c>
      <c r="D209" s="21" t="s">
        <v>266</v>
      </c>
      <c r="E209" s="21" t="s">
        <v>308</v>
      </c>
      <c r="F209" s="21"/>
      <c r="G209" s="27">
        <f>G210</f>
        <v>0</v>
      </c>
      <c r="H209" s="209"/>
    </row>
    <row r="210" spans="1:12" ht="31.5" hidden="1" x14ac:dyDescent="0.25">
      <c r="A210" s="26" t="s">
        <v>299</v>
      </c>
      <c r="B210" s="17">
        <v>902</v>
      </c>
      <c r="C210" s="21" t="s">
        <v>295</v>
      </c>
      <c r="D210" s="21" t="s">
        <v>266</v>
      </c>
      <c r="E210" s="21" t="s">
        <v>308</v>
      </c>
      <c r="F210" s="21" t="s">
        <v>300</v>
      </c>
      <c r="G210" s="27">
        <f>G211</f>
        <v>0</v>
      </c>
      <c r="H210" s="209"/>
    </row>
    <row r="211" spans="1:12" ht="31.5" hidden="1" x14ac:dyDescent="0.25">
      <c r="A211" s="26" t="s">
        <v>301</v>
      </c>
      <c r="B211" s="17">
        <v>902</v>
      </c>
      <c r="C211" s="21" t="s">
        <v>295</v>
      </c>
      <c r="D211" s="21" t="s">
        <v>266</v>
      </c>
      <c r="E211" s="21" t="s">
        <v>308</v>
      </c>
      <c r="F211" s="21" t="s">
        <v>302</v>
      </c>
      <c r="G211" s="27">
        <f>6250-6250</f>
        <v>0</v>
      </c>
      <c r="H211" s="132"/>
      <c r="I211" s="141"/>
    </row>
    <row r="212" spans="1:12" ht="31.5" x14ac:dyDescent="0.25">
      <c r="A212" s="24" t="s">
        <v>309</v>
      </c>
      <c r="B212" s="20">
        <v>902</v>
      </c>
      <c r="C212" s="25" t="s">
        <v>295</v>
      </c>
      <c r="D212" s="25" t="s">
        <v>171</v>
      </c>
      <c r="E212" s="25"/>
      <c r="F212" s="25"/>
      <c r="G212" s="22">
        <f>G213</f>
        <v>3148.5000000000005</v>
      </c>
      <c r="H212" s="209"/>
    </row>
    <row r="213" spans="1:12" ht="15.75" x14ac:dyDescent="0.25">
      <c r="A213" s="26" t="s">
        <v>172</v>
      </c>
      <c r="B213" s="17">
        <v>902</v>
      </c>
      <c r="C213" s="21" t="s">
        <v>295</v>
      </c>
      <c r="D213" s="21" t="s">
        <v>171</v>
      </c>
      <c r="E213" s="21" t="s">
        <v>173</v>
      </c>
      <c r="F213" s="25"/>
      <c r="G213" s="27">
        <f>G214</f>
        <v>3148.5000000000005</v>
      </c>
      <c r="H213" s="209"/>
    </row>
    <row r="214" spans="1:12" ht="31.5" x14ac:dyDescent="0.25">
      <c r="A214" s="26" t="s">
        <v>236</v>
      </c>
      <c r="B214" s="17">
        <v>902</v>
      </c>
      <c r="C214" s="21" t="s">
        <v>295</v>
      </c>
      <c r="D214" s="21" t="s">
        <v>171</v>
      </c>
      <c r="E214" s="21" t="s">
        <v>237</v>
      </c>
      <c r="F214" s="21"/>
      <c r="G214" s="27">
        <f>G215</f>
        <v>3148.5000000000005</v>
      </c>
      <c r="H214" s="209"/>
    </row>
    <row r="215" spans="1:12" ht="47.25" x14ac:dyDescent="0.25">
      <c r="A215" s="33" t="s">
        <v>310</v>
      </c>
      <c r="B215" s="17">
        <v>902</v>
      </c>
      <c r="C215" s="21" t="s">
        <v>295</v>
      </c>
      <c r="D215" s="21" t="s">
        <v>171</v>
      </c>
      <c r="E215" s="21" t="s">
        <v>311</v>
      </c>
      <c r="F215" s="21"/>
      <c r="G215" s="27">
        <f>G216+G218</f>
        <v>3148.5000000000005</v>
      </c>
      <c r="H215" s="209"/>
    </row>
    <row r="216" spans="1:12" ht="94.5" x14ac:dyDescent="0.25">
      <c r="A216" s="26" t="s">
        <v>178</v>
      </c>
      <c r="B216" s="17">
        <v>902</v>
      </c>
      <c r="C216" s="21" t="s">
        <v>295</v>
      </c>
      <c r="D216" s="21" t="s">
        <v>171</v>
      </c>
      <c r="E216" s="21" t="s">
        <v>311</v>
      </c>
      <c r="F216" s="21" t="s">
        <v>179</v>
      </c>
      <c r="G216" s="27">
        <f>G217</f>
        <v>2884.1000000000004</v>
      </c>
      <c r="H216" s="209"/>
    </row>
    <row r="217" spans="1:12" ht="31.5" x14ac:dyDescent="0.25">
      <c r="A217" s="26" t="s">
        <v>180</v>
      </c>
      <c r="B217" s="17">
        <v>902</v>
      </c>
      <c r="C217" s="21" t="s">
        <v>295</v>
      </c>
      <c r="D217" s="21" t="s">
        <v>171</v>
      </c>
      <c r="E217" s="21" t="s">
        <v>311</v>
      </c>
      <c r="F217" s="21" t="s">
        <v>181</v>
      </c>
      <c r="G217" s="28">
        <f>2826.8+14.8+42.5</f>
        <v>2884.1000000000004</v>
      </c>
      <c r="H217" s="132"/>
    </row>
    <row r="218" spans="1:12" ht="31.5" x14ac:dyDescent="0.25">
      <c r="A218" s="26" t="s">
        <v>182</v>
      </c>
      <c r="B218" s="17">
        <v>902</v>
      </c>
      <c r="C218" s="21" t="s">
        <v>295</v>
      </c>
      <c r="D218" s="21" t="s">
        <v>171</v>
      </c>
      <c r="E218" s="21" t="s">
        <v>311</v>
      </c>
      <c r="F218" s="21" t="s">
        <v>183</v>
      </c>
      <c r="G218" s="27">
        <f>G219</f>
        <v>264.39999999999998</v>
      </c>
      <c r="H218" s="209"/>
    </row>
    <row r="219" spans="1:12" ht="47.25" x14ac:dyDescent="0.25">
      <c r="A219" s="26" t="s">
        <v>184</v>
      </c>
      <c r="B219" s="17">
        <v>902</v>
      </c>
      <c r="C219" s="21" t="s">
        <v>295</v>
      </c>
      <c r="D219" s="21" t="s">
        <v>171</v>
      </c>
      <c r="E219" s="21" t="s">
        <v>311</v>
      </c>
      <c r="F219" s="21" t="s">
        <v>185</v>
      </c>
      <c r="G219" s="28">
        <f>433.9-112.2-14.8-42.5</f>
        <v>264.39999999999998</v>
      </c>
      <c r="H219" s="132"/>
      <c r="I219" s="141"/>
    </row>
    <row r="220" spans="1:12" ht="47.25" x14ac:dyDescent="0.25">
      <c r="A220" s="20" t="s">
        <v>312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09"/>
      <c r="L220" s="142"/>
    </row>
    <row r="221" spans="1:12" ht="15.75" hidden="1" x14ac:dyDescent="0.25">
      <c r="A221" s="24" t="s">
        <v>168</v>
      </c>
      <c r="B221" s="20">
        <v>903</v>
      </c>
      <c r="C221" s="25" t="s">
        <v>169</v>
      </c>
      <c r="D221" s="25"/>
      <c r="E221" s="25"/>
      <c r="F221" s="25"/>
      <c r="G221" s="22">
        <f t="shared" ref="G221:G226" si="17">G222</f>
        <v>0</v>
      </c>
      <c r="H221" s="209"/>
    </row>
    <row r="222" spans="1:12" ht="15.75" hidden="1" x14ac:dyDescent="0.25">
      <c r="A222" s="36" t="s">
        <v>190</v>
      </c>
      <c r="B222" s="20">
        <v>903</v>
      </c>
      <c r="C222" s="25" t="s">
        <v>169</v>
      </c>
      <c r="D222" s="25" t="s">
        <v>191</v>
      </c>
      <c r="E222" s="25"/>
      <c r="F222" s="25"/>
      <c r="G222" s="22">
        <f t="shared" si="17"/>
        <v>0</v>
      </c>
      <c r="H222" s="209"/>
    </row>
    <row r="223" spans="1:12" ht="15.75" hidden="1" x14ac:dyDescent="0.25">
      <c r="A223" s="33" t="s">
        <v>172</v>
      </c>
      <c r="B223" s="17">
        <v>903</v>
      </c>
      <c r="C223" s="21" t="s">
        <v>169</v>
      </c>
      <c r="D223" s="21" t="s">
        <v>191</v>
      </c>
      <c r="E223" s="21" t="s">
        <v>173</v>
      </c>
      <c r="F223" s="21"/>
      <c r="G223" s="27">
        <f t="shared" si="17"/>
        <v>0</v>
      </c>
      <c r="H223" s="209"/>
    </row>
    <row r="224" spans="1:12" ht="15.75" hidden="1" x14ac:dyDescent="0.25">
      <c r="A224" s="33" t="s">
        <v>192</v>
      </c>
      <c r="B224" s="17">
        <v>903</v>
      </c>
      <c r="C224" s="21" t="s">
        <v>169</v>
      </c>
      <c r="D224" s="21" t="s">
        <v>191</v>
      </c>
      <c r="E224" s="21" t="s">
        <v>193</v>
      </c>
      <c r="F224" s="21"/>
      <c r="G224" s="27">
        <f t="shared" si="17"/>
        <v>0</v>
      </c>
      <c r="H224" s="209"/>
    </row>
    <row r="225" spans="1:8" ht="15.75" hidden="1" x14ac:dyDescent="0.25">
      <c r="A225" s="26" t="s">
        <v>230</v>
      </c>
      <c r="B225" s="17">
        <v>903</v>
      </c>
      <c r="C225" s="21" t="s">
        <v>169</v>
      </c>
      <c r="D225" s="21" t="s">
        <v>191</v>
      </c>
      <c r="E225" s="21" t="s">
        <v>313</v>
      </c>
      <c r="F225" s="21"/>
      <c r="G225" s="27">
        <f t="shared" si="17"/>
        <v>0</v>
      </c>
      <c r="H225" s="209"/>
    </row>
    <row r="226" spans="1:8" ht="31.5" hidden="1" x14ac:dyDescent="0.25">
      <c r="A226" s="26" t="s">
        <v>182</v>
      </c>
      <c r="B226" s="17">
        <v>903</v>
      </c>
      <c r="C226" s="21" t="s">
        <v>169</v>
      </c>
      <c r="D226" s="21" t="s">
        <v>191</v>
      </c>
      <c r="E226" s="21" t="s">
        <v>313</v>
      </c>
      <c r="F226" s="21" t="s">
        <v>183</v>
      </c>
      <c r="G226" s="27">
        <f t="shared" si="17"/>
        <v>0</v>
      </c>
      <c r="H226" s="209"/>
    </row>
    <row r="227" spans="1:8" ht="47.25" hidden="1" x14ac:dyDescent="0.25">
      <c r="A227" s="26" t="s">
        <v>184</v>
      </c>
      <c r="B227" s="17">
        <v>903</v>
      </c>
      <c r="C227" s="21" t="s">
        <v>169</v>
      </c>
      <c r="D227" s="21" t="s">
        <v>191</v>
      </c>
      <c r="E227" s="21" t="s">
        <v>313</v>
      </c>
      <c r="F227" s="21" t="s">
        <v>185</v>
      </c>
      <c r="G227" s="27"/>
      <c r="H227" s="209"/>
    </row>
    <row r="228" spans="1:8" ht="15.75" x14ac:dyDescent="0.25">
      <c r="A228" s="24" t="s">
        <v>168</v>
      </c>
      <c r="B228" s="20">
        <v>903</v>
      </c>
      <c r="C228" s="25" t="s">
        <v>169</v>
      </c>
      <c r="D228" s="21"/>
      <c r="E228" s="21"/>
      <c r="F228" s="21"/>
      <c r="G228" s="27">
        <f>G229</f>
        <v>88.7</v>
      </c>
      <c r="H228" s="209"/>
    </row>
    <row r="229" spans="1:8" ht="15.75" x14ac:dyDescent="0.25">
      <c r="A229" s="24" t="s">
        <v>190</v>
      </c>
      <c r="B229" s="20">
        <v>903</v>
      </c>
      <c r="C229" s="25" t="s">
        <v>169</v>
      </c>
      <c r="D229" s="25" t="s">
        <v>191</v>
      </c>
      <c r="E229" s="21"/>
      <c r="F229" s="21"/>
      <c r="G229" s="27">
        <f>G230</f>
        <v>88.7</v>
      </c>
      <c r="H229" s="209"/>
    </row>
    <row r="230" spans="1:8" ht="15.75" x14ac:dyDescent="0.25">
      <c r="A230" s="26" t="s">
        <v>172</v>
      </c>
      <c r="B230" s="17">
        <v>903</v>
      </c>
      <c r="C230" s="21" t="s">
        <v>169</v>
      </c>
      <c r="D230" s="21" t="s">
        <v>191</v>
      </c>
      <c r="E230" s="21" t="s">
        <v>173</v>
      </c>
      <c r="F230" s="21"/>
      <c r="G230" s="27">
        <f>G231</f>
        <v>88.7</v>
      </c>
      <c r="H230" s="209"/>
    </row>
    <row r="231" spans="1:8" ht="31.5" x14ac:dyDescent="0.25">
      <c r="A231" s="26" t="s">
        <v>236</v>
      </c>
      <c r="B231" s="17">
        <v>903</v>
      </c>
      <c r="C231" s="21" t="s">
        <v>169</v>
      </c>
      <c r="D231" s="21" t="s">
        <v>191</v>
      </c>
      <c r="E231" s="21" t="s">
        <v>237</v>
      </c>
      <c r="F231" s="21"/>
      <c r="G231" s="27">
        <f>G232</f>
        <v>88.7</v>
      </c>
      <c r="H231" s="209"/>
    </row>
    <row r="232" spans="1:8" ht="47.25" x14ac:dyDescent="0.25">
      <c r="A232" s="37" t="s">
        <v>829</v>
      </c>
      <c r="B232" s="17">
        <v>903</v>
      </c>
      <c r="C232" s="21" t="s">
        <v>169</v>
      </c>
      <c r="D232" s="21" t="s">
        <v>191</v>
      </c>
      <c r="E232" s="21" t="s">
        <v>828</v>
      </c>
      <c r="F232" s="25"/>
      <c r="G232" s="27">
        <f t="shared" ref="G232:G233" si="18">G233</f>
        <v>88.7</v>
      </c>
      <c r="H232" s="209"/>
    </row>
    <row r="233" spans="1:8" ht="31.5" x14ac:dyDescent="0.25">
      <c r="A233" s="26" t="s">
        <v>182</v>
      </c>
      <c r="B233" s="17">
        <v>903</v>
      </c>
      <c r="C233" s="21" t="s">
        <v>169</v>
      </c>
      <c r="D233" s="21" t="s">
        <v>191</v>
      </c>
      <c r="E233" s="21" t="s">
        <v>828</v>
      </c>
      <c r="F233" s="21" t="s">
        <v>183</v>
      </c>
      <c r="G233" s="27">
        <f t="shared" si="18"/>
        <v>88.7</v>
      </c>
      <c r="H233" s="209"/>
    </row>
    <row r="234" spans="1:8" ht="53.25" customHeight="1" x14ac:dyDescent="0.25">
      <c r="A234" s="26" t="s">
        <v>184</v>
      </c>
      <c r="B234" s="17">
        <v>903</v>
      </c>
      <c r="C234" s="21" t="s">
        <v>169</v>
      </c>
      <c r="D234" s="21" t="s">
        <v>191</v>
      </c>
      <c r="E234" s="21" t="s">
        <v>828</v>
      </c>
      <c r="F234" s="21" t="s">
        <v>185</v>
      </c>
      <c r="G234" s="193">
        <v>88.7</v>
      </c>
      <c r="H234" s="188" t="s">
        <v>823</v>
      </c>
    </row>
    <row r="235" spans="1:8" ht="15.75" x14ac:dyDescent="0.25">
      <c r="A235" s="24" t="s">
        <v>314</v>
      </c>
      <c r="B235" s="20">
        <v>903</v>
      </c>
      <c r="C235" s="25" t="s">
        <v>315</v>
      </c>
      <c r="D235" s="21"/>
      <c r="E235" s="21"/>
      <c r="F235" s="21"/>
      <c r="G235" s="22">
        <f t="shared" ref="G235" si="19">G236+G271</f>
        <v>17482.699999999997</v>
      </c>
      <c r="H235" s="209"/>
    </row>
    <row r="236" spans="1:8" ht="15.75" x14ac:dyDescent="0.25">
      <c r="A236" s="24" t="s">
        <v>316</v>
      </c>
      <c r="B236" s="20">
        <v>903</v>
      </c>
      <c r="C236" s="25" t="s">
        <v>315</v>
      </c>
      <c r="D236" s="25" t="s">
        <v>266</v>
      </c>
      <c r="E236" s="25"/>
      <c r="F236" s="25"/>
      <c r="G236" s="22">
        <f>G237+G260</f>
        <v>17482.699999999997</v>
      </c>
      <c r="H236" s="209"/>
    </row>
    <row r="237" spans="1:8" ht="47.25" x14ac:dyDescent="0.25">
      <c r="A237" s="26" t="s">
        <v>317</v>
      </c>
      <c r="B237" s="17">
        <v>903</v>
      </c>
      <c r="C237" s="21" t="s">
        <v>315</v>
      </c>
      <c r="D237" s="21" t="s">
        <v>266</v>
      </c>
      <c r="E237" s="21" t="s">
        <v>318</v>
      </c>
      <c r="F237" s="21"/>
      <c r="G237" s="27">
        <f>G238</f>
        <v>16445.599999999999</v>
      </c>
      <c r="H237" s="209"/>
    </row>
    <row r="238" spans="1:8" ht="63" x14ac:dyDescent="0.25">
      <c r="A238" s="26" t="s">
        <v>319</v>
      </c>
      <c r="B238" s="17">
        <v>903</v>
      </c>
      <c r="C238" s="21" t="s">
        <v>315</v>
      </c>
      <c r="D238" s="21" t="s">
        <v>266</v>
      </c>
      <c r="E238" s="21" t="s">
        <v>320</v>
      </c>
      <c r="F238" s="21"/>
      <c r="G238" s="27">
        <f>G239+G251</f>
        <v>16445.599999999999</v>
      </c>
      <c r="H238" s="209"/>
    </row>
    <row r="239" spans="1:8" ht="47.25" x14ac:dyDescent="0.25">
      <c r="A239" s="26" t="s">
        <v>321</v>
      </c>
      <c r="B239" s="17">
        <v>903</v>
      </c>
      <c r="C239" s="21" t="s">
        <v>315</v>
      </c>
      <c r="D239" s="21" t="s">
        <v>266</v>
      </c>
      <c r="E239" s="21" t="s">
        <v>322</v>
      </c>
      <c r="F239" s="21"/>
      <c r="G239" s="27">
        <f>G240</f>
        <v>16395.599999999999</v>
      </c>
      <c r="H239" s="209"/>
    </row>
    <row r="240" spans="1:8" ht="47.25" x14ac:dyDescent="0.25">
      <c r="A240" s="26" t="s">
        <v>323</v>
      </c>
      <c r="B240" s="17">
        <v>903</v>
      </c>
      <c r="C240" s="21" t="s">
        <v>315</v>
      </c>
      <c r="D240" s="21" t="s">
        <v>266</v>
      </c>
      <c r="E240" s="21" t="s">
        <v>322</v>
      </c>
      <c r="F240" s="21" t="s">
        <v>324</v>
      </c>
      <c r="G240" s="27">
        <f>G241</f>
        <v>16395.599999999999</v>
      </c>
      <c r="H240" s="209"/>
    </row>
    <row r="241" spans="1:9" ht="15.75" x14ac:dyDescent="0.25">
      <c r="A241" s="26" t="s">
        <v>325</v>
      </c>
      <c r="B241" s="17">
        <v>903</v>
      </c>
      <c r="C241" s="21" t="s">
        <v>315</v>
      </c>
      <c r="D241" s="21" t="s">
        <v>266</v>
      </c>
      <c r="E241" s="21" t="s">
        <v>322</v>
      </c>
      <c r="F241" s="21" t="s">
        <v>326</v>
      </c>
      <c r="G241" s="28">
        <f>15572+756.3+67.3</f>
        <v>16395.599999999999</v>
      </c>
      <c r="H241" s="132"/>
      <c r="I241" s="153"/>
    </row>
    <row r="242" spans="1:9" ht="47.25" hidden="1" x14ac:dyDescent="0.25">
      <c r="A242" s="26" t="s">
        <v>327</v>
      </c>
      <c r="B242" s="17">
        <v>903</v>
      </c>
      <c r="C242" s="21" t="s">
        <v>315</v>
      </c>
      <c r="D242" s="21" t="s">
        <v>266</v>
      </c>
      <c r="E242" s="21" t="s">
        <v>328</v>
      </c>
      <c r="F242" s="21"/>
      <c r="G242" s="27">
        <f t="shared" ref="G242:G243" si="20">G243</f>
        <v>0</v>
      </c>
      <c r="H242" s="209"/>
    </row>
    <row r="243" spans="1:9" ht="47.25" hidden="1" x14ac:dyDescent="0.25">
      <c r="A243" s="26" t="s">
        <v>323</v>
      </c>
      <c r="B243" s="17">
        <v>903</v>
      </c>
      <c r="C243" s="21" t="s">
        <v>315</v>
      </c>
      <c r="D243" s="21" t="s">
        <v>266</v>
      </c>
      <c r="E243" s="21" t="s">
        <v>328</v>
      </c>
      <c r="F243" s="21" t="s">
        <v>324</v>
      </c>
      <c r="G243" s="27">
        <f t="shared" si="20"/>
        <v>0</v>
      </c>
      <c r="H243" s="209"/>
    </row>
    <row r="244" spans="1:9" ht="15.75" hidden="1" x14ac:dyDescent="0.25">
      <c r="A244" s="26" t="s">
        <v>325</v>
      </c>
      <c r="B244" s="17">
        <v>903</v>
      </c>
      <c r="C244" s="21" t="s">
        <v>315</v>
      </c>
      <c r="D244" s="21" t="s">
        <v>266</v>
      </c>
      <c r="E244" s="21" t="s">
        <v>328</v>
      </c>
      <c r="F244" s="21" t="s">
        <v>326</v>
      </c>
      <c r="G244" s="27">
        <v>0</v>
      </c>
      <c r="H244" s="209"/>
    </row>
    <row r="245" spans="1:9" ht="47.25" hidden="1" x14ac:dyDescent="0.25">
      <c r="A245" s="26" t="s">
        <v>329</v>
      </c>
      <c r="B245" s="17">
        <v>903</v>
      </c>
      <c r="C245" s="21" t="s">
        <v>315</v>
      </c>
      <c r="D245" s="21" t="s">
        <v>266</v>
      </c>
      <c r="E245" s="21" t="s">
        <v>330</v>
      </c>
      <c r="F245" s="21"/>
      <c r="G245" s="27">
        <f t="shared" ref="G245:G246" si="21">G246</f>
        <v>0</v>
      </c>
      <c r="H245" s="209"/>
    </row>
    <row r="246" spans="1:9" ht="47.25" hidden="1" x14ac:dyDescent="0.25">
      <c r="A246" s="26" t="s">
        <v>323</v>
      </c>
      <c r="B246" s="17">
        <v>903</v>
      </c>
      <c r="C246" s="21" t="s">
        <v>315</v>
      </c>
      <c r="D246" s="21" t="s">
        <v>266</v>
      </c>
      <c r="E246" s="21" t="s">
        <v>330</v>
      </c>
      <c r="F246" s="21" t="s">
        <v>324</v>
      </c>
      <c r="G246" s="27">
        <f t="shared" si="21"/>
        <v>0</v>
      </c>
      <c r="H246" s="209"/>
    </row>
    <row r="247" spans="1:9" ht="15.75" hidden="1" x14ac:dyDescent="0.25">
      <c r="A247" s="26" t="s">
        <v>325</v>
      </c>
      <c r="B247" s="17">
        <v>903</v>
      </c>
      <c r="C247" s="21" t="s">
        <v>315</v>
      </c>
      <c r="D247" s="21" t="s">
        <v>266</v>
      </c>
      <c r="E247" s="21" t="s">
        <v>330</v>
      </c>
      <c r="F247" s="21" t="s">
        <v>326</v>
      </c>
      <c r="G247" s="27">
        <v>0</v>
      </c>
      <c r="H247" s="209"/>
    </row>
    <row r="248" spans="1:9" ht="31.5" hidden="1" x14ac:dyDescent="0.25">
      <c r="A248" s="26" t="s">
        <v>331</v>
      </c>
      <c r="B248" s="17">
        <v>903</v>
      </c>
      <c r="C248" s="21" t="s">
        <v>315</v>
      </c>
      <c r="D248" s="21" t="s">
        <v>266</v>
      </c>
      <c r="E248" s="21" t="s">
        <v>332</v>
      </c>
      <c r="F248" s="21"/>
      <c r="G248" s="27">
        <f t="shared" ref="G248:G249" si="22">G249</f>
        <v>0</v>
      </c>
      <c r="H248" s="209"/>
    </row>
    <row r="249" spans="1:9" ht="47.25" hidden="1" x14ac:dyDescent="0.25">
      <c r="A249" s="26" t="s">
        <v>323</v>
      </c>
      <c r="B249" s="17">
        <v>903</v>
      </c>
      <c r="C249" s="21" t="s">
        <v>315</v>
      </c>
      <c r="D249" s="21" t="s">
        <v>266</v>
      </c>
      <c r="E249" s="21" t="s">
        <v>332</v>
      </c>
      <c r="F249" s="21" t="s">
        <v>324</v>
      </c>
      <c r="G249" s="27">
        <f t="shared" si="22"/>
        <v>0</v>
      </c>
      <c r="H249" s="209"/>
    </row>
    <row r="250" spans="1:9" ht="15.75" hidden="1" x14ac:dyDescent="0.25">
      <c r="A250" s="26" t="s">
        <v>325</v>
      </c>
      <c r="B250" s="17">
        <v>903</v>
      </c>
      <c r="C250" s="21" t="s">
        <v>315</v>
      </c>
      <c r="D250" s="21" t="s">
        <v>266</v>
      </c>
      <c r="E250" s="21" t="s">
        <v>332</v>
      </c>
      <c r="F250" s="21" t="s">
        <v>326</v>
      </c>
      <c r="G250" s="27">
        <v>0</v>
      </c>
      <c r="H250" s="209"/>
    </row>
    <row r="251" spans="1:9" ht="47.25" x14ac:dyDescent="0.25">
      <c r="A251" s="26" t="s">
        <v>333</v>
      </c>
      <c r="B251" s="17">
        <v>903</v>
      </c>
      <c r="C251" s="21" t="s">
        <v>315</v>
      </c>
      <c r="D251" s="21" t="s">
        <v>266</v>
      </c>
      <c r="E251" s="21" t="s">
        <v>334</v>
      </c>
      <c r="F251" s="21"/>
      <c r="G251" s="27">
        <f>G252</f>
        <v>50</v>
      </c>
      <c r="H251" s="209"/>
    </row>
    <row r="252" spans="1:9" ht="47.25" x14ac:dyDescent="0.25">
      <c r="A252" s="26" t="s">
        <v>323</v>
      </c>
      <c r="B252" s="17">
        <v>903</v>
      </c>
      <c r="C252" s="21" t="s">
        <v>315</v>
      </c>
      <c r="D252" s="21" t="s">
        <v>266</v>
      </c>
      <c r="E252" s="21" t="s">
        <v>334</v>
      </c>
      <c r="F252" s="21" t="s">
        <v>324</v>
      </c>
      <c r="G252" s="27">
        <f t="shared" ref="G252" si="23">G253</f>
        <v>50</v>
      </c>
      <c r="H252" s="209"/>
    </row>
    <row r="253" spans="1:9" ht="15.75" x14ac:dyDescent="0.25">
      <c r="A253" s="26" t="s">
        <v>325</v>
      </c>
      <c r="B253" s="17">
        <v>903</v>
      </c>
      <c r="C253" s="21" t="s">
        <v>315</v>
      </c>
      <c r="D253" s="21" t="s">
        <v>266</v>
      </c>
      <c r="E253" s="21" t="s">
        <v>334</v>
      </c>
      <c r="F253" s="21" t="s">
        <v>326</v>
      </c>
      <c r="G253" s="27">
        <v>50</v>
      </c>
      <c r="H253" s="209"/>
    </row>
    <row r="254" spans="1:9" ht="31.5" hidden="1" x14ac:dyDescent="0.25">
      <c r="A254" s="26" t="s">
        <v>335</v>
      </c>
      <c r="B254" s="17">
        <v>903</v>
      </c>
      <c r="C254" s="21" t="s">
        <v>315</v>
      </c>
      <c r="D254" s="21" t="s">
        <v>266</v>
      </c>
      <c r="E254" s="21" t="s">
        <v>336</v>
      </c>
      <c r="F254" s="21"/>
      <c r="G254" s="27">
        <f t="shared" ref="G254:G255" si="24">G255</f>
        <v>0</v>
      </c>
      <c r="H254" s="209"/>
    </row>
    <row r="255" spans="1:9" ht="47.25" hidden="1" x14ac:dyDescent="0.25">
      <c r="A255" s="26" t="s">
        <v>323</v>
      </c>
      <c r="B255" s="17">
        <v>903</v>
      </c>
      <c r="C255" s="21" t="s">
        <v>315</v>
      </c>
      <c r="D255" s="21" t="s">
        <v>266</v>
      </c>
      <c r="E255" s="21" t="s">
        <v>337</v>
      </c>
      <c r="F255" s="21" t="s">
        <v>324</v>
      </c>
      <c r="G255" s="27">
        <f t="shared" si="24"/>
        <v>0</v>
      </c>
      <c r="H255" s="209"/>
    </row>
    <row r="256" spans="1:9" ht="15.75" hidden="1" x14ac:dyDescent="0.25">
      <c r="A256" s="26" t="s">
        <v>325</v>
      </c>
      <c r="B256" s="17">
        <v>903</v>
      </c>
      <c r="C256" s="21" t="s">
        <v>315</v>
      </c>
      <c r="D256" s="21" t="s">
        <v>266</v>
      </c>
      <c r="E256" s="21" t="s">
        <v>337</v>
      </c>
      <c r="F256" s="21" t="s">
        <v>326</v>
      </c>
      <c r="G256" s="27">
        <v>0</v>
      </c>
      <c r="H256" s="209"/>
    </row>
    <row r="257" spans="1:9" ht="47.25" hidden="1" x14ac:dyDescent="0.25">
      <c r="A257" s="37" t="s">
        <v>338</v>
      </c>
      <c r="B257" s="17">
        <v>903</v>
      </c>
      <c r="C257" s="21" t="s">
        <v>315</v>
      </c>
      <c r="D257" s="21" t="s">
        <v>266</v>
      </c>
      <c r="E257" s="21" t="s">
        <v>339</v>
      </c>
      <c r="F257" s="21"/>
      <c r="G257" s="27">
        <f t="shared" ref="G257:G258" si="25">G258</f>
        <v>0</v>
      </c>
      <c r="H257" s="209"/>
    </row>
    <row r="258" spans="1:9" ht="47.25" hidden="1" x14ac:dyDescent="0.25">
      <c r="A258" s="26" t="s">
        <v>323</v>
      </c>
      <c r="B258" s="17">
        <v>903</v>
      </c>
      <c r="C258" s="21" t="s">
        <v>315</v>
      </c>
      <c r="D258" s="21" t="s">
        <v>266</v>
      </c>
      <c r="E258" s="21" t="s">
        <v>339</v>
      </c>
      <c r="F258" s="21" t="s">
        <v>324</v>
      </c>
      <c r="G258" s="27">
        <f t="shared" si="25"/>
        <v>0</v>
      </c>
      <c r="H258" s="209"/>
    </row>
    <row r="259" spans="1:9" ht="15.75" hidden="1" x14ac:dyDescent="0.25">
      <c r="A259" s="26" t="s">
        <v>325</v>
      </c>
      <c r="B259" s="17">
        <v>903</v>
      </c>
      <c r="C259" s="21" t="s">
        <v>315</v>
      </c>
      <c r="D259" s="21" t="s">
        <v>266</v>
      </c>
      <c r="E259" s="21" t="s">
        <v>339</v>
      </c>
      <c r="F259" s="21" t="s">
        <v>326</v>
      </c>
      <c r="G259" s="27">
        <v>0</v>
      </c>
      <c r="H259" s="209"/>
    </row>
    <row r="260" spans="1:9" ht="15.75" x14ac:dyDescent="0.25">
      <c r="A260" s="26" t="s">
        <v>172</v>
      </c>
      <c r="B260" s="17">
        <v>903</v>
      </c>
      <c r="C260" s="21" t="s">
        <v>315</v>
      </c>
      <c r="D260" s="21" t="s">
        <v>266</v>
      </c>
      <c r="E260" s="21" t="s">
        <v>173</v>
      </c>
      <c r="F260" s="21"/>
      <c r="G260" s="27">
        <f t="shared" ref="G260" si="26">G261</f>
        <v>1037.1000000000001</v>
      </c>
      <c r="H260" s="209"/>
    </row>
    <row r="261" spans="1:9" ht="31.5" x14ac:dyDescent="0.25">
      <c r="A261" s="26" t="s">
        <v>236</v>
      </c>
      <c r="B261" s="17">
        <v>903</v>
      </c>
      <c r="C261" s="21" t="s">
        <v>315</v>
      </c>
      <c r="D261" s="21" t="s">
        <v>266</v>
      </c>
      <c r="E261" s="21" t="s">
        <v>237</v>
      </c>
      <c r="F261" s="21"/>
      <c r="G261" s="27">
        <f>G262+G265+G268</f>
        <v>1037.1000000000001</v>
      </c>
      <c r="H261" s="209"/>
    </row>
    <row r="262" spans="1:9" ht="63" x14ac:dyDescent="0.25">
      <c r="A262" s="33" t="s">
        <v>340</v>
      </c>
      <c r="B262" s="17">
        <v>903</v>
      </c>
      <c r="C262" s="21" t="s">
        <v>315</v>
      </c>
      <c r="D262" s="21" t="s">
        <v>266</v>
      </c>
      <c r="E262" s="21" t="s">
        <v>341</v>
      </c>
      <c r="F262" s="21"/>
      <c r="G262" s="27">
        <f>G263</f>
        <v>126.69999999999999</v>
      </c>
      <c r="H262" s="209"/>
    </row>
    <row r="263" spans="1:9" ht="47.25" x14ac:dyDescent="0.25">
      <c r="A263" s="26" t="s">
        <v>323</v>
      </c>
      <c r="B263" s="17">
        <v>903</v>
      </c>
      <c r="C263" s="21" t="s">
        <v>315</v>
      </c>
      <c r="D263" s="21" t="s">
        <v>266</v>
      </c>
      <c r="E263" s="21" t="s">
        <v>341</v>
      </c>
      <c r="F263" s="21" t="s">
        <v>324</v>
      </c>
      <c r="G263" s="27">
        <f>G264</f>
        <v>126.69999999999999</v>
      </c>
      <c r="H263" s="209"/>
    </row>
    <row r="264" spans="1:9" ht="15.75" x14ac:dyDescent="0.25">
      <c r="A264" s="26" t="s">
        <v>325</v>
      </c>
      <c r="B264" s="17">
        <v>903</v>
      </c>
      <c r="C264" s="21" t="s">
        <v>315</v>
      </c>
      <c r="D264" s="21" t="s">
        <v>266</v>
      </c>
      <c r="E264" s="21" t="s">
        <v>341</v>
      </c>
      <c r="F264" s="21" t="s">
        <v>326</v>
      </c>
      <c r="G264" s="27">
        <f>162.6-35.9</f>
        <v>126.69999999999999</v>
      </c>
      <c r="H264" s="209"/>
      <c r="I264" s="141"/>
    </row>
    <row r="265" spans="1:9" ht="78.75" x14ac:dyDescent="0.25">
      <c r="A265" s="33" t="s">
        <v>342</v>
      </c>
      <c r="B265" s="17">
        <v>903</v>
      </c>
      <c r="C265" s="21" t="s">
        <v>315</v>
      </c>
      <c r="D265" s="21" t="s">
        <v>266</v>
      </c>
      <c r="E265" s="21" t="s">
        <v>343</v>
      </c>
      <c r="F265" s="21"/>
      <c r="G265" s="27">
        <f>G266</f>
        <v>310.70000000000005</v>
      </c>
      <c r="H265" s="209"/>
    </row>
    <row r="266" spans="1:9" ht="47.25" x14ac:dyDescent="0.25">
      <c r="A266" s="26" t="s">
        <v>323</v>
      </c>
      <c r="B266" s="17">
        <v>903</v>
      </c>
      <c r="C266" s="21" t="s">
        <v>315</v>
      </c>
      <c r="D266" s="21" t="s">
        <v>266</v>
      </c>
      <c r="E266" s="21" t="s">
        <v>343</v>
      </c>
      <c r="F266" s="21" t="s">
        <v>324</v>
      </c>
      <c r="G266" s="27">
        <f>G267</f>
        <v>310.70000000000005</v>
      </c>
      <c r="H266" s="209"/>
    </row>
    <row r="267" spans="1:9" ht="15.75" x14ac:dyDescent="0.25">
      <c r="A267" s="26" t="s">
        <v>325</v>
      </c>
      <c r="B267" s="17">
        <v>903</v>
      </c>
      <c r="C267" s="21" t="s">
        <v>315</v>
      </c>
      <c r="D267" s="21" t="s">
        <v>266</v>
      </c>
      <c r="E267" s="21" t="s">
        <v>343</v>
      </c>
      <c r="F267" s="21" t="s">
        <v>326</v>
      </c>
      <c r="G267" s="27">
        <f>393.3-82.6</f>
        <v>310.70000000000005</v>
      </c>
      <c r="H267" s="209"/>
      <c r="I267" s="141"/>
    </row>
    <row r="268" spans="1:9" ht="110.25" x14ac:dyDescent="0.25">
      <c r="A268" s="33" t="s">
        <v>344</v>
      </c>
      <c r="B268" s="17">
        <v>903</v>
      </c>
      <c r="C268" s="21" t="s">
        <v>315</v>
      </c>
      <c r="D268" s="21" t="s">
        <v>266</v>
      </c>
      <c r="E268" s="21" t="s">
        <v>345</v>
      </c>
      <c r="F268" s="21"/>
      <c r="G268" s="27">
        <f>G269</f>
        <v>599.70000000000005</v>
      </c>
      <c r="H268" s="209"/>
    </row>
    <row r="269" spans="1:9" ht="47.25" x14ac:dyDescent="0.25">
      <c r="A269" s="26" t="s">
        <v>323</v>
      </c>
      <c r="B269" s="17">
        <v>903</v>
      </c>
      <c r="C269" s="21" t="s">
        <v>315</v>
      </c>
      <c r="D269" s="21" t="s">
        <v>266</v>
      </c>
      <c r="E269" s="21" t="s">
        <v>345</v>
      </c>
      <c r="F269" s="21" t="s">
        <v>324</v>
      </c>
      <c r="G269" s="27">
        <f>G270</f>
        <v>599.70000000000005</v>
      </c>
      <c r="H269" s="209"/>
    </row>
    <row r="270" spans="1:9" ht="15.75" x14ac:dyDescent="0.25">
      <c r="A270" s="26" t="s">
        <v>325</v>
      </c>
      <c r="B270" s="17">
        <v>903</v>
      </c>
      <c r="C270" s="21" t="s">
        <v>315</v>
      </c>
      <c r="D270" s="21" t="s">
        <v>266</v>
      </c>
      <c r="E270" s="21" t="s">
        <v>345</v>
      </c>
      <c r="F270" s="21" t="s">
        <v>326</v>
      </c>
      <c r="G270" s="27">
        <f>600-0.3</f>
        <v>599.70000000000005</v>
      </c>
      <c r="H270" s="209"/>
      <c r="I270" s="141"/>
    </row>
    <row r="271" spans="1:9" ht="15.75" hidden="1" x14ac:dyDescent="0.25">
      <c r="A271" s="24" t="s">
        <v>346</v>
      </c>
      <c r="B271" s="20">
        <v>903</v>
      </c>
      <c r="C271" s="25" t="s">
        <v>315</v>
      </c>
      <c r="D271" s="25" t="s">
        <v>270</v>
      </c>
      <c r="E271" s="25"/>
      <c r="F271" s="25"/>
      <c r="G271" s="27">
        <f t="shared" ref="G271:G275" si="27">G272</f>
        <v>0</v>
      </c>
      <c r="H271" s="209"/>
    </row>
    <row r="272" spans="1:9" ht="15.75" hidden="1" x14ac:dyDescent="0.25">
      <c r="A272" s="26" t="s">
        <v>172</v>
      </c>
      <c r="B272" s="17">
        <v>903</v>
      </c>
      <c r="C272" s="21" t="s">
        <v>315</v>
      </c>
      <c r="D272" s="21" t="s">
        <v>270</v>
      </c>
      <c r="E272" s="21" t="s">
        <v>173</v>
      </c>
      <c r="F272" s="21"/>
      <c r="G272" s="27">
        <f t="shared" si="27"/>
        <v>0</v>
      </c>
      <c r="H272" s="209"/>
    </row>
    <row r="273" spans="1:12" ht="31.5" hidden="1" x14ac:dyDescent="0.25">
      <c r="A273" s="26" t="s">
        <v>236</v>
      </c>
      <c r="B273" s="17">
        <v>903</v>
      </c>
      <c r="C273" s="21" t="s">
        <v>315</v>
      </c>
      <c r="D273" s="21" t="s">
        <v>270</v>
      </c>
      <c r="E273" s="21" t="s">
        <v>237</v>
      </c>
      <c r="F273" s="21"/>
      <c r="G273" s="27">
        <f t="shared" si="27"/>
        <v>0</v>
      </c>
      <c r="H273" s="209"/>
    </row>
    <row r="274" spans="1:12" ht="31.5" hidden="1" x14ac:dyDescent="0.25">
      <c r="A274" s="38" t="s">
        <v>347</v>
      </c>
      <c r="B274" s="39">
        <v>903</v>
      </c>
      <c r="C274" s="21" t="s">
        <v>315</v>
      </c>
      <c r="D274" s="21" t="s">
        <v>270</v>
      </c>
      <c r="E274" s="21" t="s">
        <v>348</v>
      </c>
      <c r="F274" s="21"/>
      <c r="G274" s="27">
        <f t="shared" si="27"/>
        <v>0</v>
      </c>
      <c r="H274" s="209"/>
    </row>
    <row r="275" spans="1:12" ht="15.75" hidden="1" x14ac:dyDescent="0.25">
      <c r="A275" s="26" t="s">
        <v>186</v>
      </c>
      <c r="B275" s="17">
        <v>903</v>
      </c>
      <c r="C275" s="21" t="s">
        <v>315</v>
      </c>
      <c r="D275" s="21" t="s">
        <v>270</v>
      </c>
      <c r="E275" s="21" t="s">
        <v>348</v>
      </c>
      <c r="F275" s="21" t="s">
        <v>196</v>
      </c>
      <c r="G275" s="27">
        <f t="shared" si="27"/>
        <v>0</v>
      </c>
      <c r="H275" s="209"/>
    </row>
    <row r="276" spans="1:12" ht="63" hidden="1" x14ac:dyDescent="0.25">
      <c r="A276" s="26" t="s">
        <v>235</v>
      </c>
      <c r="B276" s="17">
        <v>903</v>
      </c>
      <c r="C276" s="21" t="s">
        <v>315</v>
      </c>
      <c r="D276" s="21" t="s">
        <v>270</v>
      </c>
      <c r="E276" s="21" t="s">
        <v>348</v>
      </c>
      <c r="F276" s="21" t="s">
        <v>211</v>
      </c>
      <c r="G276" s="27"/>
      <c r="H276" s="209"/>
    </row>
    <row r="277" spans="1:12" ht="15.75" x14ac:dyDescent="0.25">
      <c r="A277" s="24" t="s">
        <v>349</v>
      </c>
      <c r="B277" s="20">
        <v>903</v>
      </c>
      <c r="C277" s="25" t="s">
        <v>350</v>
      </c>
      <c r="D277" s="25"/>
      <c r="E277" s="25"/>
      <c r="F277" s="25"/>
      <c r="G277" s="22">
        <f>G278+G358</f>
        <v>61699.8</v>
      </c>
      <c r="H277" s="209"/>
    </row>
    <row r="278" spans="1:12" ht="15.75" x14ac:dyDescent="0.25">
      <c r="A278" s="24" t="s">
        <v>351</v>
      </c>
      <c r="B278" s="20">
        <v>903</v>
      </c>
      <c r="C278" s="25" t="s">
        <v>350</v>
      </c>
      <c r="D278" s="25" t="s">
        <v>169</v>
      </c>
      <c r="E278" s="25"/>
      <c r="F278" s="25"/>
      <c r="G278" s="22">
        <f>G279+G337+G333</f>
        <v>44421.000000000007</v>
      </c>
      <c r="H278" s="209"/>
    </row>
    <row r="279" spans="1:12" ht="47.25" x14ac:dyDescent="0.25">
      <c r="A279" s="26" t="s">
        <v>317</v>
      </c>
      <c r="B279" s="17">
        <v>903</v>
      </c>
      <c r="C279" s="21" t="s">
        <v>350</v>
      </c>
      <c r="D279" s="21" t="s">
        <v>169</v>
      </c>
      <c r="E279" s="21" t="s">
        <v>318</v>
      </c>
      <c r="F279" s="21"/>
      <c r="G279" s="27">
        <f>G280+G306</f>
        <v>42083.100000000006</v>
      </c>
      <c r="H279" s="209"/>
    </row>
    <row r="280" spans="1:12" ht="63" x14ac:dyDescent="0.25">
      <c r="A280" s="26" t="s">
        <v>352</v>
      </c>
      <c r="B280" s="17">
        <v>903</v>
      </c>
      <c r="C280" s="21" t="s">
        <v>350</v>
      </c>
      <c r="D280" s="21" t="s">
        <v>169</v>
      </c>
      <c r="E280" s="21" t="s">
        <v>353</v>
      </c>
      <c r="F280" s="21"/>
      <c r="G280" s="27">
        <f>G281+G299+G284+G287+G290+G293+G296</f>
        <v>25422.5</v>
      </c>
      <c r="H280" s="209"/>
    </row>
    <row r="281" spans="1:12" ht="52.5" customHeight="1" x14ac:dyDescent="0.25">
      <c r="A281" s="26" t="s">
        <v>354</v>
      </c>
      <c r="B281" s="17">
        <v>903</v>
      </c>
      <c r="C281" s="21" t="s">
        <v>350</v>
      </c>
      <c r="D281" s="21" t="s">
        <v>169</v>
      </c>
      <c r="E281" s="21" t="s">
        <v>355</v>
      </c>
      <c r="F281" s="21"/>
      <c r="G281" s="27">
        <f>G282</f>
        <v>23654.800000000003</v>
      </c>
      <c r="H281" s="209"/>
    </row>
    <row r="282" spans="1:12" ht="47.25" x14ac:dyDescent="0.25">
      <c r="A282" s="26" t="s">
        <v>323</v>
      </c>
      <c r="B282" s="17">
        <v>903</v>
      </c>
      <c r="C282" s="21" t="s">
        <v>350</v>
      </c>
      <c r="D282" s="21" t="s">
        <v>169</v>
      </c>
      <c r="E282" s="21" t="s">
        <v>355</v>
      </c>
      <c r="F282" s="21" t="s">
        <v>324</v>
      </c>
      <c r="G282" s="27">
        <f t="shared" ref="G282" si="28">G283</f>
        <v>23654.800000000003</v>
      </c>
      <c r="H282" s="209"/>
    </row>
    <row r="283" spans="1:12" ht="15.75" x14ac:dyDescent="0.25">
      <c r="A283" s="26" t="s">
        <v>325</v>
      </c>
      <c r="B283" s="17">
        <v>903</v>
      </c>
      <c r="C283" s="21" t="s">
        <v>350</v>
      </c>
      <c r="D283" s="21" t="s">
        <v>169</v>
      </c>
      <c r="E283" s="21" t="s">
        <v>355</v>
      </c>
      <c r="F283" s="21" t="s">
        <v>326</v>
      </c>
      <c r="G283" s="28">
        <f>25081.9+2671.4-3136.8-961.7</f>
        <v>23654.800000000003</v>
      </c>
      <c r="H283" s="132"/>
      <c r="I283" s="153"/>
    </row>
    <row r="284" spans="1:12" ht="47.25" x14ac:dyDescent="0.25">
      <c r="A284" s="26" t="s">
        <v>794</v>
      </c>
      <c r="B284" s="17">
        <v>903</v>
      </c>
      <c r="C284" s="21" t="s">
        <v>350</v>
      </c>
      <c r="D284" s="21" t="s">
        <v>169</v>
      </c>
      <c r="E284" s="21" t="s">
        <v>356</v>
      </c>
      <c r="F284" s="21"/>
      <c r="G284" s="27">
        <f t="shared" ref="G284:G285" si="29">G285</f>
        <v>96.1</v>
      </c>
      <c r="H284" s="209"/>
      <c r="L284" s="143"/>
    </row>
    <row r="285" spans="1:12" ht="47.25" x14ac:dyDescent="0.25">
      <c r="A285" s="26" t="s">
        <v>323</v>
      </c>
      <c r="B285" s="17">
        <v>903</v>
      </c>
      <c r="C285" s="21" t="s">
        <v>350</v>
      </c>
      <c r="D285" s="21" t="s">
        <v>169</v>
      </c>
      <c r="E285" s="21" t="s">
        <v>356</v>
      </c>
      <c r="F285" s="21" t="s">
        <v>324</v>
      </c>
      <c r="G285" s="27">
        <f t="shared" si="29"/>
        <v>96.1</v>
      </c>
      <c r="H285" s="209"/>
    </row>
    <row r="286" spans="1:12" ht="15.75" x14ac:dyDescent="0.25">
      <c r="A286" s="26" t="s">
        <v>325</v>
      </c>
      <c r="B286" s="17">
        <v>903</v>
      </c>
      <c r="C286" s="21" t="s">
        <v>350</v>
      </c>
      <c r="D286" s="21" t="s">
        <v>169</v>
      </c>
      <c r="E286" s="21" t="s">
        <v>356</v>
      </c>
      <c r="F286" s="21" t="s">
        <v>326</v>
      </c>
      <c r="G286" s="27">
        <v>96.1</v>
      </c>
      <c r="H286" s="132"/>
    </row>
    <row r="287" spans="1:12" ht="47.25" x14ac:dyDescent="0.25">
      <c r="A287" s="26" t="s">
        <v>329</v>
      </c>
      <c r="B287" s="17">
        <v>903</v>
      </c>
      <c r="C287" s="21" t="s">
        <v>350</v>
      </c>
      <c r="D287" s="21" t="s">
        <v>169</v>
      </c>
      <c r="E287" s="21" t="s">
        <v>357</v>
      </c>
      <c r="F287" s="21"/>
      <c r="G287" s="27">
        <f t="shared" ref="G287" si="30">G288</f>
        <v>142.1</v>
      </c>
      <c r="H287" s="209"/>
    </row>
    <row r="288" spans="1:12" ht="47.25" x14ac:dyDescent="0.25">
      <c r="A288" s="26" t="s">
        <v>323</v>
      </c>
      <c r="B288" s="17">
        <v>903</v>
      </c>
      <c r="C288" s="21" t="s">
        <v>350</v>
      </c>
      <c r="D288" s="21" t="s">
        <v>169</v>
      </c>
      <c r="E288" s="21" t="s">
        <v>357</v>
      </c>
      <c r="F288" s="21" t="s">
        <v>324</v>
      </c>
      <c r="G288" s="27">
        <f>G289</f>
        <v>142.1</v>
      </c>
      <c r="H288" s="209"/>
    </row>
    <row r="289" spans="1:10" ht="15.75" x14ac:dyDescent="0.25">
      <c r="A289" s="26" t="s">
        <v>325</v>
      </c>
      <c r="B289" s="17">
        <v>903</v>
      </c>
      <c r="C289" s="21" t="s">
        <v>350</v>
      </c>
      <c r="D289" s="21" t="s">
        <v>169</v>
      </c>
      <c r="E289" s="21" t="s">
        <v>357</v>
      </c>
      <c r="F289" s="21" t="s">
        <v>326</v>
      </c>
      <c r="G289" s="27">
        <v>142.1</v>
      </c>
      <c r="H289" s="209"/>
      <c r="I289" s="141"/>
    </row>
    <row r="290" spans="1:10" ht="15.75" x14ac:dyDescent="0.25">
      <c r="A290" s="26" t="s">
        <v>358</v>
      </c>
      <c r="B290" s="17">
        <v>903</v>
      </c>
      <c r="C290" s="21" t="s">
        <v>350</v>
      </c>
      <c r="D290" s="21" t="s">
        <v>169</v>
      </c>
      <c r="E290" s="21" t="s">
        <v>359</v>
      </c>
      <c r="F290" s="21"/>
      <c r="G290" s="27">
        <f>G291</f>
        <v>1529.5</v>
      </c>
      <c r="H290" s="209"/>
    </row>
    <row r="291" spans="1:10" ht="47.25" x14ac:dyDescent="0.25">
      <c r="A291" s="26" t="s">
        <v>323</v>
      </c>
      <c r="B291" s="17">
        <v>903</v>
      </c>
      <c r="C291" s="21" t="s">
        <v>350</v>
      </c>
      <c r="D291" s="21" t="s">
        <v>169</v>
      </c>
      <c r="E291" s="21" t="s">
        <v>359</v>
      </c>
      <c r="F291" s="21" t="s">
        <v>324</v>
      </c>
      <c r="G291" s="27">
        <f t="shared" ref="G291" si="31">G292</f>
        <v>1529.5</v>
      </c>
      <c r="H291" s="209"/>
    </row>
    <row r="292" spans="1:10" ht="15.75" x14ac:dyDescent="0.25">
      <c r="A292" s="26" t="s">
        <v>325</v>
      </c>
      <c r="B292" s="17">
        <v>903</v>
      </c>
      <c r="C292" s="21" t="s">
        <v>350</v>
      </c>
      <c r="D292" s="21" t="s">
        <v>169</v>
      </c>
      <c r="E292" s="21" t="s">
        <v>359</v>
      </c>
      <c r="F292" s="21" t="s">
        <v>326</v>
      </c>
      <c r="G292" s="27">
        <f>411.9+1117.6</f>
        <v>1529.5</v>
      </c>
      <c r="H292" s="132"/>
      <c r="I292" s="153"/>
      <c r="J292" s="135"/>
    </row>
    <row r="293" spans="1:10" ht="31.5" hidden="1" x14ac:dyDescent="0.25">
      <c r="A293" s="26" t="s">
        <v>335</v>
      </c>
      <c r="B293" s="17">
        <v>903</v>
      </c>
      <c r="C293" s="21" t="s">
        <v>350</v>
      </c>
      <c r="D293" s="21" t="s">
        <v>169</v>
      </c>
      <c r="E293" s="21" t="s">
        <v>336</v>
      </c>
      <c r="F293" s="21"/>
      <c r="G293" s="27">
        <f t="shared" ref="G293:G294" si="32">G294</f>
        <v>0</v>
      </c>
      <c r="H293" s="209"/>
    </row>
    <row r="294" spans="1:10" ht="47.25" hidden="1" x14ac:dyDescent="0.25">
      <c r="A294" s="26" t="s">
        <v>323</v>
      </c>
      <c r="B294" s="17">
        <v>903</v>
      </c>
      <c r="C294" s="21" t="s">
        <v>350</v>
      </c>
      <c r="D294" s="21" t="s">
        <v>169</v>
      </c>
      <c r="E294" s="21" t="s">
        <v>336</v>
      </c>
      <c r="F294" s="21" t="s">
        <v>324</v>
      </c>
      <c r="G294" s="27">
        <f t="shared" si="32"/>
        <v>0</v>
      </c>
      <c r="H294" s="209"/>
    </row>
    <row r="295" spans="1:10" ht="15.75" hidden="1" x14ac:dyDescent="0.25">
      <c r="A295" s="26" t="s">
        <v>325</v>
      </c>
      <c r="B295" s="17">
        <v>903</v>
      </c>
      <c r="C295" s="21" t="s">
        <v>350</v>
      </c>
      <c r="D295" s="21" t="s">
        <v>169</v>
      </c>
      <c r="E295" s="21" t="s">
        <v>336</v>
      </c>
      <c r="F295" s="21" t="s">
        <v>326</v>
      </c>
      <c r="G295" s="27">
        <v>0</v>
      </c>
      <c r="H295" s="209"/>
    </row>
    <row r="296" spans="1:10" ht="47.25" hidden="1" x14ac:dyDescent="0.25">
      <c r="A296" s="37" t="s">
        <v>338</v>
      </c>
      <c r="B296" s="17">
        <v>903</v>
      </c>
      <c r="C296" s="21" t="s">
        <v>350</v>
      </c>
      <c r="D296" s="21" t="s">
        <v>169</v>
      </c>
      <c r="E296" s="21" t="s">
        <v>360</v>
      </c>
      <c r="F296" s="21"/>
      <c r="G296" s="27">
        <f t="shared" ref="G296:G297" si="33">G297</f>
        <v>0</v>
      </c>
      <c r="H296" s="209"/>
    </row>
    <row r="297" spans="1:10" ht="47.25" hidden="1" x14ac:dyDescent="0.25">
      <c r="A297" s="26" t="s">
        <v>323</v>
      </c>
      <c r="B297" s="17">
        <v>903</v>
      </c>
      <c r="C297" s="21" t="s">
        <v>350</v>
      </c>
      <c r="D297" s="21" t="s">
        <v>169</v>
      </c>
      <c r="E297" s="21" t="s">
        <v>360</v>
      </c>
      <c r="F297" s="21" t="s">
        <v>324</v>
      </c>
      <c r="G297" s="27">
        <f t="shared" si="33"/>
        <v>0</v>
      </c>
      <c r="H297" s="209"/>
    </row>
    <row r="298" spans="1:10" ht="15.75" hidden="1" x14ac:dyDescent="0.25">
      <c r="A298" s="26" t="s">
        <v>325</v>
      </c>
      <c r="B298" s="17">
        <v>903</v>
      </c>
      <c r="C298" s="21" t="s">
        <v>350</v>
      </c>
      <c r="D298" s="21" t="s">
        <v>169</v>
      </c>
      <c r="E298" s="21" t="s">
        <v>360</v>
      </c>
      <c r="F298" s="21" t="s">
        <v>326</v>
      </c>
      <c r="G298" s="27">
        <v>0</v>
      </c>
      <c r="H298" s="209"/>
    </row>
    <row r="299" spans="1:10" ht="47.25" hidden="1" customHeight="1" x14ac:dyDescent="0.25">
      <c r="A299" s="26" t="s">
        <v>361</v>
      </c>
      <c r="B299" s="17">
        <v>903</v>
      </c>
      <c r="C299" s="21" t="s">
        <v>350</v>
      </c>
      <c r="D299" s="21" t="s">
        <v>169</v>
      </c>
      <c r="E299" s="21" t="s">
        <v>362</v>
      </c>
      <c r="F299" s="21"/>
      <c r="G299" s="27">
        <f t="shared" ref="G299" si="34">G300+G302+G304</f>
        <v>0</v>
      </c>
      <c r="H299" s="209"/>
    </row>
    <row r="300" spans="1:10" ht="94.5" hidden="1" x14ac:dyDescent="0.25">
      <c r="A300" s="26" t="s">
        <v>178</v>
      </c>
      <c r="B300" s="17">
        <v>903</v>
      </c>
      <c r="C300" s="21" t="s">
        <v>350</v>
      </c>
      <c r="D300" s="21" t="s">
        <v>169</v>
      </c>
      <c r="E300" s="21" t="s">
        <v>362</v>
      </c>
      <c r="F300" s="21" t="s">
        <v>179</v>
      </c>
      <c r="G300" s="27">
        <f t="shared" ref="G300" si="35">G301</f>
        <v>0</v>
      </c>
      <c r="H300" s="209"/>
    </row>
    <row r="301" spans="1:10" ht="31.5" hidden="1" x14ac:dyDescent="0.25">
      <c r="A301" s="26" t="s">
        <v>259</v>
      </c>
      <c r="B301" s="17">
        <v>903</v>
      </c>
      <c r="C301" s="21" t="s">
        <v>350</v>
      </c>
      <c r="D301" s="21" t="s">
        <v>169</v>
      </c>
      <c r="E301" s="21" t="s">
        <v>362</v>
      </c>
      <c r="F301" s="21" t="s">
        <v>260</v>
      </c>
      <c r="G301" s="28">
        <v>0</v>
      </c>
      <c r="H301" s="209"/>
    </row>
    <row r="302" spans="1:10" ht="31.5" hidden="1" x14ac:dyDescent="0.25">
      <c r="A302" s="26" t="s">
        <v>182</v>
      </c>
      <c r="B302" s="17">
        <v>903</v>
      </c>
      <c r="C302" s="21" t="s">
        <v>350</v>
      </c>
      <c r="D302" s="21" t="s">
        <v>169</v>
      </c>
      <c r="E302" s="21" t="s">
        <v>362</v>
      </c>
      <c r="F302" s="21" t="s">
        <v>183</v>
      </c>
      <c r="G302" s="27">
        <f t="shared" ref="G302" si="36">G303</f>
        <v>0</v>
      </c>
      <c r="H302" s="209"/>
    </row>
    <row r="303" spans="1:10" ht="47.25" hidden="1" x14ac:dyDescent="0.25">
      <c r="A303" s="26" t="s">
        <v>184</v>
      </c>
      <c r="B303" s="17">
        <v>903</v>
      </c>
      <c r="C303" s="21" t="s">
        <v>350</v>
      </c>
      <c r="D303" s="21" t="s">
        <v>169</v>
      </c>
      <c r="E303" s="21" t="s">
        <v>362</v>
      </c>
      <c r="F303" s="21" t="s">
        <v>185</v>
      </c>
      <c r="G303" s="28">
        <v>0</v>
      </c>
      <c r="H303" s="209"/>
    </row>
    <row r="304" spans="1:10" ht="15.75" hidden="1" x14ac:dyDescent="0.25">
      <c r="A304" s="26" t="s">
        <v>186</v>
      </c>
      <c r="B304" s="17">
        <v>903</v>
      </c>
      <c r="C304" s="21" t="s">
        <v>350</v>
      </c>
      <c r="D304" s="21" t="s">
        <v>169</v>
      </c>
      <c r="E304" s="21" t="s">
        <v>362</v>
      </c>
      <c r="F304" s="21" t="s">
        <v>196</v>
      </c>
      <c r="G304" s="27">
        <f t="shared" ref="G304" si="37">G305</f>
        <v>0</v>
      </c>
      <c r="H304" s="209"/>
    </row>
    <row r="305" spans="1:9" ht="15.75" hidden="1" x14ac:dyDescent="0.25">
      <c r="A305" s="26" t="s">
        <v>188</v>
      </c>
      <c r="B305" s="17">
        <v>903</v>
      </c>
      <c r="C305" s="21" t="s">
        <v>350</v>
      </c>
      <c r="D305" s="21" t="s">
        <v>169</v>
      </c>
      <c r="E305" s="21" t="s">
        <v>362</v>
      </c>
      <c r="F305" s="21" t="s">
        <v>189</v>
      </c>
      <c r="G305" s="27">
        <v>0</v>
      </c>
      <c r="H305" s="209"/>
    </row>
    <row r="306" spans="1:9" ht="47.25" x14ac:dyDescent="0.25">
      <c r="A306" s="26" t="s">
        <v>363</v>
      </c>
      <c r="B306" s="17">
        <v>903</v>
      </c>
      <c r="C306" s="21" t="s">
        <v>350</v>
      </c>
      <c r="D306" s="21" t="s">
        <v>169</v>
      </c>
      <c r="E306" s="21" t="s">
        <v>364</v>
      </c>
      <c r="F306" s="21"/>
      <c r="G306" s="27">
        <f>G307+G330+G318+G321+G324+G327+G310+G315</f>
        <v>16660.600000000002</v>
      </c>
      <c r="H306" s="209"/>
    </row>
    <row r="307" spans="1:9" ht="51" customHeight="1" x14ac:dyDescent="0.25">
      <c r="A307" s="26" t="s">
        <v>354</v>
      </c>
      <c r="B307" s="17">
        <v>903</v>
      </c>
      <c r="C307" s="21" t="s">
        <v>350</v>
      </c>
      <c r="D307" s="21" t="s">
        <v>169</v>
      </c>
      <c r="E307" s="21" t="s">
        <v>365</v>
      </c>
      <c r="F307" s="21"/>
      <c r="G307" s="27">
        <f>G308</f>
        <v>16655.2</v>
      </c>
      <c r="H307" s="209"/>
    </row>
    <row r="308" spans="1:9" ht="47.25" x14ac:dyDescent="0.25">
      <c r="A308" s="26" t="s">
        <v>323</v>
      </c>
      <c r="B308" s="17">
        <v>903</v>
      </c>
      <c r="C308" s="21" t="s">
        <v>350</v>
      </c>
      <c r="D308" s="21" t="s">
        <v>169</v>
      </c>
      <c r="E308" s="21" t="s">
        <v>365</v>
      </c>
      <c r="F308" s="21" t="s">
        <v>324</v>
      </c>
      <c r="G308" s="27">
        <f t="shared" ref="G308" si="38">G309</f>
        <v>16655.2</v>
      </c>
      <c r="H308" s="209"/>
    </row>
    <row r="309" spans="1:9" ht="15.75" x14ac:dyDescent="0.25">
      <c r="A309" s="26" t="s">
        <v>325</v>
      </c>
      <c r="B309" s="17">
        <v>903</v>
      </c>
      <c r="C309" s="21" t="s">
        <v>350</v>
      </c>
      <c r="D309" s="21" t="s">
        <v>169</v>
      </c>
      <c r="E309" s="21" t="s">
        <v>365</v>
      </c>
      <c r="F309" s="21" t="s">
        <v>326</v>
      </c>
      <c r="G309" s="28">
        <f>18073+419.6-1705.8+78.4-210</f>
        <v>16655.2</v>
      </c>
      <c r="H309" s="132"/>
      <c r="I309" s="153"/>
    </row>
    <row r="310" spans="1:9" ht="38.25" customHeight="1" x14ac:dyDescent="0.25">
      <c r="A310" s="26" t="s">
        <v>366</v>
      </c>
      <c r="B310" s="17">
        <v>903</v>
      </c>
      <c r="C310" s="21" t="s">
        <v>350</v>
      </c>
      <c r="D310" s="21" t="s">
        <v>169</v>
      </c>
      <c r="E310" s="21" t="s">
        <v>367</v>
      </c>
      <c r="F310" s="21"/>
      <c r="G310" s="28">
        <f t="shared" ref="G310" si="39">G311+G313</f>
        <v>5</v>
      </c>
      <c r="H310" s="209"/>
    </row>
    <row r="311" spans="1:9" ht="31.5" hidden="1" x14ac:dyDescent="0.25">
      <c r="A311" s="26" t="s">
        <v>182</v>
      </c>
      <c r="B311" s="17">
        <v>903</v>
      </c>
      <c r="C311" s="21" t="s">
        <v>350</v>
      </c>
      <c r="D311" s="21" t="s">
        <v>169</v>
      </c>
      <c r="E311" s="21" t="s">
        <v>367</v>
      </c>
      <c r="F311" s="21" t="s">
        <v>183</v>
      </c>
      <c r="G311" s="28">
        <f t="shared" ref="G311" si="40">G312</f>
        <v>0</v>
      </c>
      <c r="H311" s="209"/>
    </row>
    <row r="312" spans="1:9" ht="47.25" hidden="1" x14ac:dyDescent="0.25">
      <c r="A312" s="26" t="s">
        <v>184</v>
      </c>
      <c r="B312" s="17">
        <v>903</v>
      </c>
      <c r="C312" s="21" t="s">
        <v>350</v>
      </c>
      <c r="D312" s="21" t="s">
        <v>169</v>
      </c>
      <c r="E312" s="21" t="s">
        <v>367</v>
      </c>
      <c r="F312" s="21" t="s">
        <v>185</v>
      </c>
      <c r="G312" s="28">
        <v>0</v>
      </c>
      <c r="H312" s="209"/>
    </row>
    <row r="313" spans="1:9" ht="47.25" x14ac:dyDescent="0.25">
      <c r="A313" s="26" t="s">
        <v>323</v>
      </c>
      <c r="B313" s="17">
        <v>903</v>
      </c>
      <c r="C313" s="21" t="s">
        <v>350</v>
      </c>
      <c r="D313" s="21" t="s">
        <v>169</v>
      </c>
      <c r="E313" s="21" t="s">
        <v>367</v>
      </c>
      <c r="F313" s="21" t="s">
        <v>324</v>
      </c>
      <c r="G313" s="28">
        <f>G314</f>
        <v>5</v>
      </c>
      <c r="H313" s="209"/>
    </row>
    <row r="314" spans="1:9" ht="15.75" x14ac:dyDescent="0.25">
      <c r="A314" s="26" t="s">
        <v>325</v>
      </c>
      <c r="B314" s="17">
        <v>903</v>
      </c>
      <c r="C314" s="21" t="s">
        <v>350</v>
      </c>
      <c r="D314" s="21" t="s">
        <v>169</v>
      </c>
      <c r="E314" s="21" t="s">
        <v>367</v>
      </c>
      <c r="F314" s="21" t="s">
        <v>326</v>
      </c>
      <c r="G314" s="28">
        <v>5</v>
      </c>
      <c r="H314" s="209"/>
    </row>
    <row r="315" spans="1:9" ht="15.75" x14ac:dyDescent="0.25">
      <c r="A315" s="26" t="s">
        <v>764</v>
      </c>
      <c r="B315" s="17">
        <v>903</v>
      </c>
      <c r="C315" s="21" t="s">
        <v>350</v>
      </c>
      <c r="D315" s="21" t="s">
        <v>169</v>
      </c>
      <c r="E315" s="21" t="s">
        <v>765</v>
      </c>
      <c r="F315" s="21"/>
      <c r="G315" s="28">
        <f>G316</f>
        <v>0.4</v>
      </c>
      <c r="H315" s="209"/>
    </row>
    <row r="316" spans="1:9" ht="47.25" x14ac:dyDescent="0.25">
      <c r="A316" s="26" t="s">
        <v>323</v>
      </c>
      <c r="B316" s="17">
        <v>903</v>
      </c>
      <c r="C316" s="21" t="s">
        <v>350</v>
      </c>
      <c r="D316" s="21" t="s">
        <v>169</v>
      </c>
      <c r="E316" s="21" t="s">
        <v>765</v>
      </c>
      <c r="F316" s="21" t="s">
        <v>324</v>
      </c>
      <c r="G316" s="28">
        <f>G317</f>
        <v>0.4</v>
      </c>
      <c r="H316" s="209"/>
    </row>
    <row r="317" spans="1:9" ht="15.75" x14ac:dyDescent="0.25">
      <c r="A317" s="26" t="s">
        <v>325</v>
      </c>
      <c r="B317" s="17">
        <v>903</v>
      </c>
      <c r="C317" s="21" t="s">
        <v>350</v>
      </c>
      <c r="D317" s="21" t="s">
        <v>169</v>
      </c>
      <c r="E317" s="21" t="s">
        <v>765</v>
      </c>
      <c r="F317" s="21" t="s">
        <v>326</v>
      </c>
      <c r="G317" s="28">
        <v>0.4</v>
      </c>
      <c r="H317" s="132"/>
    </row>
    <row r="318" spans="1:9" ht="47.25" hidden="1" x14ac:dyDescent="0.25">
      <c r="A318" s="26" t="s">
        <v>327</v>
      </c>
      <c r="B318" s="17">
        <v>903</v>
      </c>
      <c r="C318" s="21" t="s">
        <v>350</v>
      </c>
      <c r="D318" s="21" t="s">
        <v>169</v>
      </c>
      <c r="E318" s="21" t="s">
        <v>368</v>
      </c>
      <c r="F318" s="21"/>
      <c r="G318" s="27">
        <f t="shared" ref="G318:G319" si="41">G319</f>
        <v>0</v>
      </c>
      <c r="H318" s="209"/>
    </row>
    <row r="319" spans="1:9" ht="47.25" hidden="1" x14ac:dyDescent="0.25">
      <c r="A319" s="26" t="s">
        <v>323</v>
      </c>
      <c r="B319" s="17">
        <v>903</v>
      </c>
      <c r="C319" s="21" t="s">
        <v>350</v>
      </c>
      <c r="D319" s="21" t="s">
        <v>169</v>
      </c>
      <c r="E319" s="21" t="s">
        <v>368</v>
      </c>
      <c r="F319" s="21" t="s">
        <v>324</v>
      </c>
      <c r="G319" s="27">
        <f t="shared" si="41"/>
        <v>0</v>
      </c>
      <c r="H319" s="209"/>
    </row>
    <row r="320" spans="1:9" ht="15.75" hidden="1" x14ac:dyDescent="0.25">
      <c r="A320" s="26" t="s">
        <v>325</v>
      </c>
      <c r="B320" s="17">
        <v>903</v>
      </c>
      <c r="C320" s="21" t="s">
        <v>350</v>
      </c>
      <c r="D320" s="21" t="s">
        <v>169</v>
      </c>
      <c r="E320" s="21" t="s">
        <v>368</v>
      </c>
      <c r="F320" s="21" t="s">
        <v>326</v>
      </c>
      <c r="G320" s="27">
        <v>0</v>
      </c>
      <c r="H320" s="209"/>
    </row>
    <row r="321" spans="1:8" ht="47.25" hidden="1" x14ac:dyDescent="0.25">
      <c r="A321" s="26" t="s">
        <v>329</v>
      </c>
      <c r="B321" s="17">
        <v>903</v>
      </c>
      <c r="C321" s="21" t="s">
        <v>350</v>
      </c>
      <c r="D321" s="21" t="s">
        <v>169</v>
      </c>
      <c r="E321" s="21" t="s">
        <v>369</v>
      </c>
      <c r="F321" s="21"/>
      <c r="G321" s="27">
        <f t="shared" ref="G321:G322" si="42">G322</f>
        <v>0</v>
      </c>
      <c r="H321" s="209"/>
    </row>
    <row r="322" spans="1:8" ht="47.25" hidden="1" x14ac:dyDescent="0.25">
      <c r="A322" s="26" t="s">
        <v>323</v>
      </c>
      <c r="B322" s="17">
        <v>903</v>
      </c>
      <c r="C322" s="21" t="s">
        <v>350</v>
      </c>
      <c r="D322" s="21" t="s">
        <v>169</v>
      </c>
      <c r="E322" s="21" t="s">
        <v>369</v>
      </c>
      <c r="F322" s="21" t="s">
        <v>324</v>
      </c>
      <c r="G322" s="27">
        <f t="shared" si="42"/>
        <v>0</v>
      </c>
      <c r="H322" s="209"/>
    </row>
    <row r="323" spans="1:8" ht="15.75" hidden="1" x14ac:dyDescent="0.25">
      <c r="A323" s="26" t="s">
        <v>325</v>
      </c>
      <c r="B323" s="17">
        <v>903</v>
      </c>
      <c r="C323" s="21" t="s">
        <v>350</v>
      </c>
      <c r="D323" s="21" t="s">
        <v>169</v>
      </c>
      <c r="E323" s="21" t="s">
        <v>369</v>
      </c>
      <c r="F323" s="21" t="s">
        <v>326</v>
      </c>
      <c r="G323" s="27">
        <v>0</v>
      </c>
      <c r="H323" s="209"/>
    </row>
    <row r="324" spans="1:8" ht="31.5" hidden="1" x14ac:dyDescent="0.25">
      <c r="A324" s="26" t="s">
        <v>331</v>
      </c>
      <c r="B324" s="17">
        <v>903</v>
      </c>
      <c r="C324" s="21" t="s">
        <v>350</v>
      </c>
      <c r="D324" s="21" t="s">
        <v>169</v>
      </c>
      <c r="E324" s="21" t="s">
        <v>370</v>
      </c>
      <c r="F324" s="21"/>
      <c r="G324" s="27">
        <f t="shared" ref="G324:G325" si="43">G325</f>
        <v>0</v>
      </c>
      <c r="H324" s="209"/>
    </row>
    <row r="325" spans="1:8" ht="47.25" hidden="1" x14ac:dyDescent="0.25">
      <c r="A325" s="26" t="s">
        <v>323</v>
      </c>
      <c r="B325" s="17">
        <v>903</v>
      </c>
      <c r="C325" s="21" t="s">
        <v>350</v>
      </c>
      <c r="D325" s="21" t="s">
        <v>169</v>
      </c>
      <c r="E325" s="21" t="s">
        <v>370</v>
      </c>
      <c r="F325" s="21" t="s">
        <v>324</v>
      </c>
      <c r="G325" s="27">
        <f t="shared" si="43"/>
        <v>0</v>
      </c>
      <c r="H325" s="209"/>
    </row>
    <row r="326" spans="1:8" ht="15.75" hidden="1" x14ac:dyDescent="0.25">
      <c r="A326" s="26" t="s">
        <v>325</v>
      </c>
      <c r="B326" s="17">
        <v>903</v>
      </c>
      <c r="C326" s="21" t="s">
        <v>350</v>
      </c>
      <c r="D326" s="21" t="s">
        <v>169</v>
      </c>
      <c r="E326" s="21" t="s">
        <v>370</v>
      </c>
      <c r="F326" s="21" t="s">
        <v>326</v>
      </c>
      <c r="G326" s="27">
        <v>0</v>
      </c>
      <c r="H326" s="209"/>
    </row>
    <row r="327" spans="1:8" ht="31.5" hidden="1" x14ac:dyDescent="0.25">
      <c r="A327" s="26" t="s">
        <v>335</v>
      </c>
      <c r="B327" s="17">
        <v>903</v>
      </c>
      <c r="C327" s="21" t="s">
        <v>350</v>
      </c>
      <c r="D327" s="21" t="s">
        <v>169</v>
      </c>
      <c r="E327" s="21" t="s">
        <v>371</v>
      </c>
      <c r="F327" s="21"/>
      <c r="G327" s="27">
        <f t="shared" ref="G327:G328" si="44">G328</f>
        <v>0</v>
      </c>
      <c r="H327" s="209"/>
    </row>
    <row r="328" spans="1:8" ht="47.25" hidden="1" x14ac:dyDescent="0.25">
      <c r="A328" s="26" t="s">
        <v>323</v>
      </c>
      <c r="B328" s="17">
        <v>903</v>
      </c>
      <c r="C328" s="21" t="s">
        <v>350</v>
      </c>
      <c r="D328" s="21" t="s">
        <v>169</v>
      </c>
      <c r="E328" s="21" t="s">
        <v>371</v>
      </c>
      <c r="F328" s="21" t="s">
        <v>324</v>
      </c>
      <c r="G328" s="27">
        <f t="shared" si="44"/>
        <v>0</v>
      </c>
      <c r="H328" s="209"/>
    </row>
    <row r="329" spans="1:8" ht="15.75" hidden="1" x14ac:dyDescent="0.25">
      <c r="A329" s="26" t="s">
        <v>325</v>
      </c>
      <c r="B329" s="17">
        <v>903</v>
      </c>
      <c r="C329" s="21" t="s">
        <v>350</v>
      </c>
      <c r="D329" s="21" t="s">
        <v>169</v>
      </c>
      <c r="E329" s="21" t="s">
        <v>371</v>
      </c>
      <c r="F329" s="21" t="s">
        <v>326</v>
      </c>
      <c r="G329" s="27">
        <v>0</v>
      </c>
      <c r="H329" s="209"/>
    </row>
    <row r="330" spans="1:8" ht="47.25" hidden="1" x14ac:dyDescent="0.25">
      <c r="A330" s="37" t="s">
        <v>372</v>
      </c>
      <c r="B330" s="17">
        <v>903</v>
      </c>
      <c r="C330" s="21" t="s">
        <v>350</v>
      </c>
      <c r="D330" s="21" t="s">
        <v>169</v>
      </c>
      <c r="E330" s="21" t="s">
        <v>373</v>
      </c>
      <c r="F330" s="21"/>
      <c r="G330" s="27">
        <f t="shared" ref="G330:G331" si="45">G331</f>
        <v>0</v>
      </c>
      <c r="H330" s="209"/>
    </row>
    <row r="331" spans="1:8" ht="47.25" hidden="1" x14ac:dyDescent="0.25">
      <c r="A331" s="26" t="s">
        <v>323</v>
      </c>
      <c r="B331" s="17">
        <v>903</v>
      </c>
      <c r="C331" s="21" t="s">
        <v>350</v>
      </c>
      <c r="D331" s="21" t="s">
        <v>169</v>
      </c>
      <c r="E331" s="21" t="s">
        <v>373</v>
      </c>
      <c r="F331" s="21" t="s">
        <v>324</v>
      </c>
      <c r="G331" s="27">
        <f t="shared" si="45"/>
        <v>0</v>
      </c>
      <c r="H331" s="209"/>
    </row>
    <row r="332" spans="1:8" ht="15.75" hidden="1" x14ac:dyDescent="0.25">
      <c r="A332" s="26" t="s">
        <v>325</v>
      </c>
      <c r="B332" s="17">
        <v>903</v>
      </c>
      <c r="C332" s="21" t="s">
        <v>350</v>
      </c>
      <c r="D332" s="21" t="s">
        <v>169</v>
      </c>
      <c r="E332" s="21" t="s">
        <v>373</v>
      </c>
      <c r="F332" s="21" t="s">
        <v>326</v>
      </c>
      <c r="G332" s="27">
        <v>0</v>
      </c>
      <c r="H332" s="209"/>
    </row>
    <row r="333" spans="1:8" ht="78.75" x14ac:dyDescent="0.25">
      <c r="A333" s="31" t="s">
        <v>374</v>
      </c>
      <c r="B333" s="17">
        <v>903</v>
      </c>
      <c r="C333" s="21" t="s">
        <v>350</v>
      </c>
      <c r="D333" s="21" t="s">
        <v>169</v>
      </c>
      <c r="E333" s="42" t="s">
        <v>375</v>
      </c>
      <c r="F333" s="21"/>
      <c r="G333" s="27">
        <f>G334</f>
        <v>200</v>
      </c>
      <c r="H333" s="209"/>
    </row>
    <row r="334" spans="1:8" ht="47.25" x14ac:dyDescent="0.25">
      <c r="A334" s="26" t="s">
        <v>376</v>
      </c>
      <c r="B334" s="17">
        <v>903</v>
      </c>
      <c r="C334" s="21" t="s">
        <v>350</v>
      </c>
      <c r="D334" s="21" t="s">
        <v>169</v>
      </c>
      <c r="E334" s="42" t="s">
        <v>377</v>
      </c>
      <c r="F334" s="21"/>
      <c r="G334" s="27">
        <f t="shared" ref="G334" si="46">G335</f>
        <v>200</v>
      </c>
      <c r="H334" s="209"/>
    </row>
    <row r="335" spans="1:8" ht="47.25" x14ac:dyDescent="0.25">
      <c r="A335" s="26" t="s">
        <v>323</v>
      </c>
      <c r="B335" s="17">
        <v>903</v>
      </c>
      <c r="C335" s="21" t="s">
        <v>350</v>
      </c>
      <c r="D335" s="21" t="s">
        <v>169</v>
      </c>
      <c r="E335" s="42" t="s">
        <v>377</v>
      </c>
      <c r="F335" s="21" t="s">
        <v>324</v>
      </c>
      <c r="G335" s="27">
        <f>G336</f>
        <v>200</v>
      </c>
      <c r="H335" s="209"/>
    </row>
    <row r="336" spans="1:8" ht="15.75" x14ac:dyDescent="0.25">
      <c r="A336" s="26" t="s">
        <v>325</v>
      </c>
      <c r="B336" s="17">
        <v>903</v>
      </c>
      <c r="C336" s="21" t="s">
        <v>350</v>
      </c>
      <c r="D336" s="21" t="s">
        <v>169</v>
      </c>
      <c r="E336" s="42" t="s">
        <v>377</v>
      </c>
      <c r="F336" s="21" t="s">
        <v>326</v>
      </c>
      <c r="G336" s="27">
        <v>200</v>
      </c>
      <c r="H336" s="209"/>
    </row>
    <row r="337" spans="1:9" ht="15.75" x14ac:dyDescent="0.25">
      <c r="A337" s="26" t="s">
        <v>172</v>
      </c>
      <c r="B337" s="17">
        <v>903</v>
      </c>
      <c r="C337" s="21" t="s">
        <v>350</v>
      </c>
      <c r="D337" s="21" t="s">
        <v>169</v>
      </c>
      <c r="E337" s="21" t="s">
        <v>173</v>
      </c>
      <c r="F337" s="21"/>
      <c r="G337" s="27">
        <f>G338</f>
        <v>2137.9</v>
      </c>
      <c r="H337" s="209"/>
    </row>
    <row r="338" spans="1:9" ht="31.5" x14ac:dyDescent="0.25">
      <c r="A338" s="26" t="s">
        <v>236</v>
      </c>
      <c r="B338" s="17">
        <v>903</v>
      </c>
      <c r="C338" s="21" t="s">
        <v>350</v>
      </c>
      <c r="D338" s="21" t="s">
        <v>169</v>
      </c>
      <c r="E338" s="21" t="s">
        <v>237</v>
      </c>
      <c r="F338" s="21"/>
      <c r="G338" s="27">
        <f>G339+G344+G349+G352+G355</f>
        <v>2137.9</v>
      </c>
      <c r="H338" s="209"/>
    </row>
    <row r="339" spans="1:9" ht="31.5" hidden="1" x14ac:dyDescent="0.25">
      <c r="A339" s="38" t="s">
        <v>378</v>
      </c>
      <c r="B339" s="39">
        <v>903</v>
      </c>
      <c r="C339" s="21" t="s">
        <v>350</v>
      </c>
      <c r="D339" s="21" t="s">
        <v>169</v>
      </c>
      <c r="E339" s="21" t="s">
        <v>379</v>
      </c>
      <c r="F339" s="21"/>
      <c r="G339" s="27">
        <f t="shared" ref="G339" si="47">G340+G342</f>
        <v>0</v>
      </c>
      <c r="H339" s="209"/>
    </row>
    <row r="340" spans="1:9" ht="31.5" hidden="1" x14ac:dyDescent="0.25">
      <c r="A340" s="26" t="s">
        <v>182</v>
      </c>
      <c r="B340" s="39">
        <v>903</v>
      </c>
      <c r="C340" s="21" t="s">
        <v>350</v>
      </c>
      <c r="D340" s="21" t="s">
        <v>169</v>
      </c>
      <c r="E340" s="21" t="s">
        <v>379</v>
      </c>
      <c r="F340" s="21" t="s">
        <v>183</v>
      </c>
      <c r="G340" s="27">
        <f t="shared" ref="G340" si="48">G341</f>
        <v>0</v>
      </c>
      <c r="H340" s="209"/>
    </row>
    <row r="341" spans="1:9" ht="47.25" hidden="1" x14ac:dyDescent="0.25">
      <c r="A341" s="26" t="s">
        <v>184</v>
      </c>
      <c r="B341" s="17">
        <v>903</v>
      </c>
      <c r="C341" s="21" t="s">
        <v>350</v>
      </c>
      <c r="D341" s="21" t="s">
        <v>169</v>
      </c>
      <c r="E341" s="21" t="s">
        <v>379</v>
      </c>
      <c r="F341" s="21" t="s">
        <v>185</v>
      </c>
      <c r="G341" s="27">
        <f>1.4-1.4</f>
        <v>0</v>
      </c>
      <c r="H341" s="209"/>
      <c r="I341" s="141"/>
    </row>
    <row r="342" spans="1:9" ht="47.25" hidden="1" x14ac:dyDescent="0.25">
      <c r="A342" s="26" t="s">
        <v>323</v>
      </c>
      <c r="B342" s="17">
        <v>903</v>
      </c>
      <c r="C342" s="21" t="s">
        <v>350</v>
      </c>
      <c r="D342" s="21" t="s">
        <v>169</v>
      </c>
      <c r="E342" s="21" t="s">
        <v>379</v>
      </c>
      <c r="F342" s="21" t="s">
        <v>324</v>
      </c>
      <c r="G342" s="27">
        <f t="shared" ref="G342" si="49">G343</f>
        <v>0</v>
      </c>
      <c r="H342" s="209"/>
    </row>
    <row r="343" spans="1:9" ht="15.75" hidden="1" x14ac:dyDescent="0.25">
      <c r="A343" s="26" t="s">
        <v>325</v>
      </c>
      <c r="B343" s="17">
        <v>903</v>
      </c>
      <c r="C343" s="21" t="s">
        <v>350</v>
      </c>
      <c r="D343" s="21" t="s">
        <v>169</v>
      </c>
      <c r="E343" s="21" t="s">
        <v>379</v>
      </c>
      <c r="F343" s="21" t="s">
        <v>326</v>
      </c>
      <c r="G343" s="27">
        <f>2.9-2.9</f>
        <v>0</v>
      </c>
      <c r="H343" s="209"/>
      <c r="I343" s="141"/>
    </row>
    <row r="344" spans="1:9" ht="31.5" x14ac:dyDescent="0.25">
      <c r="A344" s="26" t="s">
        <v>380</v>
      </c>
      <c r="B344" s="17">
        <v>903</v>
      </c>
      <c r="C344" s="21" t="s">
        <v>350</v>
      </c>
      <c r="D344" s="21" t="s">
        <v>169</v>
      </c>
      <c r="E344" s="21" t="s">
        <v>381</v>
      </c>
      <c r="F344" s="21"/>
      <c r="G344" s="27">
        <f>G345+G347</f>
        <v>177.3</v>
      </c>
      <c r="H344" s="209"/>
    </row>
    <row r="345" spans="1:9" ht="31.5" hidden="1" x14ac:dyDescent="0.25">
      <c r="A345" s="26" t="s">
        <v>182</v>
      </c>
      <c r="B345" s="17">
        <v>903</v>
      </c>
      <c r="C345" s="21" t="s">
        <v>350</v>
      </c>
      <c r="D345" s="21" t="s">
        <v>169</v>
      </c>
      <c r="E345" s="21" t="s">
        <v>381</v>
      </c>
      <c r="F345" s="21" t="s">
        <v>183</v>
      </c>
      <c r="G345" s="27">
        <f t="shared" ref="G345" si="50">G346</f>
        <v>0</v>
      </c>
      <c r="H345" s="209"/>
    </row>
    <row r="346" spans="1:9" ht="47.25" hidden="1" x14ac:dyDescent="0.25">
      <c r="A346" s="26" t="s">
        <v>184</v>
      </c>
      <c r="B346" s="17">
        <v>903</v>
      </c>
      <c r="C346" s="21" t="s">
        <v>350</v>
      </c>
      <c r="D346" s="21" t="s">
        <v>169</v>
      </c>
      <c r="E346" s="21" t="s">
        <v>381</v>
      </c>
      <c r="F346" s="40">
        <v>240</v>
      </c>
      <c r="G346" s="27">
        <v>0</v>
      </c>
      <c r="H346" s="209"/>
    </row>
    <row r="347" spans="1:9" ht="47.25" x14ac:dyDescent="0.25">
      <c r="A347" s="26" t="s">
        <v>323</v>
      </c>
      <c r="B347" s="17">
        <v>903</v>
      </c>
      <c r="C347" s="21" t="s">
        <v>350</v>
      </c>
      <c r="D347" s="21" t="s">
        <v>169</v>
      </c>
      <c r="E347" s="21" t="s">
        <v>381</v>
      </c>
      <c r="F347" s="21" t="s">
        <v>324</v>
      </c>
      <c r="G347" s="27">
        <f t="shared" ref="G347" si="51">G348</f>
        <v>177.3</v>
      </c>
      <c r="H347" s="209"/>
    </row>
    <row r="348" spans="1:9" ht="15.75" x14ac:dyDescent="0.25">
      <c r="A348" s="26" t="s">
        <v>325</v>
      </c>
      <c r="B348" s="17">
        <v>903</v>
      </c>
      <c r="C348" s="21" t="s">
        <v>350</v>
      </c>
      <c r="D348" s="21" t="s">
        <v>169</v>
      </c>
      <c r="E348" s="21" t="s">
        <v>381</v>
      </c>
      <c r="F348" s="21" t="s">
        <v>326</v>
      </c>
      <c r="G348" s="27">
        <f>274.5-97.2</f>
        <v>177.3</v>
      </c>
      <c r="H348" s="209"/>
      <c r="I348" s="141"/>
    </row>
    <row r="349" spans="1:9" ht="78.75" x14ac:dyDescent="0.25">
      <c r="A349" s="26" t="s">
        <v>382</v>
      </c>
      <c r="B349" s="17">
        <v>903</v>
      </c>
      <c r="C349" s="21" t="s">
        <v>350</v>
      </c>
      <c r="D349" s="21" t="s">
        <v>169</v>
      </c>
      <c r="E349" s="21" t="s">
        <v>383</v>
      </c>
      <c r="F349" s="21"/>
      <c r="G349" s="27">
        <f t="shared" ref="G349" si="52">G350</f>
        <v>263.3</v>
      </c>
      <c r="H349" s="209"/>
    </row>
    <row r="350" spans="1:9" ht="47.25" x14ac:dyDescent="0.25">
      <c r="A350" s="26" t="s">
        <v>323</v>
      </c>
      <c r="B350" s="17">
        <v>903</v>
      </c>
      <c r="C350" s="21" t="s">
        <v>350</v>
      </c>
      <c r="D350" s="21" t="s">
        <v>169</v>
      </c>
      <c r="E350" s="21" t="s">
        <v>383</v>
      </c>
      <c r="F350" s="21" t="s">
        <v>324</v>
      </c>
      <c r="G350" s="27">
        <f>G351</f>
        <v>263.3</v>
      </c>
      <c r="H350" s="209"/>
    </row>
    <row r="351" spans="1:9" ht="15.75" x14ac:dyDescent="0.25">
      <c r="A351" s="26" t="s">
        <v>325</v>
      </c>
      <c r="B351" s="17">
        <v>903</v>
      </c>
      <c r="C351" s="21" t="s">
        <v>350</v>
      </c>
      <c r="D351" s="21" t="s">
        <v>169</v>
      </c>
      <c r="E351" s="21" t="s">
        <v>383</v>
      </c>
      <c r="F351" s="21" t="s">
        <v>326</v>
      </c>
      <c r="G351" s="27">
        <f>247.6+15.7</f>
        <v>263.3</v>
      </c>
      <c r="H351" s="209"/>
      <c r="I351" s="141"/>
    </row>
    <row r="352" spans="1:9" ht="110.25" x14ac:dyDescent="0.25">
      <c r="A352" s="33" t="s">
        <v>344</v>
      </c>
      <c r="B352" s="17">
        <v>903</v>
      </c>
      <c r="C352" s="21" t="s">
        <v>350</v>
      </c>
      <c r="D352" s="21" t="s">
        <v>169</v>
      </c>
      <c r="E352" s="21" t="s">
        <v>345</v>
      </c>
      <c r="F352" s="21"/>
      <c r="G352" s="27">
        <f t="shared" ref="G352" si="53">G353</f>
        <v>1693.3000000000002</v>
      </c>
      <c r="H352" s="209"/>
    </row>
    <row r="353" spans="1:9" ht="47.25" x14ac:dyDescent="0.25">
      <c r="A353" s="26" t="s">
        <v>323</v>
      </c>
      <c r="B353" s="17">
        <v>903</v>
      </c>
      <c r="C353" s="21" t="s">
        <v>350</v>
      </c>
      <c r="D353" s="21" t="s">
        <v>169</v>
      </c>
      <c r="E353" s="21" t="s">
        <v>345</v>
      </c>
      <c r="F353" s="21" t="s">
        <v>324</v>
      </c>
      <c r="G353" s="27">
        <f>G354</f>
        <v>1693.3000000000002</v>
      </c>
      <c r="H353" s="209"/>
    </row>
    <row r="354" spans="1:9" ht="15.75" x14ac:dyDescent="0.25">
      <c r="A354" s="26" t="s">
        <v>325</v>
      </c>
      <c r="B354" s="17">
        <v>903</v>
      </c>
      <c r="C354" s="21" t="s">
        <v>350</v>
      </c>
      <c r="D354" s="21" t="s">
        <v>169</v>
      </c>
      <c r="E354" s="21" t="s">
        <v>345</v>
      </c>
      <c r="F354" s="21" t="s">
        <v>326</v>
      </c>
      <c r="G354" s="27">
        <f>1929.4-236.1</f>
        <v>1693.3000000000002</v>
      </c>
      <c r="H354" s="209"/>
    </row>
    <row r="355" spans="1:9" ht="15.75" x14ac:dyDescent="0.25">
      <c r="A355" s="33" t="s">
        <v>766</v>
      </c>
      <c r="B355" s="17">
        <v>903</v>
      </c>
      <c r="C355" s="21" t="s">
        <v>350</v>
      </c>
      <c r="D355" s="21" t="s">
        <v>169</v>
      </c>
      <c r="E355" s="21" t="s">
        <v>767</v>
      </c>
      <c r="F355" s="21"/>
      <c r="G355" s="27">
        <f>G356</f>
        <v>4</v>
      </c>
      <c r="H355" s="209"/>
    </row>
    <row r="356" spans="1:9" ht="47.25" x14ac:dyDescent="0.25">
      <c r="A356" s="26" t="s">
        <v>323</v>
      </c>
      <c r="B356" s="17">
        <v>903</v>
      </c>
      <c r="C356" s="21" t="s">
        <v>350</v>
      </c>
      <c r="D356" s="21" t="s">
        <v>169</v>
      </c>
      <c r="E356" s="21" t="s">
        <v>767</v>
      </c>
      <c r="F356" s="21" t="s">
        <v>324</v>
      </c>
      <c r="G356" s="27">
        <f>G357</f>
        <v>4</v>
      </c>
      <c r="H356" s="209"/>
    </row>
    <row r="357" spans="1:9" ht="15.75" x14ac:dyDescent="0.25">
      <c r="A357" s="26" t="s">
        <v>325</v>
      </c>
      <c r="B357" s="17">
        <v>903</v>
      </c>
      <c r="C357" s="21" t="s">
        <v>350</v>
      </c>
      <c r="D357" s="21" t="s">
        <v>169</v>
      </c>
      <c r="E357" s="21" t="s">
        <v>767</v>
      </c>
      <c r="F357" s="21" t="s">
        <v>326</v>
      </c>
      <c r="G357" s="27">
        <v>4</v>
      </c>
      <c r="H357" s="132"/>
    </row>
    <row r="358" spans="1:9" ht="31.5" x14ac:dyDescent="0.25">
      <c r="A358" s="24" t="s">
        <v>384</v>
      </c>
      <c r="B358" s="20">
        <v>903</v>
      </c>
      <c r="C358" s="25" t="s">
        <v>350</v>
      </c>
      <c r="D358" s="25" t="s">
        <v>201</v>
      </c>
      <c r="E358" s="25"/>
      <c r="F358" s="25"/>
      <c r="G358" s="22">
        <f>G359+G373+G369</f>
        <v>17278.8</v>
      </c>
      <c r="H358" s="209"/>
    </row>
    <row r="359" spans="1:9" ht="47.25" x14ac:dyDescent="0.25">
      <c r="A359" s="26" t="s">
        <v>385</v>
      </c>
      <c r="B359" s="17">
        <v>903</v>
      </c>
      <c r="C359" s="21" t="s">
        <v>350</v>
      </c>
      <c r="D359" s="21" t="s">
        <v>201</v>
      </c>
      <c r="E359" s="21" t="s">
        <v>386</v>
      </c>
      <c r="F359" s="21"/>
      <c r="G359" s="27">
        <f>G360+G363+G366</f>
        <v>125</v>
      </c>
      <c r="H359" s="209"/>
      <c r="I359" s="141"/>
    </row>
    <row r="360" spans="1:9" ht="31.5" hidden="1" x14ac:dyDescent="0.25">
      <c r="A360" s="26" t="s">
        <v>387</v>
      </c>
      <c r="B360" s="17">
        <v>903</v>
      </c>
      <c r="C360" s="21" t="s">
        <v>350</v>
      </c>
      <c r="D360" s="21" t="s">
        <v>201</v>
      </c>
      <c r="E360" s="21" t="s">
        <v>388</v>
      </c>
      <c r="F360" s="21"/>
      <c r="G360" s="27">
        <f>G361</f>
        <v>0</v>
      </c>
      <c r="H360" s="209"/>
    </row>
    <row r="361" spans="1:9" ht="31.5" hidden="1" x14ac:dyDescent="0.25">
      <c r="A361" s="26" t="s">
        <v>182</v>
      </c>
      <c r="B361" s="17">
        <v>903</v>
      </c>
      <c r="C361" s="21" t="s">
        <v>350</v>
      </c>
      <c r="D361" s="21" t="s">
        <v>201</v>
      </c>
      <c r="E361" s="21" t="s">
        <v>388</v>
      </c>
      <c r="F361" s="21" t="s">
        <v>183</v>
      </c>
      <c r="G361" s="27">
        <f>G362</f>
        <v>0</v>
      </c>
      <c r="H361" s="209"/>
    </row>
    <row r="362" spans="1:9" ht="47.25" hidden="1" x14ac:dyDescent="0.25">
      <c r="A362" s="26" t="s">
        <v>184</v>
      </c>
      <c r="B362" s="17">
        <v>903</v>
      </c>
      <c r="C362" s="21" t="s">
        <v>350</v>
      </c>
      <c r="D362" s="21" t="s">
        <v>201</v>
      </c>
      <c r="E362" s="21" t="s">
        <v>388</v>
      </c>
      <c r="F362" s="21" t="s">
        <v>185</v>
      </c>
      <c r="G362" s="27">
        <v>0</v>
      </c>
      <c r="H362" s="209"/>
    </row>
    <row r="363" spans="1:9" ht="31.5" x14ac:dyDescent="0.25">
      <c r="A363" s="26" t="s">
        <v>389</v>
      </c>
      <c r="B363" s="17">
        <v>903</v>
      </c>
      <c r="C363" s="21" t="s">
        <v>350</v>
      </c>
      <c r="D363" s="21" t="s">
        <v>201</v>
      </c>
      <c r="E363" s="21" t="s">
        <v>390</v>
      </c>
      <c r="F363" s="21"/>
      <c r="G363" s="27">
        <f>G364</f>
        <v>20</v>
      </c>
      <c r="H363" s="209"/>
    </row>
    <row r="364" spans="1:9" ht="31.5" x14ac:dyDescent="0.25">
      <c r="A364" s="26" t="s">
        <v>182</v>
      </c>
      <c r="B364" s="17">
        <v>903</v>
      </c>
      <c r="C364" s="21" t="s">
        <v>350</v>
      </c>
      <c r="D364" s="21" t="s">
        <v>201</v>
      </c>
      <c r="E364" s="21" t="s">
        <v>390</v>
      </c>
      <c r="F364" s="21" t="s">
        <v>183</v>
      </c>
      <c r="G364" s="27">
        <f>G365</f>
        <v>20</v>
      </c>
      <c r="H364" s="209"/>
    </row>
    <row r="365" spans="1:9" ht="47.25" x14ac:dyDescent="0.25">
      <c r="A365" s="26" t="s">
        <v>184</v>
      </c>
      <c r="B365" s="17">
        <v>903</v>
      </c>
      <c r="C365" s="21" t="s">
        <v>350</v>
      </c>
      <c r="D365" s="21" t="s">
        <v>201</v>
      </c>
      <c r="E365" s="21" t="s">
        <v>390</v>
      </c>
      <c r="F365" s="21" t="s">
        <v>185</v>
      </c>
      <c r="G365" s="27">
        <v>20</v>
      </c>
      <c r="H365" s="209"/>
    </row>
    <row r="366" spans="1:9" ht="63" x14ac:dyDescent="0.25">
      <c r="A366" s="26" t="s">
        <v>802</v>
      </c>
      <c r="B366" s="17">
        <v>903</v>
      </c>
      <c r="C366" s="21" t="s">
        <v>350</v>
      </c>
      <c r="D366" s="21" t="s">
        <v>201</v>
      </c>
      <c r="E366" s="21" t="s">
        <v>761</v>
      </c>
      <c r="F366" s="21"/>
      <c r="G366" s="27">
        <f>G367</f>
        <v>105</v>
      </c>
      <c r="H366" s="209"/>
    </row>
    <row r="367" spans="1:9" ht="39.75" customHeight="1" x14ac:dyDescent="0.25">
      <c r="A367" s="26" t="s">
        <v>182</v>
      </c>
      <c r="B367" s="17">
        <v>903</v>
      </c>
      <c r="C367" s="21" t="s">
        <v>350</v>
      </c>
      <c r="D367" s="21" t="s">
        <v>201</v>
      </c>
      <c r="E367" s="21" t="s">
        <v>761</v>
      </c>
      <c r="F367" s="21" t="s">
        <v>183</v>
      </c>
      <c r="G367" s="27">
        <f>G368</f>
        <v>105</v>
      </c>
      <c r="H367" s="209"/>
    </row>
    <row r="368" spans="1:9" ht="47.25" x14ac:dyDescent="0.25">
      <c r="A368" s="26" t="s">
        <v>184</v>
      </c>
      <c r="B368" s="17">
        <v>903</v>
      </c>
      <c r="C368" s="21" t="s">
        <v>350</v>
      </c>
      <c r="D368" s="21" t="s">
        <v>201</v>
      </c>
      <c r="E368" s="21" t="s">
        <v>761</v>
      </c>
      <c r="F368" s="21" t="s">
        <v>185</v>
      </c>
      <c r="G368" s="27">
        <f>55+50</f>
        <v>105</v>
      </c>
      <c r="H368" s="132"/>
      <c r="I368" s="152"/>
    </row>
    <row r="369" spans="1:11" ht="63" x14ac:dyDescent="0.25">
      <c r="A369" s="31" t="s">
        <v>801</v>
      </c>
      <c r="B369" s="17">
        <v>903</v>
      </c>
      <c r="C369" s="21" t="s">
        <v>350</v>
      </c>
      <c r="D369" s="21" t="s">
        <v>201</v>
      </c>
      <c r="E369" s="21" t="s">
        <v>799</v>
      </c>
      <c r="F369" s="21"/>
      <c r="G369" s="27">
        <f>G370</f>
        <v>5</v>
      </c>
      <c r="H369" s="209"/>
    </row>
    <row r="370" spans="1:11" ht="31.5" x14ac:dyDescent="0.25">
      <c r="A370" s="26" t="s">
        <v>420</v>
      </c>
      <c r="B370" s="17">
        <v>903</v>
      </c>
      <c r="C370" s="21" t="s">
        <v>350</v>
      </c>
      <c r="D370" s="21" t="s">
        <v>201</v>
      </c>
      <c r="E370" s="21" t="s">
        <v>807</v>
      </c>
      <c r="F370" s="21"/>
      <c r="G370" s="27">
        <f>G371</f>
        <v>5</v>
      </c>
      <c r="H370" s="209"/>
    </row>
    <row r="371" spans="1:11" ht="31.5" x14ac:dyDescent="0.25">
      <c r="A371" s="26" t="s">
        <v>182</v>
      </c>
      <c r="B371" s="17">
        <v>903</v>
      </c>
      <c r="C371" s="21" t="s">
        <v>350</v>
      </c>
      <c r="D371" s="21" t="s">
        <v>201</v>
      </c>
      <c r="E371" s="21" t="s">
        <v>807</v>
      </c>
      <c r="F371" s="21" t="s">
        <v>183</v>
      </c>
      <c r="G371" s="27">
        <f>G372</f>
        <v>5</v>
      </c>
      <c r="H371" s="209"/>
    </row>
    <row r="372" spans="1:11" ht="47.25" x14ac:dyDescent="0.25">
      <c r="A372" s="26" t="s">
        <v>184</v>
      </c>
      <c r="B372" s="17">
        <v>903</v>
      </c>
      <c r="C372" s="21" t="s">
        <v>350</v>
      </c>
      <c r="D372" s="21" t="s">
        <v>201</v>
      </c>
      <c r="E372" s="21" t="s">
        <v>807</v>
      </c>
      <c r="F372" s="21" t="s">
        <v>185</v>
      </c>
      <c r="G372" s="27">
        <v>5</v>
      </c>
      <c r="H372" s="132"/>
      <c r="I372" s="152"/>
    </row>
    <row r="373" spans="1:11" ht="15.75" x14ac:dyDescent="0.25">
      <c r="A373" s="26" t="s">
        <v>172</v>
      </c>
      <c r="B373" s="17">
        <v>903</v>
      </c>
      <c r="C373" s="21" t="s">
        <v>350</v>
      </c>
      <c r="D373" s="21" t="s">
        <v>201</v>
      </c>
      <c r="E373" s="21" t="s">
        <v>173</v>
      </c>
      <c r="F373" s="21"/>
      <c r="G373" s="27">
        <f t="shared" ref="G373" si="54">G374+G380</f>
        <v>17148.8</v>
      </c>
      <c r="H373" s="209"/>
    </row>
    <row r="374" spans="1:11" ht="31.5" x14ac:dyDescent="0.25">
      <c r="A374" s="26" t="s">
        <v>174</v>
      </c>
      <c r="B374" s="17">
        <v>903</v>
      </c>
      <c r="C374" s="21" t="s">
        <v>350</v>
      </c>
      <c r="D374" s="21" t="s">
        <v>201</v>
      </c>
      <c r="E374" s="21" t="s">
        <v>175</v>
      </c>
      <c r="F374" s="21"/>
      <c r="G374" s="27">
        <f>G375</f>
        <v>6754.9</v>
      </c>
      <c r="H374" s="209"/>
    </row>
    <row r="375" spans="1:11" ht="47.25" x14ac:dyDescent="0.25">
      <c r="A375" s="26" t="s">
        <v>176</v>
      </c>
      <c r="B375" s="17">
        <v>903</v>
      </c>
      <c r="C375" s="21" t="s">
        <v>350</v>
      </c>
      <c r="D375" s="21" t="s">
        <v>201</v>
      </c>
      <c r="E375" s="21" t="s">
        <v>177</v>
      </c>
      <c r="F375" s="21"/>
      <c r="G375" s="27">
        <f t="shared" ref="G375" si="55">G376+G378</f>
        <v>6754.9</v>
      </c>
      <c r="H375" s="209"/>
    </row>
    <row r="376" spans="1:11" ht="94.5" x14ac:dyDescent="0.25">
      <c r="A376" s="26" t="s">
        <v>178</v>
      </c>
      <c r="B376" s="17">
        <v>903</v>
      </c>
      <c r="C376" s="21" t="s">
        <v>350</v>
      </c>
      <c r="D376" s="21" t="s">
        <v>201</v>
      </c>
      <c r="E376" s="21" t="s">
        <v>177</v>
      </c>
      <c r="F376" s="21" t="s">
        <v>179</v>
      </c>
      <c r="G376" s="27">
        <f>G377</f>
        <v>6754.9</v>
      </c>
      <c r="H376" s="209"/>
    </row>
    <row r="377" spans="1:11" ht="31.5" x14ac:dyDescent="0.25">
      <c r="A377" s="26" t="s">
        <v>180</v>
      </c>
      <c r="B377" s="17">
        <v>903</v>
      </c>
      <c r="C377" s="21" t="s">
        <v>350</v>
      </c>
      <c r="D377" s="21" t="s">
        <v>201</v>
      </c>
      <c r="E377" s="21" t="s">
        <v>177</v>
      </c>
      <c r="F377" s="21" t="s">
        <v>181</v>
      </c>
      <c r="G377" s="28">
        <v>6754.9</v>
      </c>
      <c r="H377" s="209"/>
    </row>
    <row r="378" spans="1:11" ht="31.5" hidden="1" x14ac:dyDescent="0.25">
      <c r="A378" s="26" t="s">
        <v>182</v>
      </c>
      <c r="B378" s="17">
        <v>903</v>
      </c>
      <c r="C378" s="21" t="s">
        <v>350</v>
      </c>
      <c r="D378" s="21" t="s">
        <v>201</v>
      </c>
      <c r="E378" s="21" t="s">
        <v>177</v>
      </c>
      <c r="F378" s="21" t="s">
        <v>183</v>
      </c>
      <c r="G378" s="27">
        <f t="shared" ref="G378" si="56">G379</f>
        <v>0</v>
      </c>
      <c r="H378" s="209"/>
    </row>
    <row r="379" spans="1:11" ht="47.25" hidden="1" x14ac:dyDescent="0.25">
      <c r="A379" s="26" t="s">
        <v>184</v>
      </c>
      <c r="B379" s="17">
        <v>903</v>
      </c>
      <c r="C379" s="21" t="s">
        <v>350</v>
      </c>
      <c r="D379" s="21" t="s">
        <v>201</v>
      </c>
      <c r="E379" s="21" t="s">
        <v>177</v>
      </c>
      <c r="F379" s="21" t="s">
        <v>185</v>
      </c>
      <c r="G379" s="27"/>
      <c r="H379" s="209"/>
    </row>
    <row r="380" spans="1:11" ht="15.75" x14ac:dyDescent="0.25">
      <c r="A380" s="26" t="s">
        <v>192</v>
      </c>
      <c r="B380" s="17">
        <v>903</v>
      </c>
      <c r="C380" s="21" t="s">
        <v>350</v>
      </c>
      <c r="D380" s="21" t="s">
        <v>201</v>
      </c>
      <c r="E380" s="21" t="s">
        <v>193</v>
      </c>
      <c r="F380" s="21"/>
      <c r="G380" s="27">
        <f>G381</f>
        <v>10393.9</v>
      </c>
      <c r="H380" s="209"/>
    </row>
    <row r="381" spans="1:11" ht="31.5" x14ac:dyDescent="0.25">
      <c r="A381" s="26" t="s">
        <v>391</v>
      </c>
      <c r="B381" s="17">
        <v>903</v>
      </c>
      <c r="C381" s="21" t="s">
        <v>350</v>
      </c>
      <c r="D381" s="21" t="s">
        <v>201</v>
      </c>
      <c r="E381" s="21" t="s">
        <v>392</v>
      </c>
      <c r="F381" s="21"/>
      <c r="G381" s="27">
        <f t="shared" ref="G381" si="57">G382+G384+G386</f>
        <v>10393.9</v>
      </c>
      <c r="H381" s="209"/>
      <c r="J381" s="337"/>
      <c r="K381" s="337"/>
    </row>
    <row r="382" spans="1:11" ht="94.5" x14ac:dyDescent="0.25">
      <c r="A382" s="26" t="s">
        <v>178</v>
      </c>
      <c r="B382" s="17">
        <v>903</v>
      </c>
      <c r="C382" s="21" t="s">
        <v>350</v>
      </c>
      <c r="D382" s="21" t="s">
        <v>201</v>
      </c>
      <c r="E382" s="21" t="s">
        <v>392</v>
      </c>
      <c r="F382" s="21" t="s">
        <v>179</v>
      </c>
      <c r="G382" s="27">
        <f>G383</f>
        <v>8721.4</v>
      </c>
      <c r="H382" s="209"/>
      <c r="J382" s="337"/>
      <c r="K382" s="337"/>
    </row>
    <row r="383" spans="1:11" ht="31.5" x14ac:dyDescent="0.25">
      <c r="A383" s="26" t="s">
        <v>393</v>
      </c>
      <c r="B383" s="17">
        <v>903</v>
      </c>
      <c r="C383" s="21" t="s">
        <v>350</v>
      </c>
      <c r="D383" s="21" t="s">
        <v>201</v>
      </c>
      <c r="E383" s="21" t="s">
        <v>392</v>
      </c>
      <c r="F383" s="21" t="s">
        <v>260</v>
      </c>
      <c r="G383" s="28">
        <f>8596.3-84.9+210</f>
        <v>8721.4</v>
      </c>
      <c r="H383" s="132"/>
      <c r="I383" s="152"/>
      <c r="J383" s="337"/>
      <c r="K383" s="337"/>
    </row>
    <row r="384" spans="1:11" ht="31.5" x14ac:dyDescent="0.25">
      <c r="A384" s="26" t="s">
        <v>182</v>
      </c>
      <c r="B384" s="17">
        <v>903</v>
      </c>
      <c r="C384" s="21" t="s">
        <v>350</v>
      </c>
      <c r="D384" s="21" t="s">
        <v>201</v>
      </c>
      <c r="E384" s="21" t="s">
        <v>392</v>
      </c>
      <c r="F384" s="21" t="s">
        <v>183</v>
      </c>
      <c r="G384" s="27">
        <f>G385</f>
        <v>1652.5</v>
      </c>
      <c r="H384" s="209"/>
      <c r="J384" s="337"/>
      <c r="K384" s="337"/>
    </row>
    <row r="385" spans="1:11" ht="47.25" x14ac:dyDescent="0.25">
      <c r="A385" s="26" t="s">
        <v>184</v>
      </c>
      <c r="B385" s="17">
        <v>903</v>
      </c>
      <c r="C385" s="21" t="s">
        <v>350</v>
      </c>
      <c r="D385" s="21" t="s">
        <v>201</v>
      </c>
      <c r="E385" s="21" t="s">
        <v>392</v>
      </c>
      <c r="F385" s="21" t="s">
        <v>185</v>
      </c>
      <c r="G385" s="28">
        <f>1663.9+135.6-147</f>
        <v>1652.5</v>
      </c>
      <c r="H385" s="132"/>
      <c r="I385" s="153"/>
      <c r="J385" s="337"/>
      <c r="K385" s="337"/>
    </row>
    <row r="386" spans="1:11" ht="15.75" x14ac:dyDescent="0.25">
      <c r="A386" s="26" t="s">
        <v>186</v>
      </c>
      <c r="B386" s="17">
        <v>903</v>
      </c>
      <c r="C386" s="21" t="s">
        <v>350</v>
      </c>
      <c r="D386" s="21" t="s">
        <v>201</v>
      </c>
      <c r="E386" s="21" t="s">
        <v>392</v>
      </c>
      <c r="F386" s="21" t="s">
        <v>196</v>
      </c>
      <c r="G386" s="27">
        <f>G387</f>
        <v>20</v>
      </c>
      <c r="H386" s="209"/>
      <c r="J386" s="337"/>
      <c r="K386" s="337"/>
    </row>
    <row r="387" spans="1:11" ht="15.75" x14ac:dyDescent="0.25">
      <c r="A387" s="26" t="s">
        <v>620</v>
      </c>
      <c r="B387" s="17">
        <v>903</v>
      </c>
      <c r="C387" s="21" t="s">
        <v>350</v>
      </c>
      <c r="D387" s="21" t="s">
        <v>201</v>
      </c>
      <c r="E387" s="21" t="s">
        <v>392</v>
      </c>
      <c r="F387" s="21" t="s">
        <v>189</v>
      </c>
      <c r="G387" s="27">
        <v>20</v>
      </c>
      <c r="H387" s="209"/>
      <c r="J387" s="337"/>
      <c r="K387" s="337"/>
    </row>
    <row r="388" spans="1:11" ht="15.75" x14ac:dyDescent="0.25">
      <c r="A388" s="24" t="s">
        <v>294</v>
      </c>
      <c r="B388" s="20">
        <v>903</v>
      </c>
      <c r="C388" s="25" t="s">
        <v>295</v>
      </c>
      <c r="D388" s="25"/>
      <c r="E388" s="25"/>
      <c r="F388" s="25"/>
      <c r="G388" s="22">
        <f>G389</f>
        <v>4625</v>
      </c>
      <c r="H388" s="209"/>
    </row>
    <row r="389" spans="1:11" ht="15.75" x14ac:dyDescent="0.25">
      <c r="A389" s="24" t="s">
        <v>303</v>
      </c>
      <c r="B389" s="20">
        <v>903</v>
      </c>
      <c r="C389" s="25" t="s">
        <v>295</v>
      </c>
      <c r="D389" s="25" t="s">
        <v>266</v>
      </c>
      <c r="E389" s="25"/>
      <c r="F389" s="25"/>
      <c r="G389" s="22">
        <f t="shared" ref="G389" si="58">G390+G443</f>
        <v>4625</v>
      </c>
      <c r="H389" s="209"/>
    </row>
    <row r="390" spans="1:11" ht="47.25" x14ac:dyDescent="0.25">
      <c r="A390" s="26" t="s">
        <v>394</v>
      </c>
      <c r="B390" s="17">
        <v>903</v>
      </c>
      <c r="C390" s="21" t="s">
        <v>295</v>
      </c>
      <c r="D390" s="21" t="s">
        <v>266</v>
      </c>
      <c r="E390" s="21" t="s">
        <v>395</v>
      </c>
      <c r="F390" s="21"/>
      <c r="G390" s="27">
        <f>G391+G399+G403+G407+G413+G417+G421+G439</f>
        <v>3693</v>
      </c>
      <c r="H390" s="209"/>
    </row>
    <row r="391" spans="1:11" ht="31.5" x14ac:dyDescent="0.25">
      <c r="A391" s="26" t="s">
        <v>396</v>
      </c>
      <c r="B391" s="17">
        <v>903</v>
      </c>
      <c r="C391" s="21" t="s">
        <v>295</v>
      </c>
      <c r="D391" s="21" t="s">
        <v>266</v>
      </c>
      <c r="E391" s="21" t="s">
        <v>397</v>
      </c>
      <c r="F391" s="21"/>
      <c r="G391" s="27">
        <f>G392+G396</f>
        <v>935</v>
      </c>
      <c r="H391" s="209"/>
    </row>
    <row r="392" spans="1:11" ht="31.5" x14ac:dyDescent="0.25">
      <c r="A392" s="26" t="s">
        <v>182</v>
      </c>
      <c r="B392" s="17">
        <v>903</v>
      </c>
      <c r="C392" s="21" t="s">
        <v>295</v>
      </c>
      <c r="D392" s="21" t="s">
        <v>266</v>
      </c>
      <c r="E392" s="21" t="s">
        <v>398</v>
      </c>
      <c r="F392" s="21" t="s">
        <v>183</v>
      </c>
      <c r="G392" s="27">
        <f>G393</f>
        <v>666.4</v>
      </c>
      <c r="H392" s="209"/>
    </row>
    <row r="393" spans="1:11" ht="47.25" x14ac:dyDescent="0.25">
      <c r="A393" s="26" t="s">
        <v>184</v>
      </c>
      <c r="B393" s="17">
        <v>903</v>
      </c>
      <c r="C393" s="21" t="s">
        <v>295</v>
      </c>
      <c r="D393" s="21" t="s">
        <v>266</v>
      </c>
      <c r="E393" s="21" t="s">
        <v>398</v>
      </c>
      <c r="F393" s="21" t="s">
        <v>185</v>
      </c>
      <c r="G393" s="27">
        <f>669.4-3</f>
        <v>666.4</v>
      </c>
      <c r="H393" s="209"/>
    </row>
    <row r="394" spans="1:11" ht="31.5" hidden="1" x14ac:dyDescent="0.25">
      <c r="A394" s="26" t="s">
        <v>299</v>
      </c>
      <c r="B394" s="17">
        <v>903</v>
      </c>
      <c r="C394" s="21" t="s">
        <v>295</v>
      </c>
      <c r="D394" s="21" t="s">
        <v>266</v>
      </c>
      <c r="E394" s="21" t="s">
        <v>398</v>
      </c>
      <c r="F394" s="21" t="s">
        <v>300</v>
      </c>
      <c r="G394" s="27">
        <f t="shared" ref="G394" si="59">G395</f>
        <v>0</v>
      </c>
      <c r="H394" s="209"/>
    </row>
    <row r="395" spans="1:11" ht="31.5" hidden="1" x14ac:dyDescent="0.25">
      <c r="A395" s="26" t="s">
        <v>399</v>
      </c>
      <c r="B395" s="17">
        <v>903</v>
      </c>
      <c r="C395" s="21" t="s">
        <v>295</v>
      </c>
      <c r="D395" s="21" t="s">
        <v>266</v>
      </c>
      <c r="E395" s="21" t="s">
        <v>398</v>
      </c>
      <c r="F395" s="21" t="s">
        <v>400</v>
      </c>
      <c r="G395" s="27">
        <v>0</v>
      </c>
      <c r="H395" s="209"/>
    </row>
    <row r="396" spans="1:11" ht="31.5" x14ac:dyDescent="0.25">
      <c r="A396" s="26" t="s">
        <v>401</v>
      </c>
      <c r="B396" s="17">
        <v>903</v>
      </c>
      <c r="C396" s="21" t="s">
        <v>295</v>
      </c>
      <c r="D396" s="21" t="s">
        <v>266</v>
      </c>
      <c r="E396" s="21" t="s">
        <v>402</v>
      </c>
      <c r="F396" s="21"/>
      <c r="G396" s="27">
        <f>G397</f>
        <v>268.60000000000002</v>
      </c>
      <c r="H396" s="209"/>
    </row>
    <row r="397" spans="1:11" ht="47.25" x14ac:dyDescent="0.25">
      <c r="A397" s="26" t="s">
        <v>323</v>
      </c>
      <c r="B397" s="17">
        <v>903</v>
      </c>
      <c r="C397" s="21" t="s">
        <v>295</v>
      </c>
      <c r="D397" s="21" t="s">
        <v>266</v>
      </c>
      <c r="E397" s="21" t="s">
        <v>402</v>
      </c>
      <c r="F397" s="21" t="s">
        <v>324</v>
      </c>
      <c r="G397" s="27">
        <f>G398</f>
        <v>268.60000000000002</v>
      </c>
      <c r="H397" s="209"/>
    </row>
    <row r="398" spans="1:11" ht="15.75" x14ac:dyDescent="0.25">
      <c r="A398" s="26" t="s">
        <v>325</v>
      </c>
      <c r="B398" s="17">
        <v>903</v>
      </c>
      <c r="C398" s="21" t="s">
        <v>295</v>
      </c>
      <c r="D398" s="21" t="s">
        <v>266</v>
      </c>
      <c r="E398" s="21" t="s">
        <v>402</v>
      </c>
      <c r="F398" s="21" t="s">
        <v>326</v>
      </c>
      <c r="G398" s="27">
        <f>160.5+108.1</f>
        <v>268.60000000000002</v>
      </c>
      <c r="H398" s="132"/>
    </row>
    <row r="399" spans="1:11" ht="31.5" x14ac:dyDescent="0.25">
      <c r="A399" s="26" t="s">
        <v>403</v>
      </c>
      <c r="B399" s="17">
        <v>903</v>
      </c>
      <c r="C399" s="21" t="s">
        <v>295</v>
      </c>
      <c r="D399" s="21" t="s">
        <v>266</v>
      </c>
      <c r="E399" s="21" t="s">
        <v>404</v>
      </c>
      <c r="F399" s="21"/>
      <c r="G399" s="27">
        <f>G400</f>
        <v>63</v>
      </c>
      <c r="H399" s="209"/>
    </row>
    <row r="400" spans="1:11" ht="31.5" x14ac:dyDescent="0.25">
      <c r="A400" s="26" t="s">
        <v>208</v>
      </c>
      <c r="B400" s="17">
        <v>903</v>
      </c>
      <c r="C400" s="21" t="s">
        <v>295</v>
      </c>
      <c r="D400" s="21" t="s">
        <v>266</v>
      </c>
      <c r="E400" s="21" t="s">
        <v>405</v>
      </c>
      <c r="F400" s="21"/>
      <c r="G400" s="27">
        <f>G401</f>
        <v>63</v>
      </c>
      <c r="H400" s="209"/>
    </row>
    <row r="401" spans="1:8" ht="31.5" x14ac:dyDescent="0.25">
      <c r="A401" s="26" t="s">
        <v>299</v>
      </c>
      <c r="B401" s="17">
        <v>903</v>
      </c>
      <c r="C401" s="21" t="s">
        <v>295</v>
      </c>
      <c r="D401" s="21" t="s">
        <v>266</v>
      </c>
      <c r="E401" s="21" t="s">
        <v>405</v>
      </c>
      <c r="F401" s="21" t="s">
        <v>300</v>
      </c>
      <c r="G401" s="27">
        <f>G402</f>
        <v>63</v>
      </c>
      <c r="H401" s="209"/>
    </row>
    <row r="402" spans="1:8" ht="31.5" x14ac:dyDescent="0.25">
      <c r="A402" s="26" t="s">
        <v>301</v>
      </c>
      <c r="B402" s="17">
        <v>903</v>
      </c>
      <c r="C402" s="21" t="s">
        <v>295</v>
      </c>
      <c r="D402" s="21" t="s">
        <v>266</v>
      </c>
      <c r="E402" s="21" t="s">
        <v>405</v>
      </c>
      <c r="F402" s="21" t="s">
        <v>302</v>
      </c>
      <c r="G402" s="27">
        <f>60+3</f>
        <v>63</v>
      </c>
      <c r="H402" s="209"/>
    </row>
    <row r="403" spans="1:8" ht="31.5" x14ac:dyDescent="0.25">
      <c r="A403" s="26" t="s">
        <v>406</v>
      </c>
      <c r="B403" s="17">
        <v>903</v>
      </c>
      <c r="C403" s="17">
        <v>10</v>
      </c>
      <c r="D403" s="21" t="s">
        <v>266</v>
      </c>
      <c r="E403" s="21" t="s">
        <v>407</v>
      </c>
      <c r="F403" s="21"/>
      <c r="G403" s="27">
        <f t="shared" ref="G403:G405" si="60">G404</f>
        <v>420</v>
      </c>
      <c r="H403" s="209"/>
    </row>
    <row r="404" spans="1:8" ht="31.5" x14ac:dyDescent="0.25">
      <c r="A404" s="26" t="s">
        <v>208</v>
      </c>
      <c r="B404" s="17">
        <v>903</v>
      </c>
      <c r="C404" s="21" t="s">
        <v>295</v>
      </c>
      <c r="D404" s="21" t="s">
        <v>266</v>
      </c>
      <c r="E404" s="21" t="s">
        <v>408</v>
      </c>
      <c r="F404" s="21"/>
      <c r="G404" s="27">
        <f>G405</f>
        <v>420</v>
      </c>
      <c r="H404" s="209"/>
    </row>
    <row r="405" spans="1:8" ht="31.5" x14ac:dyDescent="0.25">
      <c r="A405" s="26" t="s">
        <v>299</v>
      </c>
      <c r="B405" s="17">
        <v>903</v>
      </c>
      <c r="C405" s="21" t="s">
        <v>295</v>
      </c>
      <c r="D405" s="21" t="s">
        <v>266</v>
      </c>
      <c r="E405" s="21" t="s">
        <v>408</v>
      </c>
      <c r="F405" s="21" t="s">
        <v>300</v>
      </c>
      <c r="G405" s="27">
        <f t="shared" si="60"/>
        <v>420</v>
      </c>
      <c r="H405" s="209"/>
    </row>
    <row r="406" spans="1:8" ht="31.5" x14ac:dyDescent="0.25">
      <c r="A406" s="26" t="s">
        <v>399</v>
      </c>
      <c r="B406" s="17">
        <v>903</v>
      </c>
      <c r="C406" s="21" t="s">
        <v>295</v>
      </c>
      <c r="D406" s="21" t="s">
        <v>266</v>
      </c>
      <c r="E406" s="21" t="s">
        <v>408</v>
      </c>
      <c r="F406" s="21" t="s">
        <v>400</v>
      </c>
      <c r="G406" s="27">
        <v>420</v>
      </c>
      <c r="H406" s="209"/>
    </row>
    <row r="407" spans="1:8" ht="15.75" x14ac:dyDescent="0.25">
      <c r="A407" s="26" t="s">
        <v>409</v>
      </c>
      <c r="B407" s="17">
        <v>903</v>
      </c>
      <c r="C407" s="17">
        <v>10</v>
      </c>
      <c r="D407" s="21" t="s">
        <v>266</v>
      </c>
      <c r="E407" s="21" t="s">
        <v>410</v>
      </c>
      <c r="F407" s="21"/>
      <c r="G407" s="27">
        <f>G408</f>
        <v>1595</v>
      </c>
      <c r="H407" s="209"/>
    </row>
    <row r="408" spans="1:8" ht="31.5" x14ac:dyDescent="0.25">
      <c r="A408" s="26" t="s">
        <v>208</v>
      </c>
      <c r="B408" s="17">
        <v>903</v>
      </c>
      <c r="C408" s="21" t="s">
        <v>295</v>
      </c>
      <c r="D408" s="21" t="s">
        <v>266</v>
      </c>
      <c r="E408" s="21" t="s">
        <v>411</v>
      </c>
      <c r="F408" s="21"/>
      <c r="G408" s="27">
        <f>G409+G411</f>
        <v>1595</v>
      </c>
      <c r="H408" s="209"/>
    </row>
    <row r="409" spans="1:8" ht="31.5" x14ac:dyDescent="0.25">
      <c r="A409" s="26" t="s">
        <v>182</v>
      </c>
      <c r="B409" s="17">
        <v>903</v>
      </c>
      <c r="C409" s="21" t="s">
        <v>295</v>
      </c>
      <c r="D409" s="21" t="s">
        <v>266</v>
      </c>
      <c r="E409" s="21" t="s">
        <v>411</v>
      </c>
      <c r="F409" s="21" t="s">
        <v>183</v>
      </c>
      <c r="G409" s="27">
        <f>G410</f>
        <v>547</v>
      </c>
      <c r="H409" s="209"/>
    </row>
    <row r="410" spans="1:8" ht="47.25" x14ac:dyDescent="0.25">
      <c r="A410" s="26" t="s">
        <v>184</v>
      </c>
      <c r="B410" s="17">
        <v>903</v>
      </c>
      <c r="C410" s="21" t="s">
        <v>295</v>
      </c>
      <c r="D410" s="21" t="s">
        <v>266</v>
      </c>
      <c r="E410" s="21" t="s">
        <v>411</v>
      </c>
      <c r="F410" s="21" t="s">
        <v>185</v>
      </c>
      <c r="G410" s="193">
        <f>552-50+45</f>
        <v>547</v>
      </c>
      <c r="H410" s="188" t="s">
        <v>842</v>
      </c>
    </row>
    <row r="411" spans="1:8" ht="31.5" x14ac:dyDescent="0.25">
      <c r="A411" s="26" t="s">
        <v>299</v>
      </c>
      <c r="B411" s="17">
        <v>903</v>
      </c>
      <c r="C411" s="21" t="s">
        <v>295</v>
      </c>
      <c r="D411" s="21" t="s">
        <v>266</v>
      </c>
      <c r="E411" s="21" t="s">
        <v>411</v>
      </c>
      <c r="F411" s="21" t="s">
        <v>300</v>
      </c>
      <c r="G411" s="27">
        <f>G412</f>
        <v>1048</v>
      </c>
      <c r="H411" s="209"/>
    </row>
    <row r="412" spans="1:8" ht="31.5" x14ac:dyDescent="0.25">
      <c r="A412" s="26" t="s">
        <v>399</v>
      </c>
      <c r="B412" s="17">
        <v>903</v>
      </c>
      <c r="C412" s="21" t="s">
        <v>295</v>
      </c>
      <c r="D412" s="21" t="s">
        <v>266</v>
      </c>
      <c r="E412" s="21" t="s">
        <v>411</v>
      </c>
      <c r="F412" s="21" t="s">
        <v>400</v>
      </c>
      <c r="G412" s="27">
        <v>1048</v>
      </c>
      <c r="H412" s="209"/>
    </row>
    <row r="413" spans="1:8" ht="47.25" x14ac:dyDescent="0.25">
      <c r="A413" s="26" t="s">
        <v>412</v>
      </c>
      <c r="B413" s="17">
        <v>903</v>
      </c>
      <c r="C413" s="21" t="s">
        <v>295</v>
      </c>
      <c r="D413" s="21" t="s">
        <v>266</v>
      </c>
      <c r="E413" s="21" t="s">
        <v>413</v>
      </c>
      <c r="F413" s="21"/>
      <c r="G413" s="27">
        <f>G414</f>
        <v>335</v>
      </c>
      <c r="H413" s="209"/>
    </row>
    <row r="414" spans="1:8" ht="31.5" x14ac:dyDescent="0.25">
      <c r="A414" s="26" t="s">
        <v>208</v>
      </c>
      <c r="B414" s="17">
        <v>903</v>
      </c>
      <c r="C414" s="21" t="s">
        <v>295</v>
      </c>
      <c r="D414" s="21" t="s">
        <v>266</v>
      </c>
      <c r="E414" s="21" t="s">
        <v>414</v>
      </c>
      <c r="F414" s="21"/>
      <c r="G414" s="27">
        <f>G415</f>
        <v>335</v>
      </c>
      <c r="H414" s="209"/>
    </row>
    <row r="415" spans="1:8" ht="31.5" x14ac:dyDescent="0.25">
      <c r="A415" s="26" t="s">
        <v>299</v>
      </c>
      <c r="B415" s="17">
        <v>903</v>
      </c>
      <c r="C415" s="21" t="s">
        <v>295</v>
      </c>
      <c r="D415" s="21" t="s">
        <v>266</v>
      </c>
      <c r="E415" s="21" t="s">
        <v>414</v>
      </c>
      <c r="F415" s="21" t="s">
        <v>300</v>
      </c>
      <c r="G415" s="27">
        <f>G416</f>
        <v>335</v>
      </c>
      <c r="H415" s="209"/>
    </row>
    <row r="416" spans="1:8" ht="31.5" x14ac:dyDescent="0.25">
      <c r="A416" s="26" t="s">
        <v>399</v>
      </c>
      <c r="B416" s="17">
        <v>903</v>
      </c>
      <c r="C416" s="21" t="s">
        <v>295</v>
      </c>
      <c r="D416" s="21" t="s">
        <v>266</v>
      </c>
      <c r="E416" s="21" t="s">
        <v>414</v>
      </c>
      <c r="F416" s="21" t="s">
        <v>400</v>
      </c>
      <c r="G416" s="27">
        <f>400-65</f>
        <v>335</v>
      </c>
      <c r="H416" s="209"/>
    </row>
    <row r="417" spans="1:8" ht="63" x14ac:dyDescent="0.25">
      <c r="A417" s="26" t="s">
        <v>415</v>
      </c>
      <c r="B417" s="17">
        <v>903</v>
      </c>
      <c r="C417" s="21" t="s">
        <v>295</v>
      </c>
      <c r="D417" s="21" t="s">
        <v>266</v>
      </c>
      <c r="E417" s="21" t="s">
        <v>416</v>
      </c>
      <c r="F417" s="21"/>
      <c r="G417" s="27">
        <f>G418</f>
        <v>210</v>
      </c>
      <c r="H417" s="209"/>
    </row>
    <row r="418" spans="1:8" ht="31.5" x14ac:dyDescent="0.25">
      <c r="A418" s="26" t="s">
        <v>208</v>
      </c>
      <c r="B418" s="17">
        <v>903</v>
      </c>
      <c r="C418" s="21" t="s">
        <v>295</v>
      </c>
      <c r="D418" s="21" t="s">
        <v>266</v>
      </c>
      <c r="E418" s="21" t="s">
        <v>417</v>
      </c>
      <c r="F418" s="21"/>
      <c r="G418" s="27">
        <f>G419</f>
        <v>210</v>
      </c>
      <c r="H418" s="209"/>
    </row>
    <row r="419" spans="1:8" ht="31.5" x14ac:dyDescent="0.25">
      <c r="A419" s="26" t="s">
        <v>182</v>
      </c>
      <c r="B419" s="17">
        <v>903</v>
      </c>
      <c r="C419" s="21" t="s">
        <v>295</v>
      </c>
      <c r="D419" s="21" t="s">
        <v>266</v>
      </c>
      <c r="E419" s="21" t="s">
        <v>417</v>
      </c>
      <c r="F419" s="21" t="s">
        <v>183</v>
      </c>
      <c r="G419" s="27">
        <f>G420</f>
        <v>210</v>
      </c>
      <c r="H419" s="209"/>
    </row>
    <row r="420" spans="1:8" ht="47.25" x14ac:dyDescent="0.25">
      <c r="A420" s="26" t="s">
        <v>184</v>
      </c>
      <c r="B420" s="17">
        <v>903</v>
      </c>
      <c r="C420" s="21" t="s">
        <v>295</v>
      </c>
      <c r="D420" s="21" t="s">
        <v>266</v>
      </c>
      <c r="E420" s="21" t="s">
        <v>417</v>
      </c>
      <c r="F420" s="21" t="s">
        <v>185</v>
      </c>
      <c r="G420" s="27">
        <f>150+60</f>
        <v>210</v>
      </c>
      <c r="H420" s="209"/>
    </row>
    <row r="421" spans="1:8" ht="63" x14ac:dyDescent="0.25">
      <c r="A421" s="26" t="s">
        <v>418</v>
      </c>
      <c r="B421" s="17">
        <v>903</v>
      </c>
      <c r="C421" s="21" t="s">
        <v>295</v>
      </c>
      <c r="D421" s="21" t="s">
        <v>266</v>
      </c>
      <c r="E421" s="21" t="s">
        <v>419</v>
      </c>
      <c r="F421" s="21"/>
      <c r="G421" s="27">
        <f t="shared" ref="G421" si="61">G422+G434+G428+G431</f>
        <v>30</v>
      </c>
      <c r="H421" s="209"/>
    </row>
    <row r="422" spans="1:8" ht="47.25" customHeight="1" x14ac:dyDescent="0.25">
      <c r="A422" s="26" t="s">
        <v>420</v>
      </c>
      <c r="B422" s="17">
        <v>903</v>
      </c>
      <c r="C422" s="21" t="s">
        <v>295</v>
      </c>
      <c r="D422" s="21" t="s">
        <v>266</v>
      </c>
      <c r="E422" s="21" t="s">
        <v>421</v>
      </c>
      <c r="F422" s="21"/>
      <c r="G422" s="27">
        <f>G423</f>
        <v>20</v>
      </c>
      <c r="H422" s="209"/>
    </row>
    <row r="423" spans="1:8" ht="47.25" x14ac:dyDescent="0.25">
      <c r="A423" s="26" t="s">
        <v>323</v>
      </c>
      <c r="B423" s="17">
        <v>903</v>
      </c>
      <c r="C423" s="21" t="s">
        <v>295</v>
      </c>
      <c r="D423" s="21" t="s">
        <v>266</v>
      </c>
      <c r="E423" s="21" t="s">
        <v>421</v>
      </c>
      <c r="F423" s="21" t="s">
        <v>324</v>
      </c>
      <c r="G423" s="27">
        <f t="shared" ref="G423" si="62">G424</f>
        <v>20</v>
      </c>
      <c r="H423" s="209"/>
    </row>
    <row r="424" spans="1:8" ht="63" x14ac:dyDescent="0.25">
      <c r="A424" s="41" t="s">
        <v>422</v>
      </c>
      <c r="B424" s="17">
        <v>903</v>
      </c>
      <c r="C424" s="21" t="s">
        <v>295</v>
      </c>
      <c r="D424" s="21" t="s">
        <v>266</v>
      </c>
      <c r="E424" s="21" t="s">
        <v>421</v>
      </c>
      <c r="F424" s="21" t="s">
        <v>423</v>
      </c>
      <c r="G424" s="27">
        <f>30-10</f>
        <v>20</v>
      </c>
      <c r="H424" s="132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4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4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4"/>
    </row>
    <row r="428" spans="1:8" ht="126" hidden="1" x14ac:dyDescent="0.25">
      <c r="A428" s="26" t="s">
        <v>424</v>
      </c>
      <c r="B428" s="17">
        <v>903</v>
      </c>
      <c r="C428" s="21" t="s">
        <v>295</v>
      </c>
      <c r="D428" s="21" t="s">
        <v>266</v>
      </c>
      <c r="E428" s="21" t="s">
        <v>425</v>
      </c>
      <c r="F428" s="21"/>
      <c r="G428" s="27">
        <f t="shared" ref="G428:G429" si="63">G429</f>
        <v>0</v>
      </c>
      <c r="H428" s="209"/>
    </row>
    <row r="429" spans="1:8" ht="15.75" hidden="1" x14ac:dyDescent="0.25">
      <c r="A429" s="26" t="s">
        <v>186</v>
      </c>
      <c r="B429" s="17">
        <v>903</v>
      </c>
      <c r="C429" s="21" t="s">
        <v>295</v>
      </c>
      <c r="D429" s="21" t="s">
        <v>266</v>
      </c>
      <c r="E429" s="21" t="s">
        <v>425</v>
      </c>
      <c r="F429" s="21" t="s">
        <v>196</v>
      </c>
      <c r="G429" s="27">
        <f t="shared" si="63"/>
        <v>0</v>
      </c>
      <c r="H429" s="209"/>
    </row>
    <row r="430" spans="1:8" ht="63" hidden="1" x14ac:dyDescent="0.25">
      <c r="A430" s="26" t="s">
        <v>235</v>
      </c>
      <c r="B430" s="17">
        <v>903</v>
      </c>
      <c r="C430" s="21" t="s">
        <v>295</v>
      </c>
      <c r="D430" s="21" t="s">
        <v>266</v>
      </c>
      <c r="E430" s="21" t="s">
        <v>425</v>
      </c>
      <c r="F430" s="21" t="s">
        <v>211</v>
      </c>
      <c r="G430" s="27">
        <v>0</v>
      </c>
      <c r="H430" s="209"/>
    </row>
    <row r="431" spans="1:8" ht="63" x14ac:dyDescent="0.25">
      <c r="A431" s="26" t="s">
        <v>426</v>
      </c>
      <c r="B431" s="17">
        <v>903</v>
      </c>
      <c r="C431" s="21" t="s">
        <v>295</v>
      </c>
      <c r="D431" s="21" t="s">
        <v>266</v>
      </c>
      <c r="E431" s="21" t="s">
        <v>427</v>
      </c>
      <c r="F431" s="21"/>
      <c r="G431" s="27">
        <f t="shared" ref="G431:G432" si="64">G432</f>
        <v>10</v>
      </c>
      <c r="H431" s="209"/>
    </row>
    <row r="432" spans="1:8" ht="31.5" x14ac:dyDescent="0.25">
      <c r="A432" s="26" t="s">
        <v>299</v>
      </c>
      <c r="B432" s="17">
        <v>903</v>
      </c>
      <c r="C432" s="21" t="s">
        <v>295</v>
      </c>
      <c r="D432" s="21" t="s">
        <v>266</v>
      </c>
      <c r="E432" s="21" t="s">
        <v>427</v>
      </c>
      <c r="F432" s="21" t="s">
        <v>300</v>
      </c>
      <c r="G432" s="27">
        <f t="shared" si="64"/>
        <v>10</v>
      </c>
      <c r="H432" s="209"/>
    </row>
    <row r="433" spans="1:10" ht="31.5" x14ac:dyDescent="0.25">
      <c r="A433" s="26" t="s">
        <v>301</v>
      </c>
      <c r="B433" s="17">
        <v>903</v>
      </c>
      <c r="C433" s="21" t="s">
        <v>295</v>
      </c>
      <c r="D433" s="21" t="s">
        <v>266</v>
      </c>
      <c r="E433" s="21" t="s">
        <v>427</v>
      </c>
      <c r="F433" s="21" t="s">
        <v>302</v>
      </c>
      <c r="G433" s="27">
        <v>10</v>
      </c>
      <c r="H433" s="132"/>
    </row>
    <row r="434" spans="1:10" ht="31.5" hidden="1" x14ac:dyDescent="0.25">
      <c r="A434" s="26" t="s">
        <v>428</v>
      </c>
      <c r="B434" s="17">
        <v>903</v>
      </c>
      <c r="C434" s="21" t="s">
        <v>295</v>
      </c>
      <c r="D434" s="21" t="s">
        <v>266</v>
      </c>
      <c r="E434" s="21" t="s">
        <v>429</v>
      </c>
      <c r="F434" s="21"/>
      <c r="G434" s="27">
        <f t="shared" ref="G434" si="65">G435+G437</f>
        <v>0</v>
      </c>
      <c r="H434" s="209"/>
    </row>
    <row r="435" spans="1:10" ht="31.5" hidden="1" x14ac:dyDescent="0.25">
      <c r="A435" s="26" t="s">
        <v>182</v>
      </c>
      <c r="B435" s="17">
        <v>903</v>
      </c>
      <c r="C435" s="21" t="s">
        <v>295</v>
      </c>
      <c r="D435" s="21" t="s">
        <v>266</v>
      </c>
      <c r="E435" s="21" t="s">
        <v>429</v>
      </c>
      <c r="F435" s="21" t="s">
        <v>183</v>
      </c>
      <c r="G435" s="27">
        <f t="shared" ref="G435" si="66">G436</f>
        <v>0</v>
      </c>
      <c r="H435" s="209"/>
    </row>
    <row r="436" spans="1:10" ht="47.25" hidden="1" x14ac:dyDescent="0.25">
      <c r="A436" s="26" t="s">
        <v>184</v>
      </c>
      <c r="B436" s="17">
        <v>903</v>
      </c>
      <c r="C436" s="21" t="s">
        <v>295</v>
      </c>
      <c r="D436" s="21" t="s">
        <v>266</v>
      </c>
      <c r="E436" s="21" t="s">
        <v>429</v>
      </c>
      <c r="F436" s="21" t="s">
        <v>185</v>
      </c>
      <c r="G436" s="27">
        <v>0</v>
      </c>
      <c r="H436" s="209"/>
    </row>
    <row r="437" spans="1:10" ht="15.75" hidden="1" x14ac:dyDescent="0.25">
      <c r="A437" s="26" t="s">
        <v>186</v>
      </c>
      <c r="B437" s="17">
        <v>903</v>
      </c>
      <c r="C437" s="21" t="s">
        <v>295</v>
      </c>
      <c r="D437" s="21" t="s">
        <v>266</v>
      </c>
      <c r="E437" s="21" t="s">
        <v>430</v>
      </c>
      <c r="F437" s="21" t="s">
        <v>196</v>
      </c>
      <c r="G437" s="27">
        <f t="shared" ref="G437" si="67">G438</f>
        <v>0</v>
      </c>
      <c r="H437" s="209"/>
    </row>
    <row r="438" spans="1:10" ht="63" hidden="1" x14ac:dyDescent="0.25">
      <c r="A438" s="26" t="s">
        <v>235</v>
      </c>
      <c r="B438" s="17">
        <v>903</v>
      </c>
      <c r="C438" s="21" t="s">
        <v>295</v>
      </c>
      <c r="D438" s="21" t="s">
        <v>266</v>
      </c>
      <c r="E438" s="21" t="s">
        <v>430</v>
      </c>
      <c r="F438" s="21" t="s">
        <v>211</v>
      </c>
      <c r="G438" s="27">
        <v>0</v>
      </c>
      <c r="H438" s="209"/>
    </row>
    <row r="439" spans="1:10" ht="94.5" x14ac:dyDescent="0.25">
      <c r="A439" s="31" t="s">
        <v>431</v>
      </c>
      <c r="B439" s="17">
        <v>903</v>
      </c>
      <c r="C439" s="42" t="s">
        <v>295</v>
      </c>
      <c r="D439" s="42" t="s">
        <v>266</v>
      </c>
      <c r="E439" s="42" t="s">
        <v>432</v>
      </c>
      <c r="F439" s="42"/>
      <c r="G439" s="27">
        <f>G440</f>
        <v>105</v>
      </c>
      <c r="H439" s="209"/>
    </row>
    <row r="440" spans="1:10" ht="31.5" x14ac:dyDescent="0.25">
      <c r="A440" s="31" t="s">
        <v>208</v>
      </c>
      <c r="B440" s="17">
        <v>903</v>
      </c>
      <c r="C440" s="42" t="s">
        <v>295</v>
      </c>
      <c r="D440" s="42" t="s">
        <v>266</v>
      </c>
      <c r="E440" s="42" t="s">
        <v>433</v>
      </c>
      <c r="F440" s="42"/>
      <c r="G440" s="27">
        <f>G441</f>
        <v>105</v>
      </c>
      <c r="H440" s="209"/>
    </row>
    <row r="441" spans="1:10" ht="31.5" x14ac:dyDescent="0.25">
      <c r="A441" s="31" t="s">
        <v>182</v>
      </c>
      <c r="B441" s="17">
        <v>903</v>
      </c>
      <c r="C441" s="42" t="s">
        <v>295</v>
      </c>
      <c r="D441" s="42" t="s">
        <v>266</v>
      </c>
      <c r="E441" s="42" t="s">
        <v>433</v>
      </c>
      <c r="F441" s="42" t="s">
        <v>183</v>
      </c>
      <c r="G441" s="27">
        <f>G442</f>
        <v>105</v>
      </c>
      <c r="H441" s="209"/>
    </row>
    <row r="442" spans="1:10" ht="47.25" x14ac:dyDescent="0.25">
      <c r="A442" s="31" t="s">
        <v>184</v>
      </c>
      <c r="B442" s="17">
        <v>903</v>
      </c>
      <c r="C442" s="42" t="s">
        <v>295</v>
      </c>
      <c r="D442" s="42" t="s">
        <v>266</v>
      </c>
      <c r="E442" s="42" t="s">
        <v>433</v>
      </c>
      <c r="F442" s="42" t="s">
        <v>185</v>
      </c>
      <c r="G442" s="27">
        <f>50+55</f>
        <v>105</v>
      </c>
      <c r="H442" s="209"/>
    </row>
    <row r="443" spans="1:10" ht="15.75" x14ac:dyDescent="0.25">
      <c r="A443" s="26" t="s">
        <v>172</v>
      </c>
      <c r="B443" s="17">
        <v>903</v>
      </c>
      <c r="C443" s="21" t="s">
        <v>295</v>
      </c>
      <c r="D443" s="21" t="s">
        <v>266</v>
      </c>
      <c r="E443" s="21" t="s">
        <v>173</v>
      </c>
      <c r="F443" s="21"/>
      <c r="G443" s="27">
        <f>G444+G455</f>
        <v>932</v>
      </c>
      <c r="H443" s="209"/>
    </row>
    <row r="444" spans="1:10" ht="31.5" x14ac:dyDescent="0.25">
      <c r="A444" s="26" t="s">
        <v>236</v>
      </c>
      <c r="B444" s="17">
        <v>903</v>
      </c>
      <c r="C444" s="21" t="s">
        <v>295</v>
      </c>
      <c r="D444" s="21" t="s">
        <v>266</v>
      </c>
      <c r="E444" s="21" t="s">
        <v>237</v>
      </c>
      <c r="F444" s="21"/>
      <c r="G444" s="27">
        <f>G451+G445+G448</f>
        <v>932</v>
      </c>
      <c r="H444" s="209"/>
    </row>
    <row r="445" spans="1:10" ht="15.75" x14ac:dyDescent="0.25">
      <c r="A445" s="26" t="s">
        <v>434</v>
      </c>
      <c r="B445" s="17">
        <v>903</v>
      </c>
      <c r="C445" s="21" t="s">
        <v>295</v>
      </c>
      <c r="D445" s="21" t="s">
        <v>266</v>
      </c>
      <c r="E445" s="21" t="s">
        <v>435</v>
      </c>
      <c r="F445" s="21"/>
      <c r="G445" s="27">
        <f t="shared" ref="G445:G446" si="68">G446</f>
        <v>372.6</v>
      </c>
      <c r="H445" s="209"/>
    </row>
    <row r="446" spans="1:10" ht="31.5" x14ac:dyDescent="0.25">
      <c r="A446" s="26" t="s">
        <v>299</v>
      </c>
      <c r="B446" s="17">
        <v>903</v>
      </c>
      <c r="C446" s="21" t="s">
        <v>295</v>
      </c>
      <c r="D446" s="21" t="s">
        <v>266</v>
      </c>
      <c r="E446" s="21" t="s">
        <v>435</v>
      </c>
      <c r="F446" s="21" t="s">
        <v>300</v>
      </c>
      <c r="G446" s="27">
        <f t="shared" si="68"/>
        <v>372.6</v>
      </c>
      <c r="H446" s="209"/>
    </row>
    <row r="447" spans="1:10" ht="31.5" x14ac:dyDescent="0.25">
      <c r="A447" s="26" t="s">
        <v>301</v>
      </c>
      <c r="B447" s="17">
        <v>903</v>
      </c>
      <c r="C447" s="21" t="s">
        <v>295</v>
      </c>
      <c r="D447" s="21" t="s">
        <v>266</v>
      </c>
      <c r="E447" s="21" t="s">
        <v>435</v>
      </c>
      <c r="F447" s="21" t="s">
        <v>302</v>
      </c>
      <c r="G447" s="27">
        <v>372.6</v>
      </c>
      <c r="H447" s="132"/>
      <c r="I447" s="152"/>
    </row>
    <row r="448" spans="1:10" ht="63" x14ac:dyDescent="0.25">
      <c r="A448" s="26" t="s">
        <v>426</v>
      </c>
      <c r="B448" s="17">
        <v>903</v>
      </c>
      <c r="C448" s="21" t="s">
        <v>295</v>
      </c>
      <c r="D448" s="21" t="s">
        <v>266</v>
      </c>
      <c r="E448" s="21" t="s">
        <v>436</v>
      </c>
      <c r="F448" s="21"/>
      <c r="G448" s="27">
        <f t="shared" ref="G448:G449" si="69">G449</f>
        <v>500</v>
      </c>
      <c r="H448" s="209"/>
      <c r="J448" s="135"/>
    </row>
    <row r="449" spans="1:10" ht="31.5" x14ac:dyDescent="0.25">
      <c r="A449" s="26" t="s">
        <v>299</v>
      </c>
      <c r="B449" s="17">
        <v>903</v>
      </c>
      <c r="C449" s="21" t="s">
        <v>295</v>
      </c>
      <c r="D449" s="21" t="s">
        <v>266</v>
      </c>
      <c r="E449" s="21" t="s">
        <v>436</v>
      </c>
      <c r="F449" s="21" t="s">
        <v>300</v>
      </c>
      <c r="G449" s="27">
        <f t="shared" si="69"/>
        <v>500</v>
      </c>
      <c r="H449" s="209"/>
      <c r="J449" s="135"/>
    </row>
    <row r="450" spans="1:10" ht="31.5" x14ac:dyDescent="0.25">
      <c r="A450" s="26" t="s">
        <v>301</v>
      </c>
      <c r="B450" s="17">
        <v>903</v>
      </c>
      <c r="C450" s="21" t="s">
        <v>295</v>
      </c>
      <c r="D450" s="21" t="s">
        <v>266</v>
      </c>
      <c r="E450" s="21" t="s">
        <v>436</v>
      </c>
      <c r="F450" s="21" t="s">
        <v>302</v>
      </c>
      <c r="G450" s="27">
        <v>500</v>
      </c>
      <c r="H450" s="132"/>
      <c r="J450" s="135"/>
    </row>
    <row r="451" spans="1:10" ht="54" customHeight="1" x14ac:dyDescent="0.25">
      <c r="A451" s="195" t="s">
        <v>830</v>
      </c>
      <c r="B451" s="17">
        <v>903</v>
      </c>
      <c r="C451" s="21" t="s">
        <v>295</v>
      </c>
      <c r="D451" s="21" t="s">
        <v>266</v>
      </c>
      <c r="E451" s="21" t="s">
        <v>438</v>
      </c>
      <c r="F451" s="21"/>
      <c r="G451" s="27">
        <f t="shared" ref="G451" si="70">G452</f>
        <v>59.4</v>
      </c>
      <c r="H451" s="209"/>
      <c r="J451" s="135"/>
    </row>
    <row r="452" spans="1:10" ht="31.5" x14ac:dyDescent="0.25">
      <c r="A452" s="26" t="s">
        <v>299</v>
      </c>
      <c r="B452" s="17">
        <v>903</v>
      </c>
      <c r="C452" s="21" t="s">
        <v>295</v>
      </c>
      <c r="D452" s="21" t="s">
        <v>266</v>
      </c>
      <c r="E452" s="21" t="s">
        <v>438</v>
      </c>
      <c r="F452" s="21" t="s">
        <v>300</v>
      </c>
      <c r="G452" s="27">
        <f t="shared" ref="G452" si="71">G453+G454</f>
        <v>59.4</v>
      </c>
      <c r="H452" s="209"/>
      <c r="J452" s="135"/>
    </row>
    <row r="453" spans="1:10" ht="31.5" x14ac:dyDescent="0.25">
      <c r="A453" s="26" t="s">
        <v>399</v>
      </c>
      <c r="B453" s="17">
        <v>903</v>
      </c>
      <c r="C453" s="21" t="s">
        <v>295</v>
      </c>
      <c r="D453" s="21" t="s">
        <v>266</v>
      </c>
      <c r="E453" s="21" t="s">
        <v>438</v>
      </c>
      <c r="F453" s="21" t="s">
        <v>400</v>
      </c>
      <c r="G453" s="193">
        <v>59.4</v>
      </c>
      <c r="H453" s="188" t="s">
        <v>820</v>
      </c>
      <c r="J453" s="135"/>
    </row>
    <row r="454" spans="1:10" ht="31.5" x14ac:dyDescent="0.25">
      <c r="A454" s="26" t="s">
        <v>301</v>
      </c>
      <c r="B454" s="17">
        <v>903</v>
      </c>
      <c r="C454" s="21" t="s">
        <v>295</v>
      </c>
      <c r="D454" s="21" t="s">
        <v>266</v>
      </c>
      <c r="E454" s="21" t="s">
        <v>438</v>
      </c>
      <c r="F454" s="21" t="s">
        <v>302</v>
      </c>
      <c r="G454" s="27"/>
      <c r="H454" s="209"/>
    </row>
    <row r="455" spans="1:10" ht="15.75" x14ac:dyDescent="0.25">
      <c r="A455" s="26" t="s">
        <v>192</v>
      </c>
      <c r="B455" s="17">
        <v>903</v>
      </c>
      <c r="C455" s="21" t="s">
        <v>295</v>
      </c>
      <c r="D455" s="21" t="s">
        <v>266</v>
      </c>
      <c r="E455" s="21" t="s">
        <v>193</v>
      </c>
      <c r="F455" s="21"/>
      <c r="G455" s="27">
        <f t="shared" ref="G455:G457" si="72">G456</f>
        <v>0</v>
      </c>
      <c r="H455" s="209"/>
    </row>
    <row r="456" spans="1:10" ht="15.75" x14ac:dyDescent="0.25">
      <c r="A456" s="26" t="s">
        <v>252</v>
      </c>
      <c r="B456" s="17">
        <v>903</v>
      </c>
      <c r="C456" s="21" t="s">
        <v>295</v>
      </c>
      <c r="D456" s="21" t="s">
        <v>266</v>
      </c>
      <c r="E456" s="21" t="s">
        <v>253</v>
      </c>
      <c r="F456" s="21"/>
      <c r="G456" s="27">
        <f t="shared" si="72"/>
        <v>0</v>
      </c>
      <c r="H456" s="209"/>
    </row>
    <row r="457" spans="1:10" ht="31.5" x14ac:dyDescent="0.25">
      <c r="A457" s="26" t="s">
        <v>299</v>
      </c>
      <c r="B457" s="17">
        <v>903</v>
      </c>
      <c r="C457" s="21" t="s">
        <v>295</v>
      </c>
      <c r="D457" s="21" t="s">
        <v>266</v>
      </c>
      <c r="E457" s="21" t="s">
        <v>253</v>
      </c>
      <c r="F457" s="21" t="s">
        <v>300</v>
      </c>
      <c r="G457" s="27">
        <f t="shared" si="72"/>
        <v>0</v>
      </c>
      <c r="H457" s="209"/>
    </row>
    <row r="458" spans="1:10" ht="31.5" x14ac:dyDescent="0.25">
      <c r="A458" s="26" t="s">
        <v>399</v>
      </c>
      <c r="B458" s="17">
        <v>903</v>
      </c>
      <c r="C458" s="21" t="s">
        <v>295</v>
      </c>
      <c r="D458" s="21" t="s">
        <v>266</v>
      </c>
      <c r="E458" s="21" t="s">
        <v>253</v>
      </c>
      <c r="F458" s="21" t="s">
        <v>400</v>
      </c>
      <c r="G458" s="27">
        <v>0</v>
      </c>
      <c r="H458" s="209"/>
    </row>
    <row r="459" spans="1:10" ht="47.25" x14ac:dyDescent="0.25">
      <c r="A459" s="20" t="s">
        <v>439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09"/>
    </row>
    <row r="460" spans="1:10" ht="15.75" x14ac:dyDescent="0.25">
      <c r="A460" s="24" t="s">
        <v>168</v>
      </c>
      <c r="B460" s="20">
        <v>905</v>
      </c>
      <c r="C460" s="25" t="s">
        <v>169</v>
      </c>
      <c r="D460" s="21"/>
      <c r="E460" s="21"/>
      <c r="F460" s="21"/>
      <c r="G460" s="22">
        <f>G461+G471</f>
        <v>14701.94</v>
      </c>
      <c r="H460" s="209"/>
    </row>
    <row r="461" spans="1:10" ht="78.75" x14ac:dyDescent="0.25">
      <c r="A461" s="24" t="s">
        <v>200</v>
      </c>
      <c r="B461" s="20">
        <v>905</v>
      </c>
      <c r="C461" s="25" t="s">
        <v>169</v>
      </c>
      <c r="D461" s="25" t="s">
        <v>201</v>
      </c>
      <c r="E461" s="25"/>
      <c r="F461" s="25"/>
      <c r="G461" s="22">
        <f t="shared" ref="G461:G463" si="73">G462</f>
        <v>11089</v>
      </c>
      <c r="H461" s="209"/>
    </row>
    <row r="462" spans="1:10" ht="15.75" x14ac:dyDescent="0.25">
      <c r="A462" s="26" t="s">
        <v>172</v>
      </c>
      <c r="B462" s="17">
        <v>905</v>
      </c>
      <c r="C462" s="21" t="s">
        <v>169</v>
      </c>
      <c r="D462" s="21" t="s">
        <v>201</v>
      </c>
      <c r="E462" s="21" t="s">
        <v>173</v>
      </c>
      <c r="F462" s="21"/>
      <c r="G462" s="27">
        <f>G463</f>
        <v>11089</v>
      </c>
      <c r="H462" s="209"/>
    </row>
    <row r="463" spans="1:10" ht="31.5" x14ac:dyDescent="0.25">
      <c r="A463" s="26" t="s">
        <v>174</v>
      </c>
      <c r="B463" s="17">
        <v>905</v>
      </c>
      <c r="C463" s="21" t="s">
        <v>169</v>
      </c>
      <c r="D463" s="21" t="s">
        <v>201</v>
      </c>
      <c r="E463" s="21" t="s">
        <v>175</v>
      </c>
      <c r="F463" s="21"/>
      <c r="G463" s="27">
        <f t="shared" si="73"/>
        <v>11089</v>
      </c>
      <c r="H463" s="209"/>
    </row>
    <row r="464" spans="1:10" ht="47.25" x14ac:dyDescent="0.25">
      <c r="A464" s="26" t="s">
        <v>176</v>
      </c>
      <c r="B464" s="17">
        <v>905</v>
      </c>
      <c r="C464" s="21" t="s">
        <v>169</v>
      </c>
      <c r="D464" s="21" t="s">
        <v>201</v>
      </c>
      <c r="E464" s="21" t="s">
        <v>177</v>
      </c>
      <c r="F464" s="21"/>
      <c r="G464" s="27">
        <f>G465+G467+G469</f>
        <v>11089</v>
      </c>
      <c r="H464" s="209"/>
    </row>
    <row r="465" spans="1:9" ht="94.5" x14ac:dyDescent="0.25">
      <c r="A465" s="26" t="s">
        <v>178</v>
      </c>
      <c r="B465" s="17">
        <v>905</v>
      </c>
      <c r="C465" s="21" t="s">
        <v>169</v>
      </c>
      <c r="D465" s="21" t="s">
        <v>201</v>
      </c>
      <c r="E465" s="21" t="s">
        <v>177</v>
      </c>
      <c r="F465" s="21" t="s">
        <v>179</v>
      </c>
      <c r="G465" s="27">
        <f t="shared" ref="G465" si="74">G466</f>
        <v>10200.700000000001</v>
      </c>
      <c r="H465" s="209"/>
    </row>
    <row r="466" spans="1:9" ht="31.5" x14ac:dyDescent="0.25">
      <c r="A466" s="26" t="s">
        <v>180</v>
      </c>
      <c r="B466" s="17">
        <v>905</v>
      </c>
      <c r="C466" s="21" t="s">
        <v>169</v>
      </c>
      <c r="D466" s="21" t="s">
        <v>201</v>
      </c>
      <c r="E466" s="21" t="s">
        <v>177</v>
      </c>
      <c r="F466" s="21" t="s">
        <v>181</v>
      </c>
      <c r="G466" s="28">
        <v>10200.700000000001</v>
      </c>
      <c r="H466" s="209"/>
    </row>
    <row r="467" spans="1:9" ht="31.5" x14ac:dyDescent="0.25">
      <c r="A467" s="26" t="s">
        <v>182</v>
      </c>
      <c r="B467" s="17">
        <v>905</v>
      </c>
      <c r="C467" s="21" t="s">
        <v>169</v>
      </c>
      <c r="D467" s="21" t="s">
        <v>201</v>
      </c>
      <c r="E467" s="21" t="s">
        <v>177</v>
      </c>
      <c r="F467" s="21" t="s">
        <v>183</v>
      </c>
      <c r="G467" s="27">
        <f t="shared" ref="G467" si="75">G468</f>
        <v>811.8</v>
      </c>
      <c r="H467" s="209"/>
    </row>
    <row r="468" spans="1:9" ht="47.25" x14ac:dyDescent="0.25">
      <c r="A468" s="26" t="s">
        <v>184</v>
      </c>
      <c r="B468" s="17">
        <v>905</v>
      </c>
      <c r="C468" s="21" t="s">
        <v>169</v>
      </c>
      <c r="D468" s="21" t="s">
        <v>201</v>
      </c>
      <c r="E468" s="21" t="s">
        <v>177</v>
      </c>
      <c r="F468" s="21" t="s">
        <v>185</v>
      </c>
      <c r="G468" s="187">
        <f>885.8-74</f>
        <v>811.8</v>
      </c>
      <c r="H468" s="188" t="s">
        <v>815</v>
      </c>
    </row>
    <row r="469" spans="1:9" ht="15.75" x14ac:dyDescent="0.25">
      <c r="A469" s="26" t="s">
        <v>186</v>
      </c>
      <c r="B469" s="17">
        <v>905</v>
      </c>
      <c r="C469" s="21" t="s">
        <v>169</v>
      </c>
      <c r="D469" s="21" t="s">
        <v>201</v>
      </c>
      <c r="E469" s="21" t="s">
        <v>177</v>
      </c>
      <c r="F469" s="21" t="s">
        <v>196</v>
      </c>
      <c r="G469" s="27">
        <f t="shared" ref="G469" si="76">G470</f>
        <v>76.5</v>
      </c>
      <c r="H469" s="209"/>
    </row>
    <row r="470" spans="1:9" ht="15.75" x14ac:dyDescent="0.25">
      <c r="A470" s="26" t="s">
        <v>620</v>
      </c>
      <c r="B470" s="17">
        <v>905</v>
      </c>
      <c r="C470" s="21" t="s">
        <v>169</v>
      </c>
      <c r="D470" s="21" t="s">
        <v>201</v>
      </c>
      <c r="E470" s="21" t="s">
        <v>177</v>
      </c>
      <c r="F470" s="21" t="s">
        <v>189</v>
      </c>
      <c r="G470" s="189">
        <f>2.5+74</f>
        <v>76.5</v>
      </c>
      <c r="H470" s="188" t="s">
        <v>816</v>
      </c>
    </row>
    <row r="471" spans="1:9" ht="15.75" x14ac:dyDescent="0.25">
      <c r="A471" s="24" t="s">
        <v>190</v>
      </c>
      <c r="B471" s="20">
        <v>905</v>
      </c>
      <c r="C471" s="25" t="s">
        <v>169</v>
      </c>
      <c r="D471" s="25" t="s">
        <v>191</v>
      </c>
      <c r="E471" s="25"/>
      <c r="F471" s="25"/>
      <c r="G471" s="22">
        <f t="shared" ref="G471:G475" si="77">G472</f>
        <v>3612.94</v>
      </c>
      <c r="H471" s="209"/>
    </row>
    <row r="472" spans="1:9" ht="15.75" x14ac:dyDescent="0.25">
      <c r="A472" s="26" t="s">
        <v>172</v>
      </c>
      <c r="B472" s="17">
        <v>905</v>
      </c>
      <c r="C472" s="21" t="s">
        <v>169</v>
      </c>
      <c r="D472" s="21" t="s">
        <v>191</v>
      </c>
      <c r="E472" s="21" t="s">
        <v>173</v>
      </c>
      <c r="F472" s="21"/>
      <c r="G472" s="27">
        <f>G473</f>
        <v>3612.94</v>
      </c>
      <c r="H472" s="209"/>
    </row>
    <row r="473" spans="1:9" ht="15.75" x14ac:dyDescent="0.25">
      <c r="A473" s="26" t="s">
        <v>192</v>
      </c>
      <c r="B473" s="17">
        <v>905</v>
      </c>
      <c r="C473" s="21" t="s">
        <v>169</v>
      </c>
      <c r="D473" s="21" t="s">
        <v>191</v>
      </c>
      <c r="E473" s="21" t="s">
        <v>193</v>
      </c>
      <c r="F473" s="21"/>
      <c r="G473" s="27">
        <f t="shared" si="77"/>
        <v>3612.94</v>
      </c>
      <c r="H473" s="209"/>
    </row>
    <row r="474" spans="1:9" ht="47.25" x14ac:dyDescent="0.25">
      <c r="A474" s="26" t="s">
        <v>440</v>
      </c>
      <c r="B474" s="17">
        <v>905</v>
      </c>
      <c r="C474" s="21" t="s">
        <v>169</v>
      </c>
      <c r="D474" s="21" t="s">
        <v>191</v>
      </c>
      <c r="E474" s="21" t="s">
        <v>441</v>
      </c>
      <c r="F474" s="21"/>
      <c r="G474" s="27">
        <f>G475</f>
        <v>3612.94</v>
      </c>
      <c r="H474" s="209"/>
    </row>
    <row r="475" spans="1:9" ht="31.5" x14ac:dyDescent="0.25">
      <c r="A475" s="26" t="s">
        <v>182</v>
      </c>
      <c r="B475" s="17">
        <v>905</v>
      </c>
      <c r="C475" s="21" t="s">
        <v>169</v>
      </c>
      <c r="D475" s="21" t="s">
        <v>191</v>
      </c>
      <c r="E475" s="21" t="s">
        <v>441</v>
      </c>
      <c r="F475" s="21" t="s">
        <v>183</v>
      </c>
      <c r="G475" s="27">
        <f t="shared" si="77"/>
        <v>3612.94</v>
      </c>
      <c r="H475" s="209"/>
    </row>
    <row r="476" spans="1:9" ht="47.25" x14ac:dyDescent="0.25">
      <c r="A476" s="26" t="s">
        <v>184</v>
      </c>
      <c r="B476" s="17">
        <v>905</v>
      </c>
      <c r="C476" s="21" t="s">
        <v>169</v>
      </c>
      <c r="D476" s="21" t="s">
        <v>191</v>
      </c>
      <c r="E476" s="21" t="s">
        <v>441</v>
      </c>
      <c r="F476" s="21" t="s">
        <v>185</v>
      </c>
      <c r="G476" s="193">
        <f>1961.14+1251.8+400</f>
        <v>3612.94</v>
      </c>
      <c r="H476" s="132" t="s">
        <v>833</v>
      </c>
      <c r="I476" s="152"/>
    </row>
    <row r="477" spans="1:9" ht="15.75" x14ac:dyDescent="0.25">
      <c r="A477" s="43" t="s">
        <v>442</v>
      </c>
      <c r="B477" s="20">
        <v>905</v>
      </c>
      <c r="C477" s="25" t="s">
        <v>285</v>
      </c>
      <c r="D477" s="25"/>
      <c r="E477" s="25"/>
      <c r="F477" s="25"/>
      <c r="G477" s="22">
        <f t="shared" ref="G477" si="78">G478</f>
        <v>1099.8</v>
      </c>
      <c r="H477" s="209"/>
    </row>
    <row r="478" spans="1:9" ht="15.75" x14ac:dyDescent="0.25">
      <c r="A478" s="43" t="s">
        <v>443</v>
      </c>
      <c r="B478" s="20">
        <v>905</v>
      </c>
      <c r="C478" s="25" t="s">
        <v>285</v>
      </c>
      <c r="D478" s="25" t="s">
        <v>169</v>
      </c>
      <c r="E478" s="25"/>
      <c r="F478" s="25"/>
      <c r="G478" s="27">
        <f>G479</f>
        <v>1099.8</v>
      </c>
      <c r="H478" s="209"/>
    </row>
    <row r="479" spans="1:9" ht="15.75" x14ac:dyDescent="0.25">
      <c r="A479" s="31" t="s">
        <v>172</v>
      </c>
      <c r="B479" s="17">
        <v>905</v>
      </c>
      <c r="C479" s="21" t="s">
        <v>285</v>
      </c>
      <c r="D479" s="21" t="s">
        <v>169</v>
      </c>
      <c r="E479" s="21" t="s">
        <v>173</v>
      </c>
      <c r="F479" s="21"/>
      <c r="G479" s="27">
        <f t="shared" ref="G479" si="79">G485+G480</f>
        <v>1099.8</v>
      </c>
      <c r="H479" s="209"/>
    </row>
    <row r="480" spans="1:9" ht="31.5" hidden="1" x14ac:dyDescent="0.25">
      <c r="A480" s="26" t="s">
        <v>236</v>
      </c>
      <c r="B480" s="39">
        <v>905</v>
      </c>
      <c r="C480" s="21" t="s">
        <v>285</v>
      </c>
      <c r="D480" s="21" t="s">
        <v>169</v>
      </c>
      <c r="E480" s="21" t="s">
        <v>237</v>
      </c>
      <c r="F480" s="21"/>
      <c r="G480" s="27">
        <f t="shared" ref="G480:G483" si="80">G481</f>
        <v>0</v>
      </c>
      <c r="H480" s="209"/>
    </row>
    <row r="481" spans="1:9" ht="47.25" hidden="1" x14ac:dyDescent="0.25">
      <c r="A481" s="38" t="s">
        <v>444</v>
      </c>
      <c r="B481" s="39">
        <v>905</v>
      </c>
      <c r="C481" s="21" t="s">
        <v>285</v>
      </c>
      <c r="D481" s="21" t="s">
        <v>169</v>
      </c>
      <c r="E481" s="21" t="s">
        <v>445</v>
      </c>
      <c r="F481" s="21"/>
      <c r="G481" s="27">
        <f t="shared" si="80"/>
        <v>0</v>
      </c>
      <c r="H481" s="209"/>
    </row>
    <row r="482" spans="1:9" ht="31.5" hidden="1" x14ac:dyDescent="0.25">
      <c r="A482" s="44" t="s">
        <v>446</v>
      </c>
      <c r="B482" s="39">
        <v>905</v>
      </c>
      <c r="C482" s="21" t="s">
        <v>285</v>
      </c>
      <c r="D482" s="21" t="s">
        <v>169</v>
      </c>
      <c r="E482" s="21" t="s">
        <v>447</v>
      </c>
      <c r="F482" s="21"/>
      <c r="G482" s="27">
        <f t="shared" si="80"/>
        <v>0</v>
      </c>
      <c r="H482" s="209"/>
    </row>
    <row r="483" spans="1:9" ht="31.5" hidden="1" x14ac:dyDescent="0.25">
      <c r="A483" s="26" t="s">
        <v>182</v>
      </c>
      <c r="B483" s="17">
        <v>905</v>
      </c>
      <c r="C483" s="21" t="s">
        <v>285</v>
      </c>
      <c r="D483" s="21" t="s">
        <v>169</v>
      </c>
      <c r="E483" s="21" t="s">
        <v>447</v>
      </c>
      <c r="F483" s="21" t="s">
        <v>183</v>
      </c>
      <c r="G483" s="27">
        <f t="shared" si="80"/>
        <v>0</v>
      </c>
      <c r="H483" s="209"/>
    </row>
    <row r="484" spans="1:9" ht="47.25" hidden="1" x14ac:dyDescent="0.25">
      <c r="A484" s="26" t="s">
        <v>184</v>
      </c>
      <c r="B484" s="17">
        <v>905</v>
      </c>
      <c r="C484" s="21" t="s">
        <v>285</v>
      </c>
      <c r="D484" s="21" t="s">
        <v>169</v>
      </c>
      <c r="E484" s="21" t="s">
        <v>447</v>
      </c>
      <c r="F484" s="21" t="s">
        <v>185</v>
      </c>
      <c r="G484" s="27"/>
      <c r="H484" s="209"/>
    </row>
    <row r="485" spans="1:9" ht="15.75" x14ac:dyDescent="0.25">
      <c r="A485" s="31" t="s">
        <v>192</v>
      </c>
      <c r="B485" s="17">
        <v>905</v>
      </c>
      <c r="C485" s="21" t="s">
        <v>285</v>
      </c>
      <c r="D485" s="21" t="s">
        <v>169</v>
      </c>
      <c r="E485" s="21" t="s">
        <v>193</v>
      </c>
      <c r="F485" s="21"/>
      <c r="G485" s="27">
        <f>G486+G489</f>
        <v>1099.8</v>
      </c>
      <c r="H485" s="209"/>
    </row>
    <row r="486" spans="1:9" ht="31.5" x14ac:dyDescent="0.25">
      <c r="A486" s="31" t="s">
        <v>450</v>
      </c>
      <c r="B486" s="17">
        <v>905</v>
      </c>
      <c r="C486" s="21" t="s">
        <v>285</v>
      </c>
      <c r="D486" s="21" t="s">
        <v>169</v>
      </c>
      <c r="E486" s="21" t="s">
        <v>451</v>
      </c>
      <c r="F486" s="21"/>
      <c r="G486" s="27">
        <f>G487</f>
        <v>260.8</v>
      </c>
      <c r="H486" s="209"/>
    </row>
    <row r="487" spans="1:9" ht="31.5" x14ac:dyDescent="0.25">
      <c r="A487" s="26" t="s">
        <v>182</v>
      </c>
      <c r="B487" s="17">
        <v>905</v>
      </c>
      <c r="C487" s="21" t="s">
        <v>285</v>
      </c>
      <c r="D487" s="21" t="s">
        <v>169</v>
      </c>
      <c r="E487" s="21" t="s">
        <v>451</v>
      </c>
      <c r="F487" s="21" t="s">
        <v>183</v>
      </c>
      <c r="G487" s="27">
        <f t="shared" ref="G487" si="81">G488</f>
        <v>260.8</v>
      </c>
      <c r="H487" s="209"/>
    </row>
    <row r="488" spans="1:9" ht="47.25" x14ac:dyDescent="0.25">
      <c r="A488" s="26" t="s">
        <v>184</v>
      </c>
      <c r="B488" s="17">
        <v>905</v>
      </c>
      <c r="C488" s="21" t="s">
        <v>285</v>
      </c>
      <c r="D488" s="21" t="s">
        <v>169</v>
      </c>
      <c r="E488" s="21" t="s">
        <v>451</v>
      </c>
      <c r="F488" s="21" t="s">
        <v>185</v>
      </c>
      <c r="G488" s="27">
        <v>260.8</v>
      </c>
      <c r="H488" s="209"/>
    </row>
    <row r="489" spans="1:9" ht="15.75" x14ac:dyDescent="0.25">
      <c r="A489" s="31" t="s">
        <v>448</v>
      </c>
      <c r="B489" s="17">
        <v>905</v>
      </c>
      <c r="C489" s="21" t="s">
        <v>285</v>
      </c>
      <c r="D489" s="21" t="s">
        <v>169</v>
      </c>
      <c r="E489" s="21" t="s">
        <v>449</v>
      </c>
      <c r="F489" s="21"/>
      <c r="G489" s="27">
        <f>G490</f>
        <v>839</v>
      </c>
      <c r="H489" s="209"/>
    </row>
    <row r="490" spans="1:9" ht="31.5" x14ac:dyDescent="0.25">
      <c r="A490" s="26" t="s">
        <v>182</v>
      </c>
      <c r="B490" s="17">
        <v>905</v>
      </c>
      <c r="C490" s="21" t="s">
        <v>285</v>
      </c>
      <c r="D490" s="21" t="s">
        <v>169</v>
      </c>
      <c r="E490" s="21" t="s">
        <v>449</v>
      </c>
      <c r="F490" s="21" t="s">
        <v>183</v>
      </c>
      <c r="G490" s="27">
        <f>G491</f>
        <v>839</v>
      </c>
      <c r="H490" s="209"/>
    </row>
    <row r="491" spans="1:9" ht="47.25" x14ac:dyDescent="0.25">
      <c r="A491" s="26" t="s">
        <v>184</v>
      </c>
      <c r="B491" s="17">
        <v>905</v>
      </c>
      <c r="C491" s="21" t="s">
        <v>285</v>
      </c>
      <c r="D491" s="21" t="s">
        <v>169</v>
      </c>
      <c r="E491" s="21" t="s">
        <v>449</v>
      </c>
      <c r="F491" s="21" t="s">
        <v>185</v>
      </c>
      <c r="G491" s="27">
        <v>839</v>
      </c>
      <c r="H491" s="209"/>
      <c r="I491" s="141"/>
    </row>
    <row r="492" spans="1:9" ht="15.75" hidden="1" x14ac:dyDescent="0.25">
      <c r="A492" s="45" t="s">
        <v>294</v>
      </c>
      <c r="B492" s="20">
        <v>905</v>
      </c>
      <c r="C492" s="25" t="s">
        <v>295</v>
      </c>
      <c r="D492" s="25"/>
      <c r="E492" s="25"/>
      <c r="F492" s="25"/>
      <c r="G492" s="22">
        <f t="shared" ref="G492:G496" si="82">G493</f>
        <v>0</v>
      </c>
      <c r="H492" s="209"/>
    </row>
    <row r="493" spans="1:9" ht="15.75" hidden="1" x14ac:dyDescent="0.25">
      <c r="A493" s="24" t="s">
        <v>452</v>
      </c>
      <c r="B493" s="20">
        <v>905</v>
      </c>
      <c r="C493" s="25" t="s">
        <v>295</v>
      </c>
      <c r="D493" s="25" t="s">
        <v>201</v>
      </c>
      <c r="E493" s="25"/>
      <c r="F493" s="25"/>
      <c r="G493" s="22">
        <f t="shared" si="82"/>
        <v>0</v>
      </c>
      <c r="H493" s="209"/>
    </row>
    <row r="494" spans="1:9" ht="31.5" hidden="1" x14ac:dyDescent="0.25">
      <c r="A494" s="26" t="s">
        <v>236</v>
      </c>
      <c r="B494" s="17">
        <v>905</v>
      </c>
      <c r="C494" s="21" t="s">
        <v>295</v>
      </c>
      <c r="D494" s="21" t="s">
        <v>201</v>
      </c>
      <c r="E494" s="21" t="s">
        <v>237</v>
      </c>
      <c r="F494" s="21"/>
      <c r="G494" s="27">
        <f t="shared" si="82"/>
        <v>0</v>
      </c>
      <c r="H494" s="209"/>
    </row>
    <row r="495" spans="1:9" ht="47.25" hidden="1" x14ac:dyDescent="0.25">
      <c r="A495" s="33" t="s">
        <v>453</v>
      </c>
      <c r="B495" s="17">
        <v>905</v>
      </c>
      <c r="C495" s="21" t="s">
        <v>295</v>
      </c>
      <c r="D495" s="21" t="s">
        <v>201</v>
      </c>
      <c r="E495" s="21" t="s">
        <v>454</v>
      </c>
      <c r="F495" s="21"/>
      <c r="G495" s="27">
        <f t="shared" si="82"/>
        <v>0</v>
      </c>
      <c r="H495" s="209"/>
    </row>
    <row r="496" spans="1:9" ht="31.5" hidden="1" x14ac:dyDescent="0.25">
      <c r="A496" s="26" t="s">
        <v>182</v>
      </c>
      <c r="B496" s="17">
        <v>905</v>
      </c>
      <c r="C496" s="21" t="s">
        <v>295</v>
      </c>
      <c r="D496" s="21" t="s">
        <v>201</v>
      </c>
      <c r="E496" s="21" t="s">
        <v>454</v>
      </c>
      <c r="F496" s="21" t="s">
        <v>183</v>
      </c>
      <c r="G496" s="27">
        <f t="shared" si="82"/>
        <v>0</v>
      </c>
      <c r="H496" s="209"/>
    </row>
    <row r="497" spans="1:12" ht="47.25" hidden="1" x14ac:dyDescent="0.25">
      <c r="A497" s="26" t="s">
        <v>184</v>
      </c>
      <c r="B497" s="17">
        <v>905</v>
      </c>
      <c r="C497" s="21" t="s">
        <v>295</v>
      </c>
      <c r="D497" s="21" t="s">
        <v>201</v>
      </c>
      <c r="E497" s="21" t="s">
        <v>454</v>
      </c>
      <c r="F497" s="21" t="s">
        <v>185</v>
      </c>
      <c r="G497" s="27">
        <f>1330-1330</f>
        <v>0</v>
      </c>
      <c r="H497" s="209"/>
      <c r="I497" s="141"/>
    </row>
    <row r="498" spans="1:12" ht="31.5" x14ac:dyDescent="0.25">
      <c r="A498" s="20" t="s">
        <v>455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09"/>
      <c r="L498" s="142"/>
    </row>
    <row r="499" spans="1:12" ht="15.75" x14ac:dyDescent="0.25">
      <c r="A499" s="24" t="s">
        <v>168</v>
      </c>
      <c r="B499" s="20">
        <v>906</v>
      </c>
      <c r="C499" s="25" t="s">
        <v>169</v>
      </c>
      <c r="D499" s="25"/>
      <c r="E499" s="25"/>
      <c r="F499" s="25"/>
      <c r="G499" s="22">
        <f>G500</f>
        <v>5</v>
      </c>
      <c r="H499" s="209"/>
    </row>
    <row r="500" spans="1:12" ht="15.75" x14ac:dyDescent="0.25">
      <c r="A500" s="36" t="s">
        <v>190</v>
      </c>
      <c r="B500" s="20">
        <v>906</v>
      </c>
      <c r="C500" s="25" t="s">
        <v>169</v>
      </c>
      <c r="D500" s="25" t="s">
        <v>191</v>
      </c>
      <c r="E500" s="25"/>
      <c r="F500" s="25"/>
      <c r="G500" s="22">
        <f t="shared" ref="G500:G504" si="83">G501</f>
        <v>5</v>
      </c>
      <c r="H500" s="209"/>
    </row>
    <row r="501" spans="1:12" ht="18" customHeight="1" x14ac:dyDescent="0.25">
      <c r="A501" s="33" t="s">
        <v>172</v>
      </c>
      <c r="B501" s="17">
        <v>906</v>
      </c>
      <c r="C501" s="21" t="s">
        <v>169</v>
      </c>
      <c r="D501" s="21" t="s">
        <v>191</v>
      </c>
      <c r="E501" s="21" t="s">
        <v>173</v>
      </c>
      <c r="F501" s="21"/>
      <c r="G501" s="27">
        <f>G502</f>
        <v>5</v>
      </c>
      <c r="H501" s="209"/>
    </row>
    <row r="502" spans="1:12" ht="15.75" x14ac:dyDescent="0.25">
      <c r="A502" s="33" t="s">
        <v>192</v>
      </c>
      <c r="B502" s="17">
        <v>906</v>
      </c>
      <c r="C502" s="21" t="s">
        <v>169</v>
      </c>
      <c r="D502" s="21" t="s">
        <v>191</v>
      </c>
      <c r="E502" s="21" t="s">
        <v>193</v>
      </c>
      <c r="F502" s="21"/>
      <c r="G502" s="27">
        <f t="shared" si="83"/>
        <v>5</v>
      </c>
      <c r="H502" s="209"/>
    </row>
    <row r="503" spans="1:12" ht="15.75" x14ac:dyDescent="0.25">
      <c r="A503" s="26" t="s">
        <v>230</v>
      </c>
      <c r="B503" s="17">
        <v>906</v>
      </c>
      <c r="C503" s="21" t="s">
        <v>169</v>
      </c>
      <c r="D503" s="21" t="s">
        <v>191</v>
      </c>
      <c r="E503" s="21" t="s">
        <v>256</v>
      </c>
      <c r="F503" s="21"/>
      <c r="G503" s="27">
        <f>G504</f>
        <v>5</v>
      </c>
      <c r="H503" s="209"/>
    </row>
    <row r="504" spans="1:12" ht="31.5" x14ac:dyDescent="0.25">
      <c r="A504" s="26" t="s">
        <v>182</v>
      </c>
      <c r="B504" s="17">
        <v>906</v>
      </c>
      <c r="C504" s="21" t="s">
        <v>169</v>
      </c>
      <c r="D504" s="21" t="s">
        <v>191</v>
      </c>
      <c r="E504" s="21" t="s">
        <v>256</v>
      </c>
      <c r="F504" s="21" t="s">
        <v>183</v>
      </c>
      <c r="G504" s="27">
        <f t="shared" si="83"/>
        <v>5</v>
      </c>
      <c r="H504" s="209"/>
    </row>
    <row r="505" spans="1:12" ht="47.25" x14ac:dyDescent="0.25">
      <c r="A505" s="26" t="s">
        <v>184</v>
      </c>
      <c r="B505" s="17">
        <v>906</v>
      </c>
      <c r="C505" s="21" t="s">
        <v>169</v>
      </c>
      <c r="D505" s="21" t="s">
        <v>191</v>
      </c>
      <c r="E505" s="21" t="s">
        <v>256</v>
      </c>
      <c r="F505" s="21" t="s">
        <v>185</v>
      </c>
      <c r="G505" s="27">
        <v>5</v>
      </c>
      <c r="H505" s="209"/>
    </row>
    <row r="506" spans="1:12" ht="15.75" x14ac:dyDescent="0.25">
      <c r="A506" s="24" t="s">
        <v>314</v>
      </c>
      <c r="B506" s="20">
        <v>906</v>
      </c>
      <c r="C506" s="25" t="s">
        <v>315</v>
      </c>
      <c r="D506" s="25"/>
      <c r="E506" s="25"/>
      <c r="F506" s="25"/>
      <c r="G506" s="22">
        <f>G507+G546+G633+G645+G612</f>
        <v>261516.80000000002</v>
      </c>
      <c r="H506" s="209"/>
    </row>
    <row r="507" spans="1:12" ht="15.75" x14ac:dyDescent="0.25">
      <c r="A507" s="24" t="s">
        <v>456</v>
      </c>
      <c r="B507" s="20">
        <v>906</v>
      </c>
      <c r="C507" s="25" t="s">
        <v>315</v>
      </c>
      <c r="D507" s="25" t="s">
        <v>169</v>
      </c>
      <c r="E507" s="25"/>
      <c r="F507" s="25"/>
      <c r="G507" s="22">
        <f>G508+G526</f>
        <v>84659.4</v>
      </c>
      <c r="H507" s="209"/>
    </row>
    <row r="508" spans="1:12" ht="47.25" x14ac:dyDescent="0.25">
      <c r="A508" s="26" t="s">
        <v>457</v>
      </c>
      <c r="B508" s="17">
        <v>906</v>
      </c>
      <c r="C508" s="21" t="s">
        <v>315</v>
      </c>
      <c r="D508" s="21" t="s">
        <v>169</v>
      </c>
      <c r="E508" s="21" t="s">
        <v>458</v>
      </c>
      <c r="F508" s="21"/>
      <c r="G508" s="27">
        <f t="shared" ref="G508" si="84">G509+G513</f>
        <v>23453.4</v>
      </c>
      <c r="H508" s="209"/>
    </row>
    <row r="509" spans="1:12" ht="47.25" x14ac:dyDescent="0.25">
      <c r="A509" s="26" t="s">
        <v>459</v>
      </c>
      <c r="B509" s="17">
        <v>906</v>
      </c>
      <c r="C509" s="21" t="s">
        <v>315</v>
      </c>
      <c r="D509" s="21" t="s">
        <v>169</v>
      </c>
      <c r="E509" s="21" t="s">
        <v>460</v>
      </c>
      <c r="F509" s="21"/>
      <c r="G509" s="27">
        <f>G510</f>
        <v>15578.400000000001</v>
      </c>
      <c r="H509" s="209"/>
    </row>
    <row r="510" spans="1:12" ht="47.25" x14ac:dyDescent="0.25">
      <c r="A510" s="26" t="s">
        <v>461</v>
      </c>
      <c r="B510" s="17">
        <v>906</v>
      </c>
      <c r="C510" s="21" t="s">
        <v>315</v>
      </c>
      <c r="D510" s="21" t="s">
        <v>169</v>
      </c>
      <c r="E510" s="21" t="s">
        <v>462</v>
      </c>
      <c r="F510" s="21"/>
      <c r="G510" s="27">
        <f t="shared" ref="G510" si="85">G511</f>
        <v>15578.400000000001</v>
      </c>
      <c r="H510" s="209"/>
    </row>
    <row r="511" spans="1:12" ht="47.25" x14ac:dyDescent="0.25">
      <c r="A511" s="26" t="s">
        <v>323</v>
      </c>
      <c r="B511" s="17">
        <v>906</v>
      </c>
      <c r="C511" s="21" t="s">
        <v>315</v>
      </c>
      <c r="D511" s="21" t="s">
        <v>169</v>
      </c>
      <c r="E511" s="21" t="s">
        <v>462</v>
      </c>
      <c r="F511" s="21" t="s">
        <v>324</v>
      </c>
      <c r="G511" s="27">
        <f>G512</f>
        <v>15578.400000000001</v>
      </c>
      <c r="H511" s="209"/>
    </row>
    <row r="512" spans="1:12" ht="15.75" x14ac:dyDescent="0.25">
      <c r="A512" s="26" t="s">
        <v>325</v>
      </c>
      <c r="B512" s="17">
        <v>906</v>
      </c>
      <c r="C512" s="21" t="s">
        <v>315</v>
      </c>
      <c r="D512" s="21" t="s">
        <v>169</v>
      </c>
      <c r="E512" s="21" t="s">
        <v>462</v>
      </c>
      <c r="F512" s="21" t="s">
        <v>326</v>
      </c>
      <c r="G512" s="28">
        <f>17368.2+6858.7-6314-1360.2-974.3</f>
        <v>15578.400000000001</v>
      </c>
      <c r="H512" s="211"/>
      <c r="I512" s="153"/>
    </row>
    <row r="513" spans="1:8" ht="47.25" x14ac:dyDescent="0.25">
      <c r="A513" s="26" t="s">
        <v>463</v>
      </c>
      <c r="B513" s="17">
        <v>906</v>
      </c>
      <c r="C513" s="21" t="s">
        <v>315</v>
      </c>
      <c r="D513" s="21" t="s">
        <v>169</v>
      </c>
      <c r="E513" s="21" t="s">
        <v>464</v>
      </c>
      <c r="F513" s="21"/>
      <c r="G513" s="27">
        <f>G514+G517+G520+G523</f>
        <v>7875</v>
      </c>
      <c r="H513" s="209"/>
    </row>
    <row r="514" spans="1:8" ht="47.25" hidden="1" x14ac:dyDescent="0.25">
      <c r="A514" s="26" t="s">
        <v>329</v>
      </c>
      <c r="B514" s="17">
        <v>906</v>
      </c>
      <c r="C514" s="21" t="s">
        <v>315</v>
      </c>
      <c r="D514" s="21" t="s">
        <v>169</v>
      </c>
      <c r="E514" s="21" t="s">
        <v>465</v>
      </c>
      <c r="F514" s="21"/>
      <c r="G514" s="27">
        <f t="shared" ref="G514:G515" si="86">G515</f>
        <v>0</v>
      </c>
      <c r="H514" s="209"/>
    </row>
    <row r="515" spans="1:8" ht="47.25" hidden="1" x14ac:dyDescent="0.25">
      <c r="A515" s="26" t="s">
        <v>323</v>
      </c>
      <c r="B515" s="17">
        <v>906</v>
      </c>
      <c r="C515" s="21" t="s">
        <v>315</v>
      </c>
      <c r="D515" s="21" t="s">
        <v>169</v>
      </c>
      <c r="E515" s="21" t="s">
        <v>465</v>
      </c>
      <c r="F515" s="21" t="s">
        <v>324</v>
      </c>
      <c r="G515" s="27">
        <f t="shared" si="86"/>
        <v>0</v>
      </c>
      <c r="H515" s="209"/>
    </row>
    <row r="516" spans="1:8" ht="15.75" hidden="1" x14ac:dyDescent="0.25">
      <c r="A516" s="26" t="s">
        <v>325</v>
      </c>
      <c r="B516" s="17">
        <v>906</v>
      </c>
      <c r="C516" s="21" t="s">
        <v>315</v>
      </c>
      <c r="D516" s="21" t="s">
        <v>169</v>
      </c>
      <c r="E516" s="21" t="s">
        <v>465</v>
      </c>
      <c r="F516" s="21" t="s">
        <v>326</v>
      </c>
      <c r="G516" s="27">
        <v>0</v>
      </c>
      <c r="H516" s="209"/>
    </row>
    <row r="517" spans="1:8" ht="31.5" x14ac:dyDescent="0.25">
      <c r="A517" s="26" t="s">
        <v>331</v>
      </c>
      <c r="B517" s="17">
        <v>906</v>
      </c>
      <c r="C517" s="21" t="s">
        <v>315</v>
      </c>
      <c r="D517" s="21" t="s">
        <v>169</v>
      </c>
      <c r="E517" s="21" t="s">
        <v>466</v>
      </c>
      <c r="F517" s="21"/>
      <c r="G517" s="27">
        <f t="shared" ref="G517:G518" si="87">G518</f>
        <v>1145</v>
      </c>
      <c r="H517" s="209"/>
    </row>
    <row r="518" spans="1:8" ht="47.25" x14ac:dyDescent="0.25">
      <c r="A518" s="26" t="s">
        <v>323</v>
      </c>
      <c r="B518" s="17">
        <v>906</v>
      </c>
      <c r="C518" s="21" t="s">
        <v>315</v>
      </c>
      <c r="D518" s="21" t="s">
        <v>169</v>
      </c>
      <c r="E518" s="21" t="s">
        <v>466</v>
      </c>
      <c r="F518" s="21" t="s">
        <v>324</v>
      </c>
      <c r="G518" s="27">
        <f t="shared" si="87"/>
        <v>1145</v>
      </c>
      <c r="H518" s="209"/>
    </row>
    <row r="519" spans="1:8" ht="15.75" x14ac:dyDescent="0.25">
      <c r="A519" s="26" t="s">
        <v>325</v>
      </c>
      <c r="B519" s="17">
        <v>906</v>
      </c>
      <c r="C519" s="21" t="s">
        <v>315</v>
      </c>
      <c r="D519" s="21" t="s">
        <v>169</v>
      </c>
      <c r="E519" s="21" t="s">
        <v>466</v>
      </c>
      <c r="F519" s="21" t="s">
        <v>326</v>
      </c>
      <c r="G519" s="189">
        <f>800+300+45</f>
        <v>1145</v>
      </c>
      <c r="H519" s="196" t="s">
        <v>835</v>
      </c>
    </row>
    <row r="520" spans="1:8" ht="47.25" x14ac:dyDescent="0.25">
      <c r="A520" s="26" t="s">
        <v>467</v>
      </c>
      <c r="B520" s="17">
        <v>906</v>
      </c>
      <c r="C520" s="21" t="s">
        <v>315</v>
      </c>
      <c r="D520" s="21" t="s">
        <v>169</v>
      </c>
      <c r="E520" s="21" t="s">
        <v>468</v>
      </c>
      <c r="F520" s="21"/>
      <c r="G520" s="27">
        <f t="shared" ref="G520" si="88">G521</f>
        <v>6730</v>
      </c>
      <c r="H520" s="209"/>
    </row>
    <row r="521" spans="1:8" ht="47.25" x14ac:dyDescent="0.25">
      <c r="A521" s="26" t="s">
        <v>323</v>
      </c>
      <c r="B521" s="17">
        <v>906</v>
      </c>
      <c r="C521" s="21" t="s">
        <v>315</v>
      </c>
      <c r="D521" s="21" t="s">
        <v>169</v>
      </c>
      <c r="E521" s="21" t="s">
        <v>468</v>
      </c>
      <c r="F521" s="21" t="s">
        <v>324</v>
      </c>
      <c r="G521" s="27">
        <f>G522</f>
        <v>6730</v>
      </c>
      <c r="H521" s="209"/>
    </row>
    <row r="522" spans="1:8" ht="15.75" x14ac:dyDescent="0.25">
      <c r="A522" s="26" t="s">
        <v>325</v>
      </c>
      <c r="B522" s="17">
        <v>906</v>
      </c>
      <c r="C522" s="21" t="s">
        <v>315</v>
      </c>
      <c r="D522" s="21" t="s">
        <v>169</v>
      </c>
      <c r="E522" s="21" t="s">
        <v>468</v>
      </c>
      <c r="F522" s="21" t="s">
        <v>326</v>
      </c>
      <c r="G522" s="28">
        <v>6730</v>
      </c>
      <c r="H522" s="209"/>
    </row>
    <row r="523" spans="1:8" ht="31.5" hidden="1" x14ac:dyDescent="0.25">
      <c r="A523" s="26" t="s">
        <v>335</v>
      </c>
      <c r="B523" s="17">
        <v>906</v>
      </c>
      <c r="C523" s="21" t="s">
        <v>315</v>
      </c>
      <c r="D523" s="21" t="s">
        <v>169</v>
      </c>
      <c r="E523" s="21" t="s">
        <v>469</v>
      </c>
      <c r="F523" s="21"/>
      <c r="G523" s="27">
        <f t="shared" ref="G523:G524" si="89">G524</f>
        <v>0</v>
      </c>
      <c r="H523" s="209"/>
    </row>
    <row r="524" spans="1:8" ht="47.25" hidden="1" x14ac:dyDescent="0.25">
      <c r="A524" s="26" t="s">
        <v>323</v>
      </c>
      <c r="B524" s="17">
        <v>906</v>
      </c>
      <c r="C524" s="21" t="s">
        <v>315</v>
      </c>
      <c r="D524" s="21" t="s">
        <v>169</v>
      </c>
      <c r="E524" s="21" t="s">
        <v>469</v>
      </c>
      <c r="F524" s="21" t="s">
        <v>324</v>
      </c>
      <c r="G524" s="27">
        <f t="shared" si="89"/>
        <v>0</v>
      </c>
      <c r="H524" s="209"/>
    </row>
    <row r="525" spans="1:8" ht="15.75" hidden="1" x14ac:dyDescent="0.25">
      <c r="A525" s="26" t="s">
        <v>325</v>
      </c>
      <c r="B525" s="17">
        <v>906</v>
      </c>
      <c r="C525" s="21" t="s">
        <v>315</v>
      </c>
      <c r="D525" s="21" t="s">
        <v>169</v>
      </c>
      <c r="E525" s="21" t="s">
        <v>469</v>
      </c>
      <c r="F525" s="21" t="s">
        <v>326</v>
      </c>
      <c r="G525" s="27">
        <v>0</v>
      </c>
      <c r="H525" s="209"/>
    </row>
    <row r="526" spans="1:8" ht="15.75" x14ac:dyDescent="0.25">
      <c r="A526" s="26" t="s">
        <v>172</v>
      </c>
      <c r="B526" s="17">
        <v>906</v>
      </c>
      <c r="C526" s="21" t="s">
        <v>315</v>
      </c>
      <c r="D526" s="21" t="s">
        <v>169</v>
      </c>
      <c r="E526" s="21" t="s">
        <v>173</v>
      </c>
      <c r="F526" s="21"/>
      <c r="G526" s="27">
        <f>G527</f>
        <v>61206</v>
      </c>
      <c r="H526" s="209"/>
    </row>
    <row r="527" spans="1:8" ht="31.5" x14ac:dyDescent="0.25">
      <c r="A527" s="26" t="s">
        <v>236</v>
      </c>
      <c r="B527" s="17">
        <v>906</v>
      </c>
      <c r="C527" s="21" t="s">
        <v>315</v>
      </c>
      <c r="D527" s="21" t="s">
        <v>169</v>
      </c>
      <c r="E527" s="21" t="s">
        <v>237</v>
      </c>
      <c r="F527" s="21"/>
      <c r="G527" s="27">
        <f t="shared" ref="G527" si="90">G528+G531+G534+G537+G540+G543</f>
        <v>61206</v>
      </c>
      <c r="H527" s="209"/>
    </row>
    <row r="528" spans="1:8" ht="31.5" hidden="1" x14ac:dyDescent="0.25">
      <c r="A528" s="26" t="s">
        <v>470</v>
      </c>
      <c r="B528" s="17">
        <v>906</v>
      </c>
      <c r="C528" s="21" t="s">
        <v>315</v>
      </c>
      <c r="D528" s="21" t="s">
        <v>169</v>
      </c>
      <c r="E528" s="21" t="s">
        <v>471</v>
      </c>
      <c r="F528" s="21"/>
      <c r="G528" s="27">
        <f t="shared" ref="G528:G529" si="91">G529</f>
        <v>0</v>
      </c>
      <c r="H528" s="209"/>
    </row>
    <row r="529" spans="1:9" ht="47.25" hidden="1" x14ac:dyDescent="0.25">
      <c r="A529" s="26" t="s">
        <v>323</v>
      </c>
      <c r="B529" s="17">
        <v>906</v>
      </c>
      <c r="C529" s="21" t="s">
        <v>315</v>
      </c>
      <c r="D529" s="21" t="s">
        <v>169</v>
      </c>
      <c r="E529" s="21" t="s">
        <v>471</v>
      </c>
      <c r="F529" s="21" t="s">
        <v>324</v>
      </c>
      <c r="G529" s="27">
        <f t="shared" si="91"/>
        <v>0</v>
      </c>
      <c r="H529" s="209"/>
    </row>
    <row r="530" spans="1:9" ht="15.75" hidden="1" x14ac:dyDescent="0.25">
      <c r="A530" s="26" t="s">
        <v>325</v>
      </c>
      <c r="B530" s="17">
        <v>906</v>
      </c>
      <c r="C530" s="21" t="s">
        <v>315</v>
      </c>
      <c r="D530" s="21" t="s">
        <v>169</v>
      </c>
      <c r="E530" s="21" t="s">
        <v>471</v>
      </c>
      <c r="F530" s="21" t="s">
        <v>326</v>
      </c>
      <c r="G530" s="27"/>
      <c r="H530" s="209"/>
    </row>
    <row r="531" spans="1:9" ht="63" x14ac:dyDescent="0.25">
      <c r="A531" s="33" t="s">
        <v>340</v>
      </c>
      <c r="B531" s="17">
        <v>906</v>
      </c>
      <c r="C531" s="21" t="s">
        <v>315</v>
      </c>
      <c r="D531" s="21" t="s">
        <v>169</v>
      </c>
      <c r="E531" s="21" t="s">
        <v>341</v>
      </c>
      <c r="F531" s="21"/>
      <c r="G531" s="27">
        <f>G532</f>
        <v>310.2</v>
      </c>
      <c r="H531" s="209"/>
    </row>
    <row r="532" spans="1:9" ht="47.25" x14ac:dyDescent="0.25">
      <c r="A532" s="26" t="s">
        <v>323</v>
      </c>
      <c r="B532" s="17">
        <v>906</v>
      </c>
      <c r="C532" s="21" t="s">
        <v>315</v>
      </c>
      <c r="D532" s="21" t="s">
        <v>169</v>
      </c>
      <c r="E532" s="21" t="s">
        <v>341</v>
      </c>
      <c r="F532" s="21" t="s">
        <v>324</v>
      </c>
      <c r="G532" s="27">
        <f t="shared" ref="G532" si="92">G533</f>
        <v>310.2</v>
      </c>
      <c r="H532" s="209"/>
    </row>
    <row r="533" spans="1:9" ht="15.75" x14ac:dyDescent="0.25">
      <c r="A533" s="26" t="s">
        <v>325</v>
      </c>
      <c r="B533" s="17">
        <v>906</v>
      </c>
      <c r="C533" s="21" t="s">
        <v>315</v>
      </c>
      <c r="D533" s="21" t="s">
        <v>169</v>
      </c>
      <c r="E533" s="21" t="s">
        <v>341</v>
      </c>
      <c r="F533" s="21" t="s">
        <v>326</v>
      </c>
      <c r="G533" s="27">
        <f>416.2-106</f>
        <v>310.2</v>
      </c>
      <c r="H533" s="209"/>
      <c r="I533" s="141"/>
    </row>
    <row r="534" spans="1:9" ht="78.75" x14ac:dyDescent="0.25">
      <c r="A534" s="33" t="s">
        <v>472</v>
      </c>
      <c r="B534" s="17">
        <v>906</v>
      </c>
      <c r="C534" s="21" t="s">
        <v>315</v>
      </c>
      <c r="D534" s="21" t="s">
        <v>169</v>
      </c>
      <c r="E534" s="21" t="s">
        <v>343</v>
      </c>
      <c r="F534" s="21"/>
      <c r="G534" s="27">
        <f t="shared" ref="G534" si="93">G535</f>
        <v>1696.8</v>
      </c>
      <c r="H534" s="209"/>
    </row>
    <row r="535" spans="1:9" ht="47.25" x14ac:dyDescent="0.25">
      <c r="A535" s="26" t="s">
        <v>323</v>
      </c>
      <c r="B535" s="17">
        <v>906</v>
      </c>
      <c r="C535" s="21" t="s">
        <v>315</v>
      </c>
      <c r="D535" s="21" t="s">
        <v>169</v>
      </c>
      <c r="E535" s="21" t="s">
        <v>343</v>
      </c>
      <c r="F535" s="21" t="s">
        <v>324</v>
      </c>
      <c r="G535" s="27">
        <f>G536</f>
        <v>1696.8</v>
      </c>
      <c r="H535" s="209"/>
    </row>
    <row r="536" spans="1:9" ht="15.75" x14ac:dyDescent="0.25">
      <c r="A536" s="26" t="s">
        <v>325</v>
      </c>
      <c r="B536" s="17">
        <v>906</v>
      </c>
      <c r="C536" s="21" t="s">
        <v>315</v>
      </c>
      <c r="D536" s="21" t="s">
        <v>169</v>
      </c>
      <c r="E536" s="21" t="s">
        <v>343</v>
      </c>
      <c r="F536" s="21" t="s">
        <v>326</v>
      </c>
      <c r="G536" s="27">
        <f>1900-203.2</f>
        <v>1696.8</v>
      </c>
      <c r="H536" s="209"/>
      <c r="I536" s="141"/>
    </row>
    <row r="537" spans="1:9" ht="94.5" x14ac:dyDescent="0.25">
      <c r="A537" s="33" t="s">
        <v>473</v>
      </c>
      <c r="B537" s="17">
        <v>906</v>
      </c>
      <c r="C537" s="21" t="s">
        <v>315</v>
      </c>
      <c r="D537" s="21" t="s">
        <v>169</v>
      </c>
      <c r="E537" s="21" t="s">
        <v>474</v>
      </c>
      <c r="F537" s="21"/>
      <c r="G537" s="27">
        <f>G538</f>
        <v>56320</v>
      </c>
      <c r="H537" s="209"/>
    </row>
    <row r="538" spans="1:9" ht="47.25" x14ac:dyDescent="0.25">
      <c r="A538" s="26" t="s">
        <v>323</v>
      </c>
      <c r="B538" s="17">
        <v>906</v>
      </c>
      <c r="C538" s="21" t="s">
        <v>315</v>
      </c>
      <c r="D538" s="21" t="s">
        <v>169</v>
      </c>
      <c r="E538" s="21" t="s">
        <v>474</v>
      </c>
      <c r="F538" s="21" t="s">
        <v>324</v>
      </c>
      <c r="G538" s="27">
        <f t="shared" ref="G538" si="94">G539</f>
        <v>56320</v>
      </c>
      <c r="H538" s="209"/>
    </row>
    <row r="539" spans="1:9" ht="15.75" x14ac:dyDescent="0.25">
      <c r="A539" s="26" t="s">
        <v>325</v>
      </c>
      <c r="B539" s="17">
        <v>906</v>
      </c>
      <c r="C539" s="21" t="s">
        <v>315</v>
      </c>
      <c r="D539" s="21" t="s">
        <v>169</v>
      </c>
      <c r="E539" s="21" t="s">
        <v>474</v>
      </c>
      <c r="F539" s="21" t="s">
        <v>326</v>
      </c>
      <c r="G539" s="28">
        <f>66162.2-7643.6-2198.6</f>
        <v>56320</v>
      </c>
      <c r="H539" s="132"/>
      <c r="I539" s="141"/>
    </row>
    <row r="540" spans="1:9" ht="110.25" x14ac:dyDescent="0.25">
      <c r="A540" s="33" t="s">
        <v>344</v>
      </c>
      <c r="B540" s="17">
        <v>906</v>
      </c>
      <c r="C540" s="21" t="s">
        <v>315</v>
      </c>
      <c r="D540" s="21" t="s">
        <v>169</v>
      </c>
      <c r="E540" s="21" t="s">
        <v>345</v>
      </c>
      <c r="F540" s="21"/>
      <c r="G540" s="27">
        <f t="shared" ref="G540" si="95">G541</f>
        <v>2879</v>
      </c>
      <c r="H540" s="209"/>
    </row>
    <row r="541" spans="1:9" ht="47.25" x14ac:dyDescent="0.25">
      <c r="A541" s="26" t="s">
        <v>323</v>
      </c>
      <c r="B541" s="17">
        <v>906</v>
      </c>
      <c r="C541" s="21" t="s">
        <v>315</v>
      </c>
      <c r="D541" s="21" t="s">
        <v>169</v>
      </c>
      <c r="E541" s="21" t="s">
        <v>345</v>
      </c>
      <c r="F541" s="21" t="s">
        <v>324</v>
      </c>
      <c r="G541" s="27">
        <f>G542</f>
        <v>2879</v>
      </c>
      <c r="H541" s="209"/>
    </row>
    <row r="542" spans="1:9" ht="15.75" x14ac:dyDescent="0.25">
      <c r="A542" s="26" t="s">
        <v>325</v>
      </c>
      <c r="B542" s="17">
        <v>906</v>
      </c>
      <c r="C542" s="21" t="s">
        <v>315</v>
      </c>
      <c r="D542" s="21" t="s">
        <v>169</v>
      </c>
      <c r="E542" s="21" t="s">
        <v>345</v>
      </c>
      <c r="F542" s="21" t="s">
        <v>326</v>
      </c>
      <c r="G542" s="28">
        <f>2937.2-58.2</f>
        <v>2879</v>
      </c>
      <c r="H542" s="209"/>
      <c r="I542" s="141"/>
    </row>
    <row r="543" spans="1:9" ht="157.5" hidden="1" x14ac:dyDescent="0.25">
      <c r="A543" s="26" t="s">
        <v>475</v>
      </c>
      <c r="B543" s="17">
        <v>906</v>
      </c>
      <c r="C543" s="21" t="s">
        <v>315</v>
      </c>
      <c r="D543" s="21" t="s">
        <v>169</v>
      </c>
      <c r="E543" s="21" t="s">
        <v>476</v>
      </c>
      <c r="F543" s="21"/>
      <c r="G543" s="28">
        <f t="shared" ref="G543:G544" si="96">G544</f>
        <v>0</v>
      </c>
      <c r="H543" s="209"/>
    </row>
    <row r="544" spans="1:9" ht="47.25" hidden="1" x14ac:dyDescent="0.25">
      <c r="A544" s="26" t="s">
        <v>323</v>
      </c>
      <c r="B544" s="17">
        <v>906</v>
      </c>
      <c r="C544" s="21" t="s">
        <v>315</v>
      </c>
      <c r="D544" s="21" t="s">
        <v>169</v>
      </c>
      <c r="E544" s="21" t="s">
        <v>476</v>
      </c>
      <c r="F544" s="21" t="s">
        <v>324</v>
      </c>
      <c r="G544" s="28">
        <f t="shared" si="96"/>
        <v>0</v>
      </c>
      <c r="H544" s="209"/>
    </row>
    <row r="545" spans="1:9" ht="15.75" hidden="1" x14ac:dyDescent="0.25">
      <c r="A545" s="26" t="s">
        <v>325</v>
      </c>
      <c r="B545" s="17">
        <v>906</v>
      </c>
      <c r="C545" s="21" t="s">
        <v>315</v>
      </c>
      <c r="D545" s="21" t="s">
        <v>169</v>
      </c>
      <c r="E545" s="21" t="s">
        <v>476</v>
      </c>
      <c r="F545" s="21" t="s">
        <v>326</v>
      </c>
      <c r="G545" s="28">
        <f>276.5-276.5</f>
        <v>0</v>
      </c>
      <c r="H545" s="209"/>
      <c r="I545" s="141"/>
    </row>
    <row r="546" spans="1:9" ht="15.75" x14ac:dyDescent="0.25">
      <c r="A546" s="24" t="s">
        <v>477</v>
      </c>
      <c r="B546" s="20">
        <v>906</v>
      </c>
      <c r="C546" s="25" t="s">
        <v>315</v>
      </c>
      <c r="D546" s="25" t="s">
        <v>264</v>
      </c>
      <c r="E546" s="25"/>
      <c r="F546" s="25"/>
      <c r="G546" s="22">
        <f>G547+G580</f>
        <v>130684.4</v>
      </c>
      <c r="H546" s="209"/>
    </row>
    <row r="547" spans="1:9" ht="47.25" x14ac:dyDescent="0.25">
      <c r="A547" s="26" t="s">
        <v>478</v>
      </c>
      <c r="B547" s="17">
        <v>906</v>
      </c>
      <c r="C547" s="21" t="s">
        <v>315</v>
      </c>
      <c r="D547" s="21" t="s">
        <v>264</v>
      </c>
      <c r="E547" s="21" t="s">
        <v>458</v>
      </c>
      <c r="F547" s="21"/>
      <c r="G547" s="27">
        <f>G548+G552</f>
        <v>40826.6</v>
      </c>
      <c r="H547" s="209"/>
    </row>
    <row r="548" spans="1:9" ht="47.25" x14ac:dyDescent="0.25">
      <c r="A548" s="26" t="s">
        <v>459</v>
      </c>
      <c r="B548" s="17">
        <v>906</v>
      </c>
      <c r="C548" s="21" t="s">
        <v>315</v>
      </c>
      <c r="D548" s="21" t="s">
        <v>264</v>
      </c>
      <c r="E548" s="21" t="s">
        <v>460</v>
      </c>
      <c r="F548" s="21"/>
      <c r="G548" s="27">
        <f>G549</f>
        <v>34151.199999999997</v>
      </c>
      <c r="H548" s="209"/>
    </row>
    <row r="549" spans="1:9" ht="47.25" x14ac:dyDescent="0.25">
      <c r="A549" s="26" t="s">
        <v>479</v>
      </c>
      <c r="B549" s="17">
        <v>906</v>
      </c>
      <c r="C549" s="21" t="s">
        <v>315</v>
      </c>
      <c r="D549" s="21" t="s">
        <v>264</v>
      </c>
      <c r="E549" s="21" t="s">
        <v>480</v>
      </c>
      <c r="F549" s="21"/>
      <c r="G549" s="27">
        <f t="shared" ref="G549" si="97">G550</f>
        <v>34151.199999999997</v>
      </c>
      <c r="H549" s="209"/>
    </row>
    <row r="550" spans="1:9" ht="47.25" x14ac:dyDescent="0.25">
      <c r="A550" s="26" t="s">
        <v>323</v>
      </c>
      <c r="B550" s="17">
        <v>906</v>
      </c>
      <c r="C550" s="21" t="s">
        <v>315</v>
      </c>
      <c r="D550" s="21" t="s">
        <v>264</v>
      </c>
      <c r="E550" s="21" t="s">
        <v>480</v>
      </c>
      <c r="F550" s="21" t="s">
        <v>324</v>
      </c>
      <c r="G550" s="27">
        <f>G551</f>
        <v>34151.199999999997</v>
      </c>
      <c r="H550" s="209"/>
    </row>
    <row r="551" spans="1:9" ht="15.75" x14ac:dyDescent="0.25">
      <c r="A551" s="26" t="s">
        <v>325</v>
      </c>
      <c r="B551" s="17">
        <v>906</v>
      </c>
      <c r="C551" s="21" t="s">
        <v>315</v>
      </c>
      <c r="D551" s="21" t="s">
        <v>264</v>
      </c>
      <c r="E551" s="21" t="s">
        <v>480</v>
      </c>
      <c r="F551" s="21" t="s">
        <v>326</v>
      </c>
      <c r="G551" s="28">
        <f>21817.5+13206.2-481.7+562.6-953.4</f>
        <v>34151.199999999997</v>
      </c>
      <c r="H551" s="211"/>
      <c r="I551" s="153"/>
    </row>
    <row r="552" spans="1:9" ht="31.5" x14ac:dyDescent="0.25">
      <c r="A552" s="26" t="s">
        <v>482</v>
      </c>
      <c r="B552" s="17">
        <v>906</v>
      </c>
      <c r="C552" s="21" t="s">
        <v>315</v>
      </c>
      <c r="D552" s="21" t="s">
        <v>264</v>
      </c>
      <c r="E552" s="21" t="s">
        <v>483</v>
      </c>
      <c r="F552" s="21"/>
      <c r="G552" s="27">
        <f>G558+G574+G571+G577+G568+G553+G559+G562+G565</f>
        <v>6675.4</v>
      </c>
      <c r="H552" s="209"/>
    </row>
    <row r="553" spans="1:9" ht="63" hidden="1" x14ac:dyDescent="0.25">
      <c r="A553" s="26" t="s">
        <v>484</v>
      </c>
      <c r="B553" s="17">
        <v>906</v>
      </c>
      <c r="C553" s="21" t="s">
        <v>315</v>
      </c>
      <c r="D553" s="21" t="s">
        <v>264</v>
      </c>
      <c r="E553" s="21" t="s">
        <v>485</v>
      </c>
      <c r="F553" s="21"/>
      <c r="G553" s="27">
        <f t="shared" ref="G553:G554" si="98">G554</f>
        <v>0</v>
      </c>
      <c r="H553" s="209"/>
    </row>
    <row r="554" spans="1:9" ht="47.25" hidden="1" x14ac:dyDescent="0.25">
      <c r="A554" s="26" t="s">
        <v>323</v>
      </c>
      <c r="B554" s="17">
        <v>906</v>
      </c>
      <c r="C554" s="21" t="s">
        <v>315</v>
      </c>
      <c r="D554" s="21" t="s">
        <v>264</v>
      </c>
      <c r="E554" s="21" t="s">
        <v>485</v>
      </c>
      <c r="F554" s="21" t="s">
        <v>324</v>
      </c>
      <c r="G554" s="27">
        <f t="shared" si="98"/>
        <v>0</v>
      </c>
      <c r="H554" s="209"/>
    </row>
    <row r="555" spans="1:9" ht="15.75" hidden="1" x14ac:dyDescent="0.25">
      <c r="A555" s="26" t="s">
        <v>325</v>
      </c>
      <c r="B555" s="17">
        <v>906</v>
      </c>
      <c r="C555" s="21" t="s">
        <v>315</v>
      </c>
      <c r="D555" s="21" t="s">
        <v>264</v>
      </c>
      <c r="E555" s="21" t="s">
        <v>485</v>
      </c>
      <c r="F555" s="21" t="s">
        <v>326</v>
      </c>
      <c r="G555" s="27">
        <v>0</v>
      </c>
      <c r="H555" s="209"/>
    </row>
    <row r="556" spans="1:9" ht="48.75" hidden="1" customHeight="1" x14ac:dyDescent="0.25">
      <c r="A556" s="26" t="s">
        <v>486</v>
      </c>
      <c r="B556" s="17">
        <v>906</v>
      </c>
      <c r="C556" s="21" t="s">
        <v>315</v>
      </c>
      <c r="D556" s="21" t="s">
        <v>264</v>
      </c>
      <c r="E556" s="21" t="s">
        <v>487</v>
      </c>
      <c r="F556" s="21"/>
      <c r="G556" s="27">
        <f t="shared" ref="G556:G557" si="99">G557</f>
        <v>0</v>
      </c>
      <c r="H556" s="209"/>
    </row>
    <row r="557" spans="1:9" ht="47.25" hidden="1" x14ac:dyDescent="0.25">
      <c r="A557" s="26" t="s">
        <v>323</v>
      </c>
      <c r="B557" s="17">
        <v>906</v>
      </c>
      <c r="C557" s="21" t="s">
        <v>315</v>
      </c>
      <c r="D557" s="21" t="s">
        <v>264</v>
      </c>
      <c r="E557" s="21" t="s">
        <v>487</v>
      </c>
      <c r="F557" s="21" t="s">
        <v>324</v>
      </c>
      <c r="G557" s="27">
        <f t="shared" si="99"/>
        <v>0</v>
      </c>
      <c r="H557" s="209"/>
    </row>
    <row r="558" spans="1:9" ht="15.75" hidden="1" x14ac:dyDescent="0.25">
      <c r="A558" s="26" t="s">
        <v>325</v>
      </c>
      <c r="B558" s="17">
        <v>906</v>
      </c>
      <c r="C558" s="21" t="s">
        <v>315</v>
      </c>
      <c r="D558" s="21" t="s">
        <v>264</v>
      </c>
      <c r="E558" s="21" t="s">
        <v>487</v>
      </c>
      <c r="F558" s="21" t="s">
        <v>326</v>
      </c>
      <c r="G558" s="27">
        <v>0</v>
      </c>
      <c r="H558" s="209"/>
    </row>
    <row r="559" spans="1:9" ht="63" x14ac:dyDescent="0.25">
      <c r="A559" s="26" t="s">
        <v>488</v>
      </c>
      <c r="B559" s="17">
        <v>906</v>
      </c>
      <c r="C559" s="21" t="s">
        <v>315</v>
      </c>
      <c r="D559" s="21" t="s">
        <v>264</v>
      </c>
      <c r="E559" s="21" t="s">
        <v>489</v>
      </c>
      <c r="F559" s="21"/>
      <c r="G559" s="27">
        <f>G560</f>
        <v>2690</v>
      </c>
      <c r="H559" s="209"/>
    </row>
    <row r="560" spans="1:9" ht="47.25" x14ac:dyDescent="0.25">
      <c r="A560" s="26" t="s">
        <v>323</v>
      </c>
      <c r="B560" s="17">
        <v>906</v>
      </c>
      <c r="C560" s="21" t="s">
        <v>315</v>
      </c>
      <c r="D560" s="21" t="s">
        <v>264</v>
      </c>
      <c r="E560" s="21" t="s">
        <v>489</v>
      </c>
      <c r="F560" s="21" t="s">
        <v>324</v>
      </c>
      <c r="G560" s="27">
        <f t="shared" ref="G560" si="100">G561</f>
        <v>2690</v>
      </c>
      <c r="H560" s="209"/>
    </row>
    <row r="561" spans="1:8" ht="15.75" x14ac:dyDescent="0.25">
      <c r="A561" s="26" t="s">
        <v>325</v>
      </c>
      <c r="B561" s="17">
        <v>906</v>
      </c>
      <c r="C561" s="21" t="s">
        <v>315</v>
      </c>
      <c r="D561" s="21" t="s">
        <v>264</v>
      </c>
      <c r="E561" s="21" t="s">
        <v>489</v>
      </c>
      <c r="F561" s="21" t="s">
        <v>326</v>
      </c>
      <c r="G561" s="28">
        <f>3010-320</f>
        <v>2690</v>
      </c>
      <c r="H561" s="209"/>
    </row>
    <row r="562" spans="1:8" ht="63" x14ac:dyDescent="0.25">
      <c r="A562" s="26" t="s">
        <v>490</v>
      </c>
      <c r="B562" s="17">
        <v>906</v>
      </c>
      <c r="C562" s="21" t="s">
        <v>315</v>
      </c>
      <c r="D562" s="21" t="s">
        <v>264</v>
      </c>
      <c r="E562" s="21" t="s">
        <v>491</v>
      </c>
      <c r="F562" s="21"/>
      <c r="G562" s="27">
        <f t="shared" ref="G562" si="101">G563</f>
        <v>320</v>
      </c>
      <c r="H562" s="209"/>
    </row>
    <row r="563" spans="1:8" ht="47.25" x14ac:dyDescent="0.25">
      <c r="A563" s="26" t="s">
        <v>323</v>
      </c>
      <c r="B563" s="17">
        <v>906</v>
      </c>
      <c r="C563" s="21" t="s">
        <v>315</v>
      </c>
      <c r="D563" s="21" t="s">
        <v>264</v>
      </c>
      <c r="E563" s="21" t="s">
        <v>491</v>
      </c>
      <c r="F563" s="21" t="s">
        <v>324</v>
      </c>
      <c r="G563" s="27">
        <f>G564</f>
        <v>320</v>
      </c>
      <c r="H563" s="209"/>
    </row>
    <row r="564" spans="1:8" ht="15.75" x14ac:dyDescent="0.25">
      <c r="A564" s="26" t="s">
        <v>325</v>
      </c>
      <c r="B564" s="17">
        <v>906</v>
      </c>
      <c r="C564" s="21" t="s">
        <v>315</v>
      </c>
      <c r="D564" s="21" t="s">
        <v>264</v>
      </c>
      <c r="E564" s="21" t="s">
        <v>491</v>
      </c>
      <c r="F564" s="21" t="s">
        <v>326</v>
      </c>
      <c r="G564" s="27">
        <v>320</v>
      </c>
      <c r="H564" s="209"/>
    </row>
    <row r="565" spans="1:8" ht="47.25" hidden="1" x14ac:dyDescent="0.25">
      <c r="A565" s="26" t="s">
        <v>492</v>
      </c>
      <c r="B565" s="17">
        <v>906</v>
      </c>
      <c r="C565" s="21" t="s">
        <v>315</v>
      </c>
      <c r="D565" s="21" t="s">
        <v>264</v>
      </c>
      <c r="E565" s="21" t="s">
        <v>493</v>
      </c>
      <c r="F565" s="21"/>
      <c r="G565" s="27">
        <f t="shared" ref="G565:G566" si="102">G566</f>
        <v>0</v>
      </c>
      <c r="H565" s="209"/>
    </row>
    <row r="566" spans="1:8" ht="47.25" hidden="1" x14ac:dyDescent="0.25">
      <c r="A566" s="26" t="s">
        <v>323</v>
      </c>
      <c r="B566" s="17">
        <v>906</v>
      </c>
      <c r="C566" s="21" t="s">
        <v>315</v>
      </c>
      <c r="D566" s="21" t="s">
        <v>264</v>
      </c>
      <c r="E566" s="21" t="s">
        <v>493</v>
      </c>
      <c r="F566" s="21" t="s">
        <v>324</v>
      </c>
      <c r="G566" s="27">
        <f t="shared" si="102"/>
        <v>0</v>
      </c>
      <c r="H566" s="209"/>
    </row>
    <row r="567" spans="1:8" ht="15.75" hidden="1" x14ac:dyDescent="0.25">
      <c r="A567" s="26" t="s">
        <v>325</v>
      </c>
      <c r="B567" s="17">
        <v>906</v>
      </c>
      <c r="C567" s="21" t="s">
        <v>315</v>
      </c>
      <c r="D567" s="21" t="s">
        <v>264</v>
      </c>
      <c r="E567" s="21" t="s">
        <v>493</v>
      </c>
      <c r="F567" s="21" t="s">
        <v>326</v>
      </c>
      <c r="G567" s="27">
        <v>0</v>
      </c>
      <c r="H567" s="209"/>
    </row>
    <row r="568" spans="1:8" ht="47.25" x14ac:dyDescent="0.25">
      <c r="A568" s="26" t="s">
        <v>329</v>
      </c>
      <c r="B568" s="17">
        <v>906</v>
      </c>
      <c r="C568" s="21" t="s">
        <v>315</v>
      </c>
      <c r="D568" s="21" t="s">
        <v>264</v>
      </c>
      <c r="E568" s="21" t="s">
        <v>494</v>
      </c>
      <c r="F568" s="21"/>
      <c r="G568" s="27">
        <f t="shared" ref="G568:G569" si="103">G569</f>
        <v>3309</v>
      </c>
      <c r="H568" s="209"/>
    </row>
    <row r="569" spans="1:8" ht="47.25" x14ac:dyDescent="0.25">
      <c r="A569" s="26" t="s">
        <v>323</v>
      </c>
      <c r="B569" s="17">
        <v>906</v>
      </c>
      <c r="C569" s="21" t="s">
        <v>315</v>
      </c>
      <c r="D569" s="21" t="s">
        <v>264</v>
      </c>
      <c r="E569" s="21" t="s">
        <v>494</v>
      </c>
      <c r="F569" s="21" t="s">
        <v>324</v>
      </c>
      <c r="G569" s="27">
        <f t="shared" si="103"/>
        <v>3309</v>
      </c>
      <c r="H569" s="209"/>
    </row>
    <row r="570" spans="1:8" ht="15.75" x14ac:dyDescent="0.25">
      <c r="A570" s="26" t="s">
        <v>325</v>
      </c>
      <c r="B570" s="17">
        <v>906</v>
      </c>
      <c r="C570" s="21" t="s">
        <v>315</v>
      </c>
      <c r="D570" s="21" t="s">
        <v>264</v>
      </c>
      <c r="E570" s="21" t="s">
        <v>494</v>
      </c>
      <c r="F570" s="21" t="s">
        <v>326</v>
      </c>
      <c r="G570" s="27">
        <f>341+2968</f>
        <v>3309</v>
      </c>
      <c r="H570" s="146"/>
    </row>
    <row r="571" spans="1:8" ht="31.5" hidden="1" x14ac:dyDescent="0.25">
      <c r="A571" s="26" t="s">
        <v>331</v>
      </c>
      <c r="B571" s="17">
        <v>906</v>
      </c>
      <c r="C571" s="21" t="s">
        <v>315</v>
      </c>
      <c r="D571" s="21" t="s">
        <v>264</v>
      </c>
      <c r="E571" s="21" t="s">
        <v>495</v>
      </c>
      <c r="F571" s="21"/>
      <c r="G571" s="27">
        <f t="shared" ref="G571:G572" si="104">G572</f>
        <v>0</v>
      </c>
      <c r="H571" s="209"/>
    </row>
    <row r="572" spans="1:8" ht="47.25" hidden="1" x14ac:dyDescent="0.25">
      <c r="A572" s="26" t="s">
        <v>323</v>
      </c>
      <c r="B572" s="17">
        <v>906</v>
      </c>
      <c r="C572" s="21" t="s">
        <v>315</v>
      </c>
      <c r="D572" s="21" t="s">
        <v>264</v>
      </c>
      <c r="E572" s="21" t="s">
        <v>495</v>
      </c>
      <c r="F572" s="21" t="s">
        <v>324</v>
      </c>
      <c r="G572" s="27">
        <f t="shared" si="104"/>
        <v>0</v>
      </c>
      <c r="H572" s="209"/>
    </row>
    <row r="573" spans="1:8" ht="15.75" hidden="1" x14ac:dyDescent="0.25">
      <c r="A573" s="26" t="s">
        <v>325</v>
      </c>
      <c r="B573" s="17">
        <v>906</v>
      </c>
      <c r="C573" s="21" t="s">
        <v>315</v>
      </c>
      <c r="D573" s="21" t="s">
        <v>264</v>
      </c>
      <c r="E573" s="21" t="s">
        <v>495</v>
      </c>
      <c r="F573" s="21" t="s">
        <v>326</v>
      </c>
      <c r="G573" s="27">
        <v>0</v>
      </c>
      <c r="H573" s="209"/>
    </row>
    <row r="574" spans="1:8" ht="47.25" x14ac:dyDescent="0.25">
      <c r="A574" s="26" t="s">
        <v>333</v>
      </c>
      <c r="B574" s="17">
        <v>906</v>
      </c>
      <c r="C574" s="21" t="s">
        <v>315</v>
      </c>
      <c r="D574" s="21" t="s">
        <v>264</v>
      </c>
      <c r="E574" s="21" t="s">
        <v>496</v>
      </c>
      <c r="F574" s="21"/>
      <c r="G574" s="27">
        <f>G575</f>
        <v>127</v>
      </c>
      <c r="H574" s="209"/>
    </row>
    <row r="575" spans="1:8" ht="47.25" x14ac:dyDescent="0.25">
      <c r="A575" s="26" t="s">
        <v>323</v>
      </c>
      <c r="B575" s="17">
        <v>906</v>
      </c>
      <c r="C575" s="21" t="s">
        <v>315</v>
      </c>
      <c r="D575" s="21" t="s">
        <v>264</v>
      </c>
      <c r="E575" s="21" t="s">
        <v>496</v>
      </c>
      <c r="F575" s="21" t="s">
        <v>324</v>
      </c>
      <c r="G575" s="27">
        <f t="shared" ref="G575" si="105">G576</f>
        <v>127</v>
      </c>
      <c r="H575" s="209"/>
    </row>
    <row r="576" spans="1:8" ht="15.75" x14ac:dyDescent="0.25">
      <c r="A576" s="26" t="s">
        <v>325</v>
      </c>
      <c r="B576" s="17">
        <v>906</v>
      </c>
      <c r="C576" s="21" t="s">
        <v>315</v>
      </c>
      <c r="D576" s="21" t="s">
        <v>264</v>
      </c>
      <c r="E576" s="21" t="s">
        <v>496</v>
      </c>
      <c r="F576" s="21" t="s">
        <v>326</v>
      </c>
      <c r="G576" s="27">
        <v>127</v>
      </c>
      <c r="H576" s="209"/>
    </row>
    <row r="577" spans="1:12" ht="31.5" x14ac:dyDescent="0.25">
      <c r="A577" s="26" t="s">
        <v>335</v>
      </c>
      <c r="B577" s="17">
        <v>906</v>
      </c>
      <c r="C577" s="21" t="s">
        <v>315</v>
      </c>
      <c r="D577" s="21" t="s">
        <v>264</v>
      </c>
      <c r="E577" s="21" t="s">
        <v>497</v>
      </c>
      <c r="F577" s="21"/>
      <c r="G577" s="27">
        <f t="shared" ref="G577:G578" si="106">G578</f>
        <v>229.4</v>
      </c>
      <c r="H577" s="209"/>
    </row>
    <row r="578" spans="1:12" ht="47.25" x14ac:dyDescent="0.25">
      <c r="A578" s="26" t="s">
        <v>323</v>
      </c>
      <c r="B578" s="17">
        <v>906</v>
      </c>
      <c r="C578" s="21" t="s">
        <v>315</v>
      </c>
      <c r="D578" s="21" t="s">
        <v>264</v>
      </c>
      <c r="E578" s="21" t="s">
        <v>497</v>
      </c>
      <c r="F578" s="21" t="s">
        <v>324</v>
      </c>
      <c r="G578" s="27">
        <f t="shared" si="106"/>
        <v>229.4</v>
      </c>
      <c r="H578" s="209"/>
    </row>
    <row r="579" spans="1:12" ht="15.75" x14ac:dyDescent="0.25">
      <c r="A579" s="26" t="s">
        <v>325</v>
      </c>
      <c r="B579" s="17">
        <v>906</v>
      </c>
      <c r="C579" s="21" t="s">
        <v>315</v>
      </c>
      <c r="D579" s="21" t="s">
        <v>264</v>
      </c>
      <c r="E579" s="21" t="s">
        <v>497</v>
      </c>
      <c r="F579" s="21" t="s">
        <v>326</v>
      </c>
      <c r="G579" s="27">
        <v>229.4</v>
      </c>
      <c r="H579" s="132"/>
      <c r="I579" s="152"/>
    </row>
    <row r="580" spans="1:12" ht="15.75" x14ac:dyDescent="0.25">
      <c r="A580" s="26" t="s">
        <v>172</v>
      </c>
      <c r="B580" s="17">
        <v>906</v>
      </c>
      <c r="C580" s="21" t="s">
        <v>315</v>
      </c>
      <c r="D580" s="21" t="s">
        <v>264</v>
      </c>
      <c r="E580" s="21" t="s">
        <v>173</v>
      </c>
      <c r="F580" s="21"/>
      <c r="G580" s="27">
        <f t="shared" ref="G580" si="107">G581</f>
        <v>89857.8</v>
      </c>
      <c r="H580" s="209"/>
    </row>
    <row r="581" spans="1:12" ht="31.5" x14ac:dyDescent="0.25">
      <c r="A581" s="26" t="s">
        <v>236</v>
      </c>
      <c r="B581" s="17">
        <v>906</v>
      </c>
      <c r="C581" s="21" t="s">
        <v>315</v>
      </c>
      <c r="D581" s="21" t="s">
        <v>264</v>
      </c>
      <c r="E581" s="21" t="s">
        <v>237</v>
      </c>
      <c r="F581" s="21"/>
      <c r="G581" s="27">
        <f>G588+G591+G597+G600+G603+G606+G582+G585+G609+G594</f>
        <v>89857.8</v>
      </c>
      <c r="H581" s="209"/>
    </row>
    <row r="582" spans="1:12" ht="47.25" hidden="1" x14ac:dyDescent="0.25">
      <c r="A582" s="26" t="s">
        <v>502</v>
      </c>
      <c r="B582" s="17">
        <v>906</v>
      </c>
      <c r="C582" s="21" t="s">
        <v>315</v>
      </c>
      <c r="D582" s="21" t="s">
        <v>264</v>
      </c>
      <c r="E582" s="21" t="s">
        <v>503</v>
      </c>
      <c r="F582" s="21"/>
      <c r="G582" s="27">
        <f t="shared" ref="G582:G583" si="108">G583</f>
        <v>0</v>
      </c>
      <c r="H582" s="209"/>
    </row>
    <row r="583" spans="1:12" ht="47.25" hidden="1" x14ac:dyDescent="0.25">
      <c r="A583" s="26" t="s">
        <v>323</v>
      </c>
      <c r="B583" s="17">
        <v>906</v>
      </c>
      <c r="C583" s="21" t="s">
        <v>315</v>
      </c>
      <c r="D583" s="21" t="s">
        <v>264</v>
      </c>
      <c r="E583" s="21" t="s">
        <v>503</v>
      </c>
      <c r="F583" s="21" t="s">
        <v>324</v>
      </c>
      <c r="G583" s="27">
        <f t="shared" si="108"/>
        <v>0</v>
      </c>
      <c r="H583" s="209"/>
    </row>
    <row r="584" spans="1:12" ht="15.75" hidden="1" x14ac:dyDescent="0.25">
      <c r="A584" s="26" t="s">
        <v>325</v>
      </c>
      <c r="B584" s="17">
        <v>906</v>
      </c>
      <c r="C584" s="21" t="s">
        <v>315</v>
      </c>
      <c r="D584" s="21" t="s">
        <v>264</v>
      </c>
      <c r="E584" s="21" t="s">
        <v>503</v>
      </c>
      <c r="F584" s="21" t="s">
        <v>326</v>
      </c>
      <c r="G584" s="27">
        <v>0</v>
      </c>
      <c r="H584" s="209"/>
    </row>
    <row r="585" spans="1:12" ht="15.75" hidden="1" x14ac:dyDescent="0.25">
      <c r="A585" s="26" t="s">
        <v>504</v>
      </c>
      <c r="B585" s="17">
        <v>906</v>
      </c>
      <c r="C585" s="21" t="s">
        <v>315</v>
      </c>
      <c r="D585" s="21" t="s">
        <v>264</v>
      </c>
      <c r="E585" s="21" t="s">
        <v>505</v>
      </c>
      <c r="F585" s="21"/>
      <c r="G585" s="27">
        <f t="shared" ref="G585:G586" si="109">G586</f>
        <v>0</v>
      </c>
      <c r="H585" s="209"/>
    </row>
    <row r="586" spans="1:12" ht="47.25" hidden="1" x14ac:dyDescent="0.25">
      <c r="A586" s="26" t="s">
        <v>323</v>
      </c>
      <c r="B586" s="17">
        <v>906</v>
      </c>
      <c r="C586" s="21" t="s">
        <v>315</v>
      </c>
      <c r="D586" s="21" t="s">
        <v>264</v>
      </c>
      <c r="E586" s="21" t="s">
        <v>505</v>
      </c>
      <c r="F586" s="21" t="s">
        <v>324</v>
      </c>
      <c r="G586" s="27">
        <f t="shared" si="109"/>
        <v>0</v>
      </c>
      <c r="H586" s="209"/>
    </row>
    <row r="587" spans="1:12" ht="15.75" hidden="1" x14ac:dyDescent="0.25">
      <c r="A587" s="26" t="s">
        <v>325</v>
      </c>
      <c r="B587" s="17">
        <v>906</v>
      </c>
      <c r="C587" s="21" t="s">
        <v>315</v>
      </c>
      <c r="D587" s="21" t="s">
        <v>264</v>
      </c>
      <c r="E587" s="21" t="s">
        <v>505</v>
      </c>
      <c r="F587" s="21" t="s">
        <v>326</v>
      </c>
      <c r="G587" s="28">
        <v>0</v>
      </c>
      <c r="H587" s="209"/>
    </row>
    <row r="588" spans="1:12" ht="31.5" hidden="1" x14ac:dyDescent="0.25">
      <c r="A588" s="26" t="s">
        <v>506</v>
      </c>
      <c r="B588" s="17">
        <v>906</v>
      </c>
      <c r="C588" s="21" t="s">
        <v>315</v>
      </c>
      <c r="D588" s="21" t="s">
        <v>264</v>
      </c>
      <c r="E588" s="21" t="s">
        <v>507</v>
      </c>
      <c r="F588" s="21"/>
      <c r="G588" s="27">
        <f t="shared" ref="G588:G589" si="110">G589</f>
        <v>0</v>
      </c>
      <c r="H588" s="209"/>
    </row>
    <row r="589" spans="1:12" ht="47.25" hidden="1" x14ac:dyDescent="0.25">
      <c r="A589" s="26" t="s">
        <v>323</v>
      </c>
      <c r="B589" s="17">
        <v>906</v>
      </c>
      <c r="C589" s="21" t="s">
        <v>315</v>
      </c>
      <c r="D589" s="21" t="s">
        <v>264</v>
      </c>
      <c r="E589" s="21" t="s">
        <v>507</v>
      </c>
      <c r="F589" s="21" t="s">
        <v>324</v>
      </c>
      <c r="G589" s="27">
        <f t="shared" si="110"/>
        <v>0</v>
      </c>
      <c r="H589" s="209"/>
    </row>
    <row r="590" spans="1:12" ht="15.75" hidden="1" x14ac:dyDescent="0.25">
      <c r="A590" s="26" t="s">
        <v>325</v>
      </c>
      <c r="B590" s="17">
        <v>906</v>
      </c>
      <c r="C590" s="21" t="s">
        <v>315</v>
      </c>
      <c r="D590" s="21" t="s">
        <v>264</v>
      </c>
      <c r="E590" s="21" t="s">
        <v>507</v>
      </c>
      <c r="F590" s="21" t="s">
        <v>326</v>
      </c>
      <c r="G590" s="27">
        <f>157.3-157.3</f>
        <v>0</v>
      </c>
      <c r="H590" s="209"/>
      <c r="I590" s="141"/>
    </row>
    <row r="591" spans="1:12" ht="31.5" x14ac:dyDescent="0.25">
      <c r="A591" s="26" t="s">
        <v>508</v>
      </c>
      <c r="B591" s="17">
        <v>906</v>
      </c>
      <c r="C591" s="21" t="s">
        <v>315</v>
      </c>
      <c r="D591" s="21" t="s">
        <v>264</v>
      </c>
      <c r="E591" s="21" t="s">
        <v>509</v>
      </c>
      <c r="F591" s="21"/>
      <c r="G591" s="27">
        <f t="shared" ref="G591" si="111">G592</f>
        <v>1293.5999999999999</v>
      </c>
      <c r="H591" s="209"/>
    </row>
    <row r="592" spans="1:12" ht="47.25" x14ac:dyDescent="0.25">
      <c r="A592" s="26" t="s">
        <v>323</v>
      </c>
      <c r="B592" s="17">
        <v>906</v>
      </c>
      <c r="C592" s="21" t="s">
        <v>315</v>
      </c>
      <c r="D592" s="21" t="s">
        <v>264</v>
      </c>
      <c r="E592" s="21" t="s">
        <v>509</v>
      </c>
      <c r="F592" s="21" t="s">
        <v>324</v>
      </c>
      <c r="G592" s="27">
        <f>G593</f>
        <v>1293.5999999999999</v>
      </c>
      <c r="H592" s="209"/>
      <c r="L592" s="142"/>
    </row>
    <row r="593" spans="1:9" ht="15.75" x14ac:dyDescent="0.25">
      <c r="A593" s="26" t="s">
        <v>325</v>
      </c>
      <c r="B593" s="17">
        <v>906</v>
      </c>
      <c r="C593" s="21" t="s">
        <v>315</v>
      </c>
      <c r="D593" s="21" t="s">
        <v>264</v>
      </c>
      <c r="E593" s="21" t="s">
        <v>509</v>
      </c>
      <c r="F593" s="21" t="s">
        <v>326</v>
      </c>
      <c r="G593" s="28">
        <f>1572.5-278.9</f>
        <v>1293.5999999999999</v>
      </c>
      <c r="H593" s="209"/>
      <c r="I593" s="141"/>
    </row>
    <row r="594" spans="1:9" ht="47.25" x14ac:dyDescent="0.25">
      <c r="A594" s="26" t="s">
        <v>510</v>
      </c>
      <c r="B594" s="17">
        <v>906</v>
      </c>
      <c r="C594" s="21" t="s">
        <v>315</v>
      </c>
      <c r="D594" s="21" t="s">
        <v>264</v>
      </c>
      <c r="E594" s="21" t="s">
        <v>511</v>
      </c>
      <c r="F594" s="21"/>
      <c r="G594" s="28">
        <f>G595</f>
        <v>488.7</v>
      </c>
      <c r="H594" s="209"/>
    </row>
    <row r="595" spans="1:9" ht="47.25" x14ac:dyDescent="0.25">
      <c r="A595" s="26" t="s">
        <v>323</v>
      </c>
      <c r="B595" s="17">
        <v>906</v>
      </c>
      <c r="C595" s="21" t="s">
        <v>315</v>
      </c>
      <c r="D595" s="21" t="s">
        <v>264</v>
      </c>
      <c r="E595" s="21" t="s">
        <v>511</v>
      </c>
      <c r="F595" s="21" t="s">
        <v>324</v>
      </c>
      <c r="G595" s="28">
        <f t="shared" ref="G595" si="112">G596</f>
        <v>488.7</v>
      </c>
      <c r="H595" s="209"/>
    </row>
    <row r="596" spans="1:9" ht="15.75" x14ac:dyDescent="0.25">
      <c r="A596" s="26" t="s">
        <v>325</v>
      </c>
      <c r="B596" s="17">
        <v>906</v>
      </c>
      <c r="C596" s="21" t="s">
        <v>315</v>
      </c>
      <c r="D596" s="21" t="s">
        <v>264</v>
      </c>
      <c r="E596" s="21" t="s">
        <v>511</v>
      </c>
      <c r="F596" s="21" t="s">
        <v>326</v>
      </c>
      <c r="G596" s="28">
        <f>733.5-244.8</f>
        <v>488.7</v>
      </c>
      <c r="H596" s="209"/>
      <c r="I596" s="141"/>
    </row>
    <row r="597" spans="1:9" ht="94.5" x14ac:dyDescent="0.25">
      <c r="A597" s="33" t="s">
        <v>512</v>
      </c>
      <c r="B597" s="17">
        <v>906</v>
      </c>
      <c r="C597" s="21" t="s">
        <v>315</v>
      </c>
      <c r="D597" s="21" t="s">
        <v>264</v>
      </c>
      <c r="E597" s="21" t="s">
        <v>513</v>
      </c>
      <c r="F597" s="21"/>
      <c r="G597" s="27">
        <f t="shared" ref="G597" si="113">G598</f>
        <v>79753.600000000006</v>
      </c>
      <c r="H597" s="209"/>
    </row>
    <row r="598" spans="1:9" ht="47.25" x14ac:dyDescent="0.25">
      <c r="A598" s="26" t="s">
        <v>323</v>
      </c>
      <c r="B598" s="17">
        <v>906</v>
      </c>
      <c r="C598" s="21" t="s">
        <v>315</v>
      </c>
      <c r="D598" s="21" t="s">
        <v>264</v>
      </c>
      <c r="E598" s="21" t="s">
        <v>513</v>
      </c>
      <c r="F598" s="21" t="s">
        <v>324</v>
      </c>
      <c r="G598" s="27">
        <f>G599</f>
        <v>79753.600000000006</v>
      </c>
      <c r="H598" s="209"/>
    </row>
    <row r="599" spans="1:9" ht="15.75" x14ac:dyDescent="0.25">
      <c r="A599" s="26" t="s">
        <v>325</v>
      </c>
      <c r="B599" s="17">
        <v>906</v>
      </c>
      <c r="C599" s="21" t="s">
        <v>315</v>
      </c>
      <c r="D599" s="21" t="s">
        <v>264</v>
      </c>
      <c r="E599" s="21" t="s">
        <v>513</v>
      </c>
      <c r="F599" s="21" t="s">
        <v>326</v>
      </c>
      <c r="G599" s="28">
        <f>93568.6-13815</f>
        <v>79753.600000000006</v>
      </c>
      <c r="H599" s="209"/>
      <c r="I599" s="141"/>
    </row>
    <row r="600" spans="1:9" ht="63" x14ac:dyDescent="0.25">
      <c r="A600" s="33" t="s">
        <v>340</v>
      </c>
      <c r="B600" s="17">
        <v>906</v>
      </c>
      <c r="C600" s="21" t="s">
        <v>315</v>
      </c>
      <c r="D600" s="21" t="s">
        <v>264</v>
      </c>
      <c r="E600" s="21" t="s">
        <v>341</v>
      </c>
      <c r="F600" s="21"/>
      <c r="G600" s="27">
        <f>G601</f>
        <v>910.90000000000009</v>
      </c>
      <c r="H600" s="209"/>
    </row>
    <row r="601" spans="1:9" ht="47.25" x14ac:dyDescent="0.25">
      <c r="A601" s="26" t="s">
        <v>323</v>
      </c>
      <c r="B601" s="17">
        <v>906</v>
      </c>
      <c r="C601" s="21" t="s">
        <v>315</v>
      </c>
      <c r="D601" s="21" t="s">
        <v>264</v>
      </c>
      <c r="E601" s="21" t="s">
        <v>341</v>
      </c>
      <c r="F601" s="21" t="s">
        <v>324</v>
      </c>
      <c r="G601" s="27">
        <f t="shared" ref="G601" si="114">G602</f>
        <v>910.90000000000009</v>
      </c>
      <c r="H601" s="209"/>
    </row>
    <row r="602" spans="1:9" ht="15.75" x14ac:dyDescent="0.25">
      <c r="A602" s="26" t="s">
        <v>325</v>
      </c>
      <c r="B602" s="17">
        <v>906</v>
      </c>
      <c r="C602" s="21" t="s">
        <v>315</v>
      </c>
      <c r="D602" s="21" t="s">
        <v>264</v>
      </c>
      <c r="E602" s="21" t="s">
        <v>341</v>
      </c>
      <c r="F602" s="21" t="s">
        <v>326</v>
      </c>
      <c r="G602" s="28">
        <f>1101.7-190.8</f>
        <v>910.90000000000009</v>
      </c>
      <c r="H602" s="209"/>
      <c r="I602" s="141"/>
    </row>
    <row r="603" spans="1:9" ht="78.75" x14ac:dyDescent="0.25">
      <c r="A603" s="33" t="s">
        <v>342</v>
      </c>
      <c r="B603" s="17">
        <v>906</v>
      </c>
      <c r="C603" s="21" t="s">
        <v>315</v>
      </c>
      <c r="D603" s="21" t="s">
        <v>264</v>
      </c>
      <c r="E603" s="21" t="s">
        <v>343</v>
      </c>
      <c r="F603" s="21"/>
      <c r="G603" s="27">
        <f>G604</f>
        <v>2155.5</v>
      </c>
      <c r="H603" s="209"/>
    </row>
    <row r="604" spans="1:9" ht="47.25" x14ac:dyDescent="0.25">
      <c r="A604" s="26" t="s">
        <v>323</v>
      </c>
      <c r="B604" s="17">
        <v>906</v>
      </c>
      <c r="C604" s="21" t="s">
        <v>315</v>
      </c>
      <c r="D604" s="21" t="s">
        <v>264</v>
      </c>
      <c r="E604" s="21" t="s">
        <v>343</v>
      </c>
      <c r="F604" s="21" t="s">
        <v>324</v>
      </c>
      <c r="G604" s="27">
        <f t="shared" ref="G604" si="115">G605</f>
        <v>2155.5</v>
      </c>
      <c r="H604" s="209"/>
    </row>
    <row r="605" spans="1:9" ht="15.75" x14ac:dyDescent="0.25">
      <c r="A605" s="26" t="s">
        <v>325</v>
      </c>
      <c r="B605" s="17">
        <v>906</v>
      </c>
      <c r="C605" s="21" t="s">
        <v>315</v>
      </c>
      <c r="D605" s="21" t="s">
        <v>264</v>
      </c>
      <c r="E605" s="21" t="s">
        <v>343</v>
      </c>
      <c r="F605" s="21" t="s">
        <v>326</v>
      </c>
      <c r="G605" s="28">
        <f>2823.2-667.7</f>
        <v>2155.5</v>
      </c>
      <c r="H605" s="209"/>
      <c r="I605" s="141"/>
    </row>
    <row r="606" spans="1:9" ht="47.25" x14ac:dyDescent="0.25">
      <c r="A606" s="33" t="s">
        <v>514</v>
      </c>
      <c r="B606" s="17">
        <v>906</v>
      </c>
      <c r="C606" s="21" t="s">
        <v>315</v>
      </c>
      <c r="D606" s="21" t="s">
        <v>264</v>
      </c>
      <c r="E606" s="21" t="s">
        <v>515</v>
      </c>
      <c r="F606" s="21"/>
      <c r="G606" s="27">
        <f t="shared" ref="G606" si="116">G607</f>
        <v>886.5</v>
      </c>
      <c r="H606" s="209"/>
    </row>
    <row r="607" spans="1:9" ht="47.25" x14ac:dyDescent="0.25">
      <c r="A607" s="26" t="s">
        <v>323</v>
      </c>
      <c r="B607" s="17">
        <v>906</v>
      </c>
      <c r="C607" s="21" t="s">
        <v>315</v>
      </c>
      <c r="D607" s="21" t="s">
        <v>264</v>
      </c>
      <c r="E607" s="21" t="s">
        <v>515</v>
      </c>
      <c r="F607" s="21" t="s">
        <v>324</v>
      </c>
      <c r="G607" s="27">
        <f>G608</f>
        <v>886.5</v>
      </c>
      <c r="H607" s="209"/>
    </row>
    <row r="608" spans="1:9" ht="15.75" x14ac:dyDescent="0.25">
      <c r="A608" s="26" t="s">
        <v>325</v>
      </c>
      <c r="B608" s="17">
        <v>906</v>
      </c>
      <c r="C608" s="21" t="s">
        <v>315</v>
      </c>
      <c r="D608" s="21" t="s">
        <v>264</v>
      </c>
      <c r="E608" s="21" t="s">
        <v>515</v>
      </c>
      <c r="F608" s="21" t="s">
        <v>326</v>
      </c>
      <c r="G608" s="28">
        <f>998.4-111.9</f>
        <v>886.5</v>
      </c>
      <c r="H608" s="209"/>
      <c r="I608" s="141"/>
    </row>
    <row r="609" spans="1:9" ht="110.25" x14ac:dyDescent="0.25">
      <c r="A609" s="33" t="s">
        <v>516</v>
      </c>
      <c r="B609" s="17">
        <v>906</v>
      </c>
      <c r="C609" s="21" t="s">
        <v>315</v>
      </c>
      <c r="D609" s="21" t="s">
        <v>264</v>
      </c>
      <c r="E609" s="21" t="s">
        <v>345</v>
      </c>
      <c r="F609" s="21"/>
      <c r="G609" s="27">
        <f>G610</f>
        <v>4369</v>
      </c>
      <c r="H609" s="209"/>
    </row>
    <row r="610" spans="1:9" ht="47.25" x14ac:dyDescent="0.25">
      <c r="A610" s="26" t="s">
        <v>323</v>
      </c>
      <c r="B610" s="17">
        <v>906</v>
      </c>
      <c r="C610" s="21" t="s">
        <v>315</v>
      </c>
      <c r="D610" s="21" t="s">
        <v>264</v>
      </c>
      <c r="E610" s="21" t="s">
        <v>345</v>
      </c>
      <c r="F610" s="21" t="s">
        <v>324</v>
      </c>
      <c r="G610" s="27">
        <f t="shared" ref="G610" si="117">G611</f>
        <v>4369</v>
      </c>
      <c r="H610" s="209"/>
    </row>
    <row r="611" spans="1:9" ht="15.75" x14ac:dyDescent="0.25">
      <c r="A611" s="26" t="s">
        <v>325</v>
      </c>
      <c r="B611" s="17">
        <v>906</v>
      </c>
      <c r="C611" s="21" t="s">
        <v>315</v>
      </c>
      <c r="D611" s="21" t="s">
        <v>264</v>
      </c>
      <c r="E611" s="21" t="s">
        <v>345</v>
      </c>
      <c r="F611" s="21" t="s">
        <v>326</v>
      </c>
      <c r="G611" s="28">
        <f>5441.9-1072.9</f>
        <v>4369</v>
      </c>
      <c r="H611" s="209"/>
      <c r="I611" s="141"/>
    </row>
    <row r="612" spans="1:9" ht="15.75" x14ac:dyDescent="0.25">
      <c r="A612" s="24" t="s">
        <v>316</v>
      </c>
      <c r="B612" s="20">
        <v>906</v>
      </c>
      <c r="C612" s="25" t="s">
        <v>315</v>
      </c>
      <c r="D612" s="25" t="s">
        <v>266</v>
      </c>
      <c r="E612" s="25"/>
      <c r="F612" s="25"/>
      <c r="G612" s="46">
        <f>G613+G622</f>
        <v>23062.100000000002</v>
      </c>
      <c r="H612" s="209"/>
      <c r="I612" s="141"/>
    </row>
    <row r="613" spans="1:9" ht="47.25" x14ac:dyDescent="0.25">
      <c r="A613" s="26" t="s">
        <v>478</v>
      </c>
      <c r="B613" s="17">
        <v>906</v>
      </c>
      <c r="C613" s="21" t="s">
        <v>315</v>
      </c>
      <c r="D613" s="21" t="s">
        <v>266</v>
      </c>
      <c r="E613" s="21" t="s">
        <v>458</v>
      </c>
      <c r="F613" s="21"/>
      <c r="G613" s="28">
        <f>G614+G620</f>
        <v>21479.9</v>
      </c>
      <c r="H613" s="209"/>
      <c r="I613" s="141"/>
    </row>
    <row r="614" spans="1:9" ht="47.25" x14ac:dyDescent="0.25">
      <c r="A614" s="26" t="s">
        <v>459</v>
      </c>
      <c r="B614" s="17">
        <v>906</v>
      </c>
      <c r="C614" s="21" t="s">
        <v>315</v>
      </c>
      <c r="D614" s="21" t="s">
        <v>266</v>
      </c>
      <c r="E614" s="21" t="s">
        <v>460</v>
      </c>
      <c r="F614" s="21"/>
      <c r="G614" s="28">
        <f>G615</f>
        <v>21124</v>
      </c>
      <c r="H614" s="209"/>
      <c r="I614" s="141"/>
    </row>
    <row r="615" spans="1:9" ht="47.25" x14ac:dyDescent="0.25">
      <c r="A615" s="26" t="s">
        <v>321</v>
      </c>
      <c r="B615" s="17">
        <v>906</v>
      </c>
      <c r="C615" s="21" t="s">
        <v>315</v>
      </c>
      <c r="D615" s="21" t="s">
        <v>266</v>
      </c>
      <c r="E615" s="21" t="s">
        <v>481</v>
      </c>
      <c r="F615" s="21"/>
      <c r="G615" s="28">
        <f>G616</f>
        <v>21124</v>
      </c>
      <c r="H615" s="209"/>
      <c r="I615" s="141"/>
    </row>
    <row r="616" spans="1:9" ht="47.25" x14ac:dyDescent="0.25">
      <c r="A616" s="26" t="s">
        <v>323</v>
      </c>
      <c r="B616" s="17">
        <v>906</v>
      </c>
      <c r="C616" s="21" t="s">
        <v>315</v>
      </c>
      <c r="D616" s="21" t="s">
        <v>266</v>
      </c>
      <c r="E616" s="21" t="s">
        <v>481</v>
      </c>
      <c r="F616" s="21" t="s">
        <v>324</v>
      </c>
      <c r="G616" s="28">
        <f>G617</f>
        <v>21124</v>
      </c>
      <c r="H616" s="209"/>
      <c r="I616" s="141"/>
    </row>
    <row r="617" spans="1:9" ht="15.75" x14ac:dyDescent="0.25">
      <c r="A617" s="26" t="s">
        <v>325</v>
      </c>
      <c r="B617" s="17">
        <v>906</v>
      </c>
      <c r="C617" s="21" t="s">
        <v>315</v>
      </c>
      <c r="D617" s="21" t="s">
        <v>266</v>
      </c>
      <c r="E617" s="21" t="s">
        <v>481</v>
      </c>
      <c r="F617" s="21" t="s">
        <v>326</v>
      </c>
      <c r="G617" s="28">
        <f>21044+80</f>
        <v>21124</v>
      </c>
      <c r="H617" s="132"/>
      <c r="I617" s="153"/>
    </row>
    <row r="618" spans="1:9" ht="47.25" x14ac:dyDescent="0.25">
      <c r="A618" s="33" t="s">
        <v>790</v>
      </c>
      <c r="B618" s="17">
        <v>906</v>
      </c>
      <c r="C618" s="21" t="s">
        <v>315</v>
      </c>
      <c r="D618" s="21" t="s">
        <v>266</v>
      </c>
      <c r="E618" s="21" t="s">
        <v>499</v>
      </c>
      <c r="F618" s="21"/>
      <c r="G618" s="28">
        <f>G619</f>
        <v>355.9</v>
      </c>
      <c r="H618" s="209"/>
      <c r="I618" s="141"/>
    </row>
    <row r="619" spans="1:9" ht="31.5" x14ac:dyDescent="0.25">
      <c r="A619" s="47" t="s">
        <v>791</v>
      </c>
      <c r="B619" s="17">
        <v>906</v>
      </c>
      <c r="C619" s="21" t="s">
        <v>315</v>
      </c>
      <c r="D619" s="21" t="s">
        <v>266</v>
      </c>
      <c r="E619" s="21" t="s">
        <v>792</v>
      </c>
      <c r="F619" s="21"/>
      <c r="G619" s="28">
        <f>G620</f>
        <v>355.9</v>
      </c>
      <c r="H619" s="209"/>
      <c r="I619" s="141"/>
    </row>
    <row r="620" spans="1:9" ht="47.25" x14ac:dyDescent="0.25">
      <c r="A620" s="33" t="s">
        <v>323</v>
      </c>
      <c r="B620" s="17">
        <v>906</v>
      </c>
      <c r="C620" s="21" t="s">
        <v>315</v>
      </c>
      <c r="D620" s="21" t="s">
        <v>266</v>
      </c>
      <c r="E620" s="21" t="s">
        <v>792</v>
      </c>
      <c r="F620" s="21" t="s">
        <v>324</v>
      </c>
      <c r="G620" s="28">
        <f>G621</f>
        <v>355.9</v>
      </c>
      <c r="H620" s="132"/>
      <c r="I620" s="141"/>
    </row>
    <row r="621" spans="1:9" ht="15.75" x14ac:dyDescent="0.25">
      <c r="A621" s="33" t="s">
        <v>325</v>
      </c>
      <c r="B621" s="17">
        <v>906</v>
      </c>
      <c r="C621" s="21" t="s">
        <v>315</v>
      </c>
      <c r="D621" s="21" t="s">
        <v>266</v>
      </c>
      <c r="E621" s="21" t="s">
        <v>792</v>
      </c>
      <c r="F621" s="21" t="s">
        <v>326</v>
      </c>
      <c r="G621" s="28">
        <v>355.9</v>
      </c>
      <c r="H621" s="209"/>
      <c r="I621" s="141"/>
    </row>
    <row r="622" spans="1:9" ht="15.75" x14ac:dyDescent="0.25">
      <c r="A622" s="26" t="s">
        <v>517</v>
      </c>
      <c r="B622" s="17">
        <v>906</v>
      </c>
      <c r="C622" s="21" t="s">
        <v>315</v>
      </c>
      <c r="D622" s="21" t="s">
        <v>266</v>
      </c>
      <c r="E622" s="21" t="s">
        <v>173</v>
      </c>
      <c r="F622" s="21"/>
      <c r="G622" s="28">
        <f>G623</f>
        <v>1582.2</v>
      </c>
      <c r="H622" s="209"/>
      <c r="I622" s="141"/>
    </row>
    <row r="623" spans="1:9" ht="31.5" x14ac:dyDescent="0.25">
      <c r="A623" s="26" t="s">
        <v>236</v>
      </c>
      <c r="B623" s="17">
        <v>906</v>
      </c>
      <c r="C623" s="21" t="s">
        <v>315</v>
      </c>
      <c r="D623" s="21" t="s">
        <v>266</v>
      </c>
      <c r="E623" s="21" t="s">
        <v>237</v>
      </c>
      <c r="F623" s="21"/>
      <c r="G623" s="28">
        <f>G624+G627+G630</f>
        <v>1582.2</v>
      </c>
      <c r="H623" s="209"/>
      <c r="I623" s="141"/>
    </row>
    <row r="624" spans="1:9" ht="63" x14ac:dyDescent="0.25">
      <c r="A624" s="33" t="s">
        <v>340</v>
      </c>
      <c r="B624" s="17">
        <v>906</v>
      </c>
      <c r="C624" s="21" t="s">
        <v>315</v>
      </c>
      <c r="D624" s="21" t="s">
        <v>266</v>
      </c>
      <c r="E624" s="21" t="s">
        <v>341</v>
      </c>
      <c r="F624" s="21"/>
      <c r="G624" s="28">
        <f>G625</f>
        <v>110</v>
      </c>
      <c r="H624" s="209"/>
      <c r="I624" s="141"/>
    </row>
    <row r="625" spans="1:9" ht="47.25" x14ac:dyDescent="0.25">
      <c r="A625" s="26" t="s">
        <v>323</v>
      </c>
      <c r="B625" s="17">
        <v>906</v>
      </c>
      <c r="C625" s="21" t="s">
        <v>315</v>
      </c>
      <c r="D625" s="21" t="s">
        <v>266</v>
      </c>
      <c r="E625" s="21" t="s">
        <v>341</v>
      </c>
      <c r="F625" s="21" t="s">
        <v>324</v>
      </c>
      <c r="G625" s="28">
        <f>G626</f>
        <v>110</v>
      </c>
      <c r="H625" s="209"/>
      <c r="I625" s="141"/>
    </row>
    <row r="626" spans="1:9" ht="15.75" x14ac:dyDescent="0.25">
      <c r="A626" s="26" t="s">
        <v>325</v>
      </c>
      <c r="B626" s="17">
        <v>906</v>
      </c>
      <c r="C626" s="21" t="s">
        <v>315</v>
      </c>
      <c r="D626" s="21" t="s">
        <v>266</v>
      </c>
      <c r="E626" s="21" t="s">
        <v>341</v>
      </c>
      <c r="F626" s="21" t="s">
        <v>326</v>
      </c>
      <c r="G626" s="28">
        <v>110</v>
      </c>
      <c r="H626" s="209"/>
      <c r="I626" s="141"/>
    </row>
    <row r="627" spans="1:9" ht="78.75" x14ac:dyDescent="0.25">
      <c r="A627" s="33" t="s">
        <v>342</v>
      </c>
      <c r="B627" s="17">
        <v>906</v>
      </c>
      <c r="C627" s="21" t="s">
        <v>315</v>
      </c>
      <c r="D627" s="21" t="s">
        <v>266</v>
      </c>
      <c r="E627" s="21" t="s">
        <v>343</v>
      </c>
      <c r="F627" s="21"/>
      <c r="G627" s="28">
        <f>G628</f>
        <v>572.20000000000005</v>
      </c>
      <c r="H627" s="209"/>
      <c r="I627" s="141"/>
    </row>
    <row r="628" spans="1:9" ht="47.25" x14ac:dyDescent="0.25">
      <c r="A628" s="26" t="s">
        <v>323</v>
      </c>
      <c r="B628" s="17">
        <v>906</v>
      </c>
      <c r="C628" s="21" t="s">
        <v>315</v>
      </c>
      <c r="D628" s="21" t="s">
        <v>266</v>
      </c>
      <c r="E628" s="21" t="s">
        <v>343</v>
      </c>
      <c r="F628" s="21" t="s">
        <v>324</v>
      </c>
      <c r="G628" s="28">
        <f>G629</f>
        <v>572.20000000000005</v>
      </c>
      <c r="H628" s="209"/>
      <c r="I628" s="141"/>
    </row>
    <row r="629" spans="1:9" ht="15.75" x14ac:dyDescent="0.25">
      <c r="A629" s="26" t="s">
        <v>325</v>
      </c>
      <c r="B629" s="17">
        <v>906</v>
      </c>
      <c r="C629" s="21" t="s">
        <v>315</v>
      </c>
      <c r="D629" s="21" t="s">
        <v>266</v>
      </c>
      <c r="E629" s="21" t="s">
        <v>343</v>
      </c>
      <c r="F629" s="21" t="s">
        <v>326</v>
      </c>
      <c r="G629" s="28">
        <v>572.20000000000005</v>
      </c>
      <c r="H629" s="209"/>
      <c r="I629" s="141"/>
    </row>
    <row r="630" spans="1:9" ht="110.25" x14ac:dyDescent="0.25">
      <c r="A630" s="33" t="s">
        <v>344</v>
      </c>
      <c r="B630" s="17">
        <v>906</v>
      </c>
      <c r="C630" s="21" t="s">
        <v>315</v>
      </c>
      <c r="D630" s="21" t="s">
        <v>266</v>
      </c>
      <c r="E630" s="21" t="s">
        <v>345</v>
      </c>
      <c r="F630" s="21"/>
      <c r="G630" s="28">
        <f>G631</f>
        <v>900</v>
      </c>
      <c r="H630" s="209"/>
      <c r="I630" s="141"/>
    </row>
    <row r="631" spans="1:9" ht="47.25" x14ac:dyDescent="0.25">
      <c r="A631" s="26" t="s">
        <v>323</v>
      </c>
      <c r="B631" s="17">
        <v>906</v>
      </c>
      <c r="C631" s="21" t="s">
        <v>315</v>
      </c>
      <c r="D631" s="21" t="s">
        <v>266</v>
      </c>
      <c r="E631" s="21" t="s">
        <v>345</v>
      </c>
      <c r="F631" s="21" t="s">
        <v>324</v>
      </c>
      <c r="G631" s="28">
        <f>G632</f>
        <v>900</v>
      </c>
      <c r="H631" s="209"/>
      <c r="I631" s="141"/>
    </row>
    <row r="632" spans="1:9" ht="15.75" x14ac:dyDescent="0.25">
      <c r="A632" s="26" t="s">
        <v>325</v>
      </c>
      <c r="B632" s="17">
        <v>906</v>
      </c>
      <c r="C632" s="21" t="s">
        <v>315</v>
      </c>
      <c r="D632" s="21" t="s">
        <v>266</v>
      </c>
      <c r="E632" s="21" t="s">
        <v>345</v>
      </c>
      <c r="F632" s="21" t="s">
        <v>326</v>
      </c>
      <c r="G632" s="28">
        <v>900</v>
      </c>
      <c r="H632" s="209"/>
      <c r="I632" s="141"/>
    </row>
    <row r="633" spans="1:9" ht="31.5" x14ac:dyDescent="0.25">
      <c r="A633" s="24" t="s">
        <v>518</v>
      </c>
      <c r="B633" s="20">
        <v>906</v>
      </c>
      <c r="C633" s="25" t="s">
        <v>315</v>
      </c>
      <c r="D633" s="25" t="s">
        <v>315</v>
      </c>
      <c r="E633" s="25"/>
      <c r="F633" s="25"/>
      <c r="G633" s="22">
        <f>G634+G639</f>
        <v>4788.6000000000004</v>
      </c>
      <c r="H633" s="209"/>
    </row>
    <row r="634" spans="1:9" ht="47.25" x14ac:dyDescent="0.25">
      <c r="A634" s="26" t="s">
        <v>478</v>
      </c>
      <c r="B634" s="17">
        <v>906</v>
      </c>
      <c r="C634" s="21" t="s">
        <v>315</v>
      </c>
      <c r="D634" s="21" t="s">
        <v>315</v>
      </c>
      <c r="E634" s="21" t="s">
        <v>458</v>
      </c>
      <c r="F634" s="21"/>
      <c r="G634" s="27">
        <f>G635</f>
        <v>3484.8</v>
      </c>
      <c r="H634" s="209"/>
    </row>
    <row r="635" spans="1:9" ht="31.5" x14ac:dyDescent="0.25">
      <c r="A635" s="26" t="s">
        <v>519</v>
      </c>
      <c r="B635" s="17">
        <v>906</v>
      </c>
      <c r="C635" s="21" t="s">
        <v>315</v>
      </c>
      <c r="D635" s="21" t="s">
        <v>520</v>
      </c>
      <c r="E635" s="21" t="s">
        <v>521</v>
      </c>
      <c r="F635" s="21"/>
      <c r="G635" s="27">
        <f t="shared" ref="G635" si="118">G636</f>
        <v>3484.8</v>
      </c>
      <c r="H635" s="209"/>
    </row>
    <row r="636" spans="1:9" ht="47.25" x14ac:dyDescent="0.25">
      <c r="A636" s="26" t="s">
        <v>522</v>
      </c>
      <c r="B636" s="17">
        <v>906</v>
      </c>
      <c r="C636" s="21" t="s">
        <v>315</v>
      </c>
      <c r="D636" s="21" t="s">
        <v>315</v>
      </c>
      <c r="E636" s="21" t="s">
        <v>523</v>
      </c>
      <c r="F636" s="21"/>
      <c r="G636" s="27">
        <f>G637</f>
        <v>3484.8</v>
      </c>
      <c r="H636" s="209"/>
    </row>
    <row r="637" spans="1:9" ht="47.25" x14ac:dyDescent="0.25">
      <c r="A637" s="26" t="s">
        <v>323</v>
      </c>
      <c r="B637" s="17">
        <v>906</v>
      </c>
      <c r="C637" s="21" t="s">
        <v>315</v>
      </c>
      <c r="D637" s="21" t="s">
        <v>315</v>
      </c>
      <c r="E637" s="21" t="s">
        <v>523</v>
      </c>
      <c r="F637" s="21" t="s">
        <v>324</v>
      </c>
      <c r="G637" s="27">
        <f t="shared" ref="G637:G642" si="119">G638</f>
        <v>3484.8</v>
      </c>
      <c r="H637" s="209"/>
    </row>
    <row r="638" spans="1:9" ht="15.75" x14ac:dyDescent="0.25">
      <c r="A638" s="26" t="s">
        <v>325</v>
      </c>
      <c r="B638" s="17">
        <v>906</v>
      </c>
      <c r="C638" s="21" t="s">
        <v>315</v>
      </c>
      <c r="D638" s="21" t="s">
        <v>315</v>
      </c>
      <c r="E638" s="21" t="s">
        <v>523</v>
      </c>
      <c r="F638" s="21" t="s">
        <v>326</v>
      </c>
      <c r="G638" s="28">
        <v>3484.8</v>
      </c>
      <c r="H638" s="209"/>
    </row>
    <row r="639" spans="1:9" ht="15.75" x14ac:dyDescent="0.25">
      <c r="A639" s="26" t="s">
        <v>172</v>
      </c>
      <c r="B639" s="17">
        <v>906</v>
      </c>
      <c r="C639" s="21" t="s">
        <v>315</v>
      </c>
      <c r="D639" s="21" t="s">
        <v>315</v>
      </c>
      <c r="E639" s="21" t="s">
        <v>173</v>
      </c>
      <c r="F639" s="21"/>
      <c r="G639" s="27">
        <f t="shared" ref="G639" si="120">G640</f>
        <v>1303.8000000000002</v>
      </c>
      <c r="H639" s="209"/>
    </row>
    <row r="640" spans="1:9" ht="31.5" x14ac:dyDescent="0.25">
      <c r="A640" s="26" t="s">
        <v>236</v>
      </c>
      <c r="B640" s="17">
        <v>906</v>
      </c>
      <c r="C640" s="21" t="s">
        <v>315</v>
      </c>
      <c r="D640" s="21" t="s">
        <v>315</v>
      </c>
      <c r="E640" s="21" t="s">
        <v>237</v>
      </c>
      <c r="F640" s="21"/>
      <c r="G640" s="27">
        <f>G642</f>
        <v>1303.8000000000002</v>
      </c>
      <c r="H640" s="209"/>
    </row>
    <row r="641" spans="1:9" ht="63" hidden="1" x14ac:dyDescent="0.25">
      <c r="A641" s="26" t="s">
        <v>524</v>
      </c>
      <c r="B641" s="17">
        <v>906</v>
      </c>
      <c r="C641" s="21" t="s">
        <v>315</v>
      </c>
      <c r="D641" s="21" t="s">
        <v>315</v>
      </c>
      <c r="E641" s="21" t="s">
        <v>525</v>
      </c>
      <c r="F641" s="21"/>
      <c r="G641" s="27">
        <f t="shared" si="119"/>
        <v>1303.8000000000002</v>
      </c>
      <c r="H641" s="209"/>
    </row>
    <row r="642" spans="1:9" ht="31.5" x14ac:dyDescent="0.25">
      <c r="A642" s="33" t="s">
        <v>526</v>
      </c>
      <c r="B642" s="17">
        <v>906</v>
      </c>
      <c r="C642" s="21" t="s">
        <v>315</v>
      </c>
      <c r="D642" s="21" t="s">
        <v>315</v>
      </c>
      <c r="E642" s="21" t="s">
        <v>527</v>
      </c>
      <c r="F642" s="21"/>
      <c r="G642" s="27">
        <f t="shared" si="119"/>
        <v>1303.8000000000002</v>
      </c>
      <c r="H642" s="209"/>
    </row>
    <row r="643" spans="1:9" ht="47.25" x14ac:dyDescent="0.25">
      <c r="A643" s="26" t="s">
        <v>323</v>
      </c>
      <c r="B643" s="17">
        <v>906</v>
      </c>
      <c r="C643" s="21" t="s">
        <v>315</v>
      </c>
      <c r="D643" s="21" t="s">
        <v>315</v>
      </c>
      <c r="E643" s="21" t="s">
        <v>527</v>
      </c>
      <c r="F643" s="21" t="s">
        <v>324</v>
      </c>
      <c r="G643" s="27">
        <f>G644</f>
        <v>1303.8000000000002</v>
      </c>
      <c r="H643" s="209"/>
    </row>
    <row r="644" spans="1:9" ht="15.75" x14ac:dyDescent="0.25">
      <c r="A644" s="26" t="s">
        <v>325</v>
      </c>
      <c r="B644" s="17">
        <v>906</v>
      </c>
      <c r="C644" s="21" t="s">
        <v>315</v>
      </c>
      <c r="D644" s="21" t="s">
        <v>315</v>
      </c>
      <c r="E644" s="21" t="s">
        <v>527</v>
      </c>
      <c r="F644" s="21" t="s">
        <v>326</v>
      </c>
      <c r="G644" s="28">
        <f>1660.4-356.6</f>
        <v>1303.8000000000002</v>
      </c>
      <c r="H644" s="209"/>
      <c r="I644" s="141"/>
    </row>
    <row r="645" spans="1:9" ht="15.75" x14ac:dyDescent="0.25">
      <c r="A645" s="24" t="s">
        <v>346</v>
      </c>
      <c r="B645" s="20">
        <v>906</v>
      </c>
      <c r="C645" s="25" t="s">
        <v>315</v>
      </c>
      <c r="D645" s="25" t="s">
        <v>270</v>
      </c>
      <c r="E645" s="25"/>
      <c r="F645" s="25"/>
      <c r="G645" s="22">
        <f>G646+G655</f>
        <v>18322.300000000003</v>
      </c>
      <c r="H645" s="209"/>
    </row>
    <row r="646" spans="1:9" ht="47.25" x14ac:dyDescent="0.25">
      <c r="A646" s="26" t="s">
        <v>385</v>
      </c>
      <c r="B646" s="17">
        <v>906</v>
      </c>
      <c r="C646" s="21" t="s">
        <v>315</v>
      </c>
      <c r="D646" s="21" t="s">
        <v>270</v>
      </c>
      <c r="E646" s="21" t="s">
        <v>386</v>
      </c>
      <c r="F646" s="21"/>
      <c r="G646" s="27">
        <f>G647+G650</f>
        <v>20</v>
      </c>
      <c r="H646" s="209"/>
      <c r="I646" s="141"/>
    </row>
    <row r="647" spans="1:9" ht="31.5" hidden="1" x14ac:dyDescent="0.25">
      <c r="A647" s="26" t="s">
        <v>387</v>
      </c>
      <c r="B647" s="17">
        <v>906</v>
      </c>
      <c r="C647" s="21" t="s">
        <v>315</v>
      </c>
      <c r="D647" s="21" t="s">
        <v>270</v>
      </c>
      <c r="E647" s="21" t="s">
        <v>388</v>
      </c>
      <c r="F647" s="21"/>
      <c r="G647" s="27">
        <f>G648</f>
        <v>0</v>
      </c>
      <c r="H647" s="209"/>
    </row>
    <row r="648" spans="1:9" ht="31.5" hidden="1" x14ac:dyDescent="0.25">
      <c r="A648" s="26" t="s">
        <v>182</v>
      </c>
      <c r="B648" s="17">
        <v>906</v>
      </c>
      <c r="C648" s="21" t="s">
        <v>315</v>
      </c>
      <c r="D648" s="21" t="s">
        <v>270</v>
      </c>
      <c r="E648" s="21" t="s">
        <v>388</v>
      </c>
      <c r="F648" s="21" t="s">
        <v>183</v>
      </c>
      <c r="G648" s="27">
        <f>G649</f>
        <v>0</v>
      </c>
      <c r="H648" s="209"/>
    </row>
    <row r="649" spans="1:9" ht="47.25" hidden="1" x14ac:dyDescent="0.25">
      <c r="A649" s="26" t="s">
        <v>184</v>
      </c>
      <c r="B649" s="17">
        <v>906</v>
      </c>
      <c r="C649" s="21" t="s">
        <v>315</v>
      </c>
      <c r="D649" s="21" t="s">
        <v>270</v>
      </c>
      <c r="E649" s="21" t="s">
        <v>388</v>
      </c>
      <c r="F649" s="21" t="s">
        <v>185</v>
      </c>
      <c r="G649" s="27">
        <f>50-50</f>
        <v>0</v>
      </c>
      <c r="H649" s="132"/>
      <c r="I649" s="152"/>
    </row>
    <row r="650" spans="1:9" ht="63" x14ac:dyDescent="0.25">
      <c r="A650" s="26" t="s">
        <v>528</v>
      </c>
      <c r="B650" s="17">
        <v>906</v>
      </c>
      <c r="C650" s="21" t="s">
        <v>315</v>
      </c>
      <c r="D650" s="21" t="s">
        <v>270</v>
      </c>
      <c r="E650" s="21" t="s">
        <v>529</v>
      </c>
      <c r="F650" s="21"/>
      <c r="G650" s="27">
        <f>G651+G653</f>
        <v>20</v>
      </c>
      <c r="H650" s="209"/>
    </row>
    <row r="651" spans="1:9" ht="94.5" x14ac:dyDescent="0.25">
      <c r="A651" s="26" t="s">
        <v>178</v>
      </c>
      <c r="B651" s="17">
        <v>906</v>
      </c>
      <c r="C651" s="21" t="s">
        <v>315</v>
      </c>
      <c r="D651" s="21" t="s">
        <v>270</v>
      </c>
      <c r="E651" s="21" t="s">
        <v>529</v>
      </c>
      <c r="F651" s="21" t="s">
        <v>179</v>
      </c>
      <c r="G651" s="27">
        <f>G652</f>
        <v>5</v>
      </c>
      <c r="H651" s="209"/>
    </row>
    <row r="652" spans="1:9" ht="31.5" x14ac:dyDescent="0.25">
      <c r="A652" s="26" t="s">
        <v>393</v>
      </c>
      <c r="B652" s="17">
        <v>906</v>
      </c>
      <c r="C652" s="21" t="s">
        <v>315</v>
      </c>
      <c r="D652" s="21" t="s">
        <v>270</v>
      </c>
      <c r="E652" s="21" t="s">
        <v>529</v>
      </c>
      <c r="F652" s="21" t="s">
        <v>260</v>
      </c>
      <c r="G652" s="27">
        <v>5</v>
      </c>
      <c r="H652" s="209"/>
    </row>
    <row r="653" spans="1:9" ht="31.5" x14ac:dyDescent="0.25">
      <c r="A653" s="26" t="s">
        <v>182</v>
      </c>
      <c r="B653" s="17">
        <v>906</v>
      </c>
      <c r="C653" s="21" t="s">
        <v>315</v>
      </c>
      <c r="D653" s="21" t="s">
        <v>270</v>
      </c>
      <c r="E653" s="21" t="s">
        <v>529</v>
      </c>
      <c r="F653" s="21" t="s">
        <v>183</v>
      </c>
      <c r="G653" s="27">
        <f>G654</f>
        <v>15</v>
      </c>
      <c r="H653" s="209"/>
    </row>
    <row r="654" spans="1:9" ht="47.25" x14ac:dyDescent="0.25">
      <c r="A654" s="26" t="s">
        <v>184</v>
      </c>
      <c r="B654" s="17">
        <v>906</v>
      </c>
      <c r="C654" s="21" t="s">
        <v>315</v>
      </c>
      <c r="D654" s="21" t="s">
        <v>270</v>
      </c>
      <c r="E654" s="21" t="s">
        <v>529</v>
      </c>
      <c r="F654" s="21" t="s">
        <v>185</v>
      </c>
      <c r="G654" s="27">
        <v>15</v>
      </c>
      <c r="H654" s="209"/>
    </row>
    <row r="655" spans="1:9" ht="15.75" x14ac:dyDescent="0.25">
      <c r="A655" s="26" t="s">
        <v>172</v>
      </c>
      <c r="B655" s="17">
        <v>906</v>
      </c>
      <c r="C655" s="21" t="s">
        <v>315</v>
      </c>
      <c r="D655" s="21" t="s">
        <v>270</v>
      </c>
      <c r="E655" s="21" t="s">
        <v>173</v>
      </c>
      <c r="F655" s="21"/>
      <c r="G655" s="27">
        <f>G656+G662</f>
        <v>18302.300000000003</v>
      </c>
      <c r="H655" s="209"/>
    </row>
    <row r="656" spans="1:9" ht="31.5" x14ac:dyDescent="0.25">
      <c r="A656" s="26" t="s">
        <v>174</v>
      </c>
      <c r="B656" s="17">
        <v>906</v>
      </c>
      <c r="C656" s="21" t="s">
        <v>315</v>
      </c>
      <c r="D656" s="21" t="s">
        <v>270</v>
      </c>
      <c r="E656" s="21" t="s">
        <v>175</v>
      </c>
      <c r="F656" s="21"/>
      <c r="G656" s="27">
        <f t="shared" ref="G656" si="121">G657</f>
        <v>5138.7</v>
      </c>
      <c r="H656" s="209"/>
    </row>
    <row r="657" spans="1:11" ht="47.25" x14ac:dyDescent="0.25">
      <c r="A657" s="26" t="s">
        <v>176</v>
      </c>
      <c r="B657" s="17">
        <v>906</v>
      </c>
      <c r="C657" s="21" t="s">
        <v>315</v>
      </c>
      <c r="D657" s="21" t="s">
        <v>270</v>
      </c>
      <c r="E657" s="21" t="s">
        <v>177</v>
      </c>
      <c r="F657" s="21"/>
      <c r="G657" s="27">
        <f>G658+G660</f>
        <v>5138.7</v>
      </c>
      <c r="H657" s="209"/>
    </row>
    <row r="658" spans="1:11" ht="94.5" x14ac:dyDescent="0.25">
      <c r="A658" s="26" t="s">
        <v>178</v>
      </c>
      <c r="B658" s="17">
        <v>906</v>
      </c>
      <c r="C658" s="21" t="s">
        <v>315</v>
      </c>
      <c r="D658" s="21" t="s">
        <v>270</v>
      </c>
      <c r="E658" s="21" t="s">
        <v>177</v>
      </c>
      <c r="F658" s="21" t="s">
        <v>179</v>
      </c>
      <c r="G658" s="27">
        <f t="shared" ref="G658" si="122">G659</f>
        <v>4981.5</v>
      </c>
      <c r="H658" s="209"/>
    </row>
    <row r="659" spans="1:11" ht="31.5" x14ac:dyDescent="0.25">
      <c r="A659" s="26" t="s">
        <v>180</v>
      </c>
      <c r="B659" s="17">
        <v>906</v>
      </c>
      <c r="C659" s="21" t="s">
        <v>315</v>
      </c>
      <c r="D659" s="21" t="s">
        <v>270</v>
      </c>
      <c r="E659" s="21" t="s">
        <v>177</v>
      </c>
      <c r="F659" s="21" t="s">
        <v>181</v>
      </c>
      <c r="G659" s="187">
        <f>4975.7+5.8</f>
        <v>4981.5</v>
      </c>
      <c r="H659" s="188" t="s">
        <v>818</v>
      </c>
    </row>
    <row r="660" spans="1:11" ht="31.5" x14ac:dyDescent="0.25">
      <c r="A660" s="26" t="s">
        <v>182</v>
      </c>
      <c r="B660" s="17">
        <v>906</v>
      </c>
      <c r="C660" s="21" t="s">
        <v>315</v>
      </c>
      <c r="D660" s="21" t="s">
        <v>270</v>
      </c>
      <c r="E660" s="21" t="s">
        <v>177</v>
      </c>
      <c r="F660" s="21" t="s">
        <v>183</v>
      </c>
      <c r="G660" s="27">
        <f t="shared" ref="G660" si="123">G661</f>
        <v>157.19999999999999</v>
      </c>
      <c r="H660" s="209"/>
    </row>
    <row r="661" spans="1:11" ht="47.25" x14ac:dyDescent="0.25">
      <c r="A661" s="26" t="s">
        <v>184</v>
      </c>
      <c r="B661" s="17">
        <v>906</v>
      </c>
      <c r="C661" s="21" t="s">
        <v>315</v>
      </c>
      <c r="D661" s="21" t="s">
        <v>270</v>
      </c>
      <c r="E661" s="21" t="s">
        <v>177</v>
      </c>
      <c r="F661" s="21" t="s">
        <v>185</v>
      </c>
      <c r="G661" s="189">
        <f>163-5.8</f>
        <v>157.19999999999999</v>
      </c>
      <c r="H661" s="188" t="s">
        <v>817</v>
      </c>
    </row>
    <row r="662" spans="1:11" ht="15.75" x14ac:dyDescent="0.25">
      <c r="A662" s="26" t="s">
        <v>192</v>
      </c>
      <c r="B662" s="17">
        <v>906</v>
      </c>
      <c r="C662" s="21" t="s">
        <v>315</v>
      </c>
      <c r="D662" s="21" t="s">
        <v>270</v>
      </c>
      <c r="E662" s="21" t="s">
        <v>193</v>
      </c>
      <c r="F662" s="21"/>
      <c r="G662" s="27">
        <f>G666+G663</f>
        <v>13163.600000000002</v>
      </c>
      <c r="H662" s="209"/>
    </row>
    <row r="663" spans="1:11" ht="15.75" x14ac:dyDescent="0.25">
      <c r="A663" s="26" t="s">
        <v>530</v>
      </c>
      <c r="B663" s="17">
        <v>906</v>
      </c>
      <c r="C663" s="21" t="s">
        <v>315</v>
      </c>
      <c r="D663" s="21" t="s">
        <v>270</v>
      </c>
      <c r="E663" s="21" t="s">
        <v>531</v>
      </c>
      <c r="F663" s="21"/>
      <c r="G663" s="27">
        <f>G664</f>
        <v>375</v>
      </c>
      <c r="H663" s="209"/>
    </row>
    <row r="664" spans="1:11" ht="31.5" x14ac:dyDescent="0.25">
      <c r="A664" s="26" t="s">
        <v>182</v>
      </c>
      <c r="B664" s="17">
        <v>906</v>
      </c>
      <c r="C664" s="21" t="s">
        <v>315</v>
      </c>
      <c r="D664" s="21" t="s">
        <v>270</v>
      </c>
      <c r="E664" s="21" t="s">
        <v>531</v>
      </c>
      <c r="F664" s="21" t="s">
        <v>183</v>
      </c>
      <c r="G664" s="27">
        <f>G665</f>
        <v>375</v>
      </c>
      <c r="H664" s="209"/>
    </row>
    <row r="665" spans="1:11" ht="47.25" x14ac:dyDescent="0.25">
      <c r="A665" s="26" t="s">
        <v>184</v>
      </c>
      <c r="B665" s="17">
        <v>906</v>
      </c>
      <c r="C665" s="21" t="s">
        <v>315</v>
      </c>
      <c r="D665" s="21" t="s">
        <v>270</v>
      </c>
      <c r="E665" s="21" t="s">
        <v>531</v>
      </c>
      <c r="F665" s="21" t="s">
        <v>185</v>
      </c>
      <c r="G665" s="193">
        <f>206.3+143.7+25</f>
        <v>375</v>
      </c>
      <c r="H665" s="188" t="s">
        <v>834</v>
      </c>
      <c r="I665" s="141"/>
    </row>
    <row r="666" spans="1:11" ht="31.5" x14ac:dyDescent="0.25">
      <c r="A666" s="26" t="s">
        <v>391</v>
      </c>
      <c r="B666" s="17">
        <v>906</v>
      </c>
      <c r="C666" s="21" t="s">
        <v>315</v>
      </c>
      <c r="D666" s="21" t="s">
        <v>270</v>
      </c>
      <c r="E666" s="21" t="s">
        <v>392</v>
      </c>
      <c r="F666" s="21"/>
      <c r="G666" s="27">
        <f>G667+G669+G671</f>
        <v>12788.600000000002</v>
      </c>
      <c r="H666" s="209"/>
      <c r="J666" s="337"/>
      <c r="K666" s="337"/>
    </row>
    <row r="667" spans="1:11" ht="94.5" x14ac:dyDescent="0.25">
      <c r="A667" s="26" t="s">
        <v>178</v>
      </c>
      <c r="B667" s="17">
        <v>906</v>
      </c>
      <c r="C667" s="21" t="s">
        <v>315</v>
      </c>
      <c r="D667" s="21" t="s">
        <v>270</v>
      </c>
      <c r="E667" s="21" t="s">
        <v>392</v>
      </c>
      <c r="F667" s="21" t="s">
        <v>179</v>
      </c>
      <c r="G667" s="27">
        <f>G668</f>
        <v>11519.300000000001</v>
      </c>
      <c r="H667" s="209"/>
      <c r="J667" s="337"/>
      <c r="K667" s="337"/>
    </row>
    <row r="668" spans="1:11" ht="31.5" x14ac:dyDescent="0.25">
      <c r="A668" s="26" t="s">
        <v>393</v>
      </c>
      <c r="B668" s="17">
        <v>906</v>
      </c>
      <c r="C668" s="21" t="s">
        <v>315</v>
      </c>
      <c r="D668" s="21" t="s">
        <v>270</v>
      </c>
      <c r="E668" s="21" t="s">
        <v>392</v>
      </c>
      <c r="F668" s="21" t="s">
        <v>260</v>
      </c>
      <c r="G668" s="28">
        <f>11988.7-469.4</f>
        <v>11519.300000000001</v>
      </c>
      <c r="H668" s="132"/>
      <c r="I668" s="152"/>
      <c r="J668" s="337"/>
      <c r="K668" s="337"/>
    </row>
    <row r="669" spans="1:11" ht="31.5" x14ac:dyDescent="0.25">
      <c r="A669" s="26" t="s">
        <v>182</v>
      </c>
      <c r="B669" s="17">
        <v>906</v>
      </c>
      <c r="C669" s="21" t="s">
        <v>315</v>
      </c>
      <c r="D669" s="21" t="s">
        <v>270</v>
      </c>
      <c r="E669" s="21" t="s">
        <v>392</v>
      </c>
      <c r="F669" s="21" t="s">
        <v>183</v>
      </c>
      <c r="G669" s="27">
        <f>G670</f>
        <v>1264.0999999999999</v>
      </c>
      <c r="H669" s="209"/>
      <c r="J669" s="337"/>
      <c r="K669" s="337"/>
    </row>
    <row r="670" spans="1:11" ht="47.25" x14ac:dyDescent="0.25">
      <c r="A670" s="26" t="s">
        <v>184</v>
      </c>
      <c r="B670" s="17">
        <v>906</v>
      </c>
      <c r="C670" s="21" t="s">
        <v>315</v>
      </c>
      <c r="D670" s="21" t="s">
        <v>270</v>
      </c>
      <c r="E670" s="21" t="s">
        <v>392</v>
      </c>
      <c r="F670" s="21" t="s">
        <v>185</v>
      </c>
      <c r="G670" s="27">
        <f>1416.8-152.7</f>
        <v>1264.0999999999999</v>
      </c>
      <c r="H670" s="132"/>
      <c r="I670" s="152"/>
      <c r="J670" s="337"/>
      <c r="K670" s="337"/>
    </row>
    <row r="671" spans="1:11" ht="15.75" x14ac:dyDescent="0.25">
      <c r="A671" s="26" t="s">
        <v>186</v>
      </c>
      <c r="B671" s="17">
        <v>906</v>
      </c>
      <c r="C671" s="21" t="s">
        <v>315</v>
      </c>
      <c r="D671" s="21" t="s">
        <v>270</v>
      </c>
      <c r="E671" s="21" t="s">
        <v>392</v>
      </c>
      <c r="F671" s="21" t="s">
        <v>196</v>
      </c>
      <c r="G671" s="27">
        <f>G672</f>
        <v>5.2</v>
      </c>
      <c r="H671" s="209"/>
      <c r="J671" s="337"/>
      <c r="K671" s="337"/>
    </row>
    <row r="672" spans="1:11" ht="15.75" x14ac:dyDescent="0.25">
      <c r="A672" s="26" t="s">
        <v>620</v>
      </c>
      <c r="B672" s="17">
        <v>906</v>
      </c>
      <c r="C672" s="21" t="s">
        <v>315</v>
      </c>
      <c r="D672" s="21" t="s">
        <v>270</v>
      </c>
      <c r="E672" s="21" t="s">
        <v>392</v>
      </c>
      <c r="F672" s="21" t="s">
        <v>189</v>
      </c>
      <c r="G672" s="27">
        <f>7-1.8</f>
        <v>5.2</v>
      </c>
      <c r="H672" s="132"/>
      <c r="I672" s="152"/>
      <c r="J672" s="337"/>
      <c r="K672" s="337"/>
    </row>
    <row r="673" spans="1:10" ht="47.25" x14ac:dyDescent="0.25">
      <c r="A673" s="20" t="s">
        <v>532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09"/>
    </row>
    <row r="674" spans="1:10" ht="15.75" x14ac:dyDescent="0.25">
      <c r="A674" s="24" t="s">
        <v>314</v>
      </c>
      <c r="B674" s="20">
        <v>907</v>
      </c>
      <c r="C674" s="25" t="s">
        <v>520</v>
      </c>
      <c r="D674" s="25"/>
      <c r="E674" s="25"/>
      <c r="F674" s="25"/>
      <c r="G674" s="22">
        <f>G675</f>
        <v>11485.1</v>
      </c>
      <c r="H674" s="209"/>
    </row>
    <row r="675" spans="1:10" ht="15.75" x14ac:dyDescent="0.25">
      <c r="A675" s="24" t="s">
        <v>316</v>
      </c>
      <c r="B675" s="20">
        <v>907</v>
      </c>
      <c r="C675" s="25" t="s">
        <v>315</v>
      </c>
      <c r="D675" s="25" t="s">
        <v>266</v>
      </c>
      <c r="E675" s="25"/>
      <c r="F675" s="25"/>
      <c r="G675" s="22">
        <f t="shared" ref="G675" si="125">G676+G693</f>
        <v>11485.1</v>
      </c>
      <c r="H675" s="209"/>
      <c r="J675" s="142"/>
    </row>
    <row r="676" spans="1:10" ht="47.25" x14ac:dyDescent="0.25">
      <c r="A676" s="26" t="s">
        <v>533</v>
      </c>
      <c r="B676" s="17">
        <v>907</v>
      </c>
      <c r="C676" s="21" t="s">
        <v>315</v>
      </c>
      <c r="D676" s="21" t="s">
        <v>266</v>
      </c>
      <c r="E676" s="21" t="s">
        <v>534</v>
      </c>
      <c r="F676" s="21"/>
      <c r="G676" s="27">
        <f>G677</f>
        <v>10758</v>
      </c>
      <c r="H676" s="209"/>
    </row>
    <row r="677" spans="1:10" ht="47.25" x14ac:dyDescent="0.25">
      <c r="A677" s="26" t="s">
        <v>535</v>
      </c>
      <c r="B677" s="17">
        <v>907</v>
      </c>
      <c r="C677" s="21" t="s">
        <v>315</v>
      </c>
      <c r="D677" s="21" t="s">
        <v>266</v>
      </c>
      <c r="E677" s="21" t="s">
        <v>536</v>
      </c>
      <c r="F677" s="21"/>
      <c r="G677" s="27">
        <f t="shared" ref="G677" si="126">G678+G681+G684+G690+G687</f>
        <v>10758</v>
      </c>
      <c r="H677" s="209"/>
    </row>
    <row r="678" spans="1:10" ht="47.25" x14ac:dyDescent="0.25">
      <c r="A678" s="26" t="s">
        <v>321</v>
      </c>
      <c r="B678" s="17">
        <v>907</v>
      </c>
      <c r="C678" s="21" t="s">
        <v>315</v>
      </c>
      <c r="D678" s="21" t="s">
        <v>266</v>
      </c>
      <c r="E678" s="21" t="s">
        <v>537</v>
      </c>
      <c r="F678" s="21"/>
      <c r="G678" s="27">
        <f>G679</f>
        <v>10722</v>
      </c>
      <c r="H678" s="209"/>
    </row>
    <row r="679" spans="1:10" ht="47.25" x14ac:dyDescent="0.25">
      <c r="A679" s="26" t="s">
        <v>323</v>
      </c>
      <c r="B679" s="17">
        <v>907</v>
      </c>
      <c r="C679" s="21" t="s">
        <v>315</v>
      </c>
      <c r="D679" s="21" t="s">
        <v>266</v>
      </c>
      <c r="E679" s="21" t="s">
        <v>537</v>
      </c>
      <c r="F679" s="21" t="s">
        <v>324</v>
      </c>
      <c r="G679" s="27">
        <f t="shared" ref="G679" si="127">G680</f>
        <v>10722</v>
      </c>
      <c r="H679" s="209"/>
    </row>
    <row r="680" spans="1:10" ht="15.75" x14ac:dyDescent="0.25">
      <c r="A680" s="26" t="s">
        <v>325</v>
      </c>
      <c r="B680" s="17">
        <v>907</v>
      </c>
      <c r="C680" s="21" t="s">
        <v>315</v>
      </c>
      <c r="D680" s="21" t="s">
        <v>266</v>
      </c>
      <c r="E680" s="21" t="s">
        <v>537</v>
      </c>
      <c r="F680" s="21" t="s">
        <v>326</v>
      </c>
      <c r="G680" s="28">
        <f>10500+753.9-531.9</f>
        <v>10722</v>
      </c>
      <c r="H680" s="132"/>
      <c r="I680" s="153"/>
    </row>
    <row r="681" spans="1:10" ht="47.25" hidden="1" x14ac:dyDescent="0.25">
      <c r="A681" s="26" t="s">
        <v>329</v>
      </c>
      <c r="B681" s="17">
        <v>907</v>
      </c>
      <c r="C681" s="21" t="s">
        <v>315</v>
      </c>
      <c r="D681" s="21" t="s">
        <v>264</v>
      </c>
      <c r="E681" s="21" t="s">
        <v>538</v>
      </c>
      <c r="F681" s="21"/>
      <c r="G681" s="27">
        <f t="shared" ref="G681:G682" si="128">G682</f>
        <v>0</v>
      </c>
      <c r="H681" s="209"/>
    </row>
    <row r="682" spans="1:10" ht="47.25" hidden="1" x14ac:dyDescent="0.25">
      <c r="A682" s="26" t="s">
        <v>323</v>
      </c>
      <c r="B682" s="17">
        <v>907</v>
      </c>
      <c r="C682" s="21" t="s">
        <v>315</v>
      </c>
      <c r="D682" s="21" t="s">
        <v>264</v>
      </c>
      <c r="E682" s="21" t="s">
        <v>538</v>
      </c>
      <c r="F682" s="21" t="s">
        <v>324</v>
      </c>
      <c r="G682" s="27">
        <f t="shared" si="128"/>
        <v>0</v>
      </c>
      <c r="H682" s="209"/>
    </row>
    <row r="683" spans="1:10" ht="15.75" hidden="1" x14ac:dyDescent="0.25">
      <c r="A683" s="26" t="s">
        <v>325</v>
      </c>
      <c r="B683" s="17">
        <v>907</v>
      </c>
      <c r="C683" s="21" t="s">
        <v>315</v>
      </c>
      <c r="D683" s="21" t="s">
        <v>264</v>
      </c>
      <c r="E683" s="21" t="s">
        <v>538</v>
      </c>
      <c r="F683" s="21" t="s">
        <v>326</v>
      </c>
      <c r="G683" s="27">
        <v>0</v>
      </c>
      <c r="H683" s="209"/>
    </row>
    <row r="684" spans="1:10" ht="31.5" hidden="1" x14ac:dyDescent="0.25">
      <c r="A684" s="26" t="s">
        <v>331</v>
      </c>
      <c r="B684" s="17">
        <v>907</v>
      </c>
      <c r="C684" s="21" t="s">
        <v>315</v>
      </c>
      <c r="D684" s="21" t="s">
        <v>264</v>
      </c>
      <c r="E684" s="21" t="s">
        <v>539</v>
      </c>
      <c r="F684" s="21"/>
      <c r="G684" s="27">
        <f t="shared" ref="G684:G685" si="129">G685</f>
        <v>0</v>
      </c>
      <c r="H684" s="209"/>
    </row>
    <row r="685" spans="1:10" ht="47.25" hidden="1" x14ac:dyDescent="0.25">
      <c r="A685" s="26" t="s">
        <v>323</v>
      </c>
      <c r="B685" s="17">
        <v>907</v>
      </c>
      <c r="C685" s="21" t="s">
        <v>315</v>
      </c>
      <c r="D685" s="21" t="s">
        <v>264</v>
      </c>
      <c r="E685" s="21" t="s">
        <v>539</v>
      </c>
      <c r="F685" s="21" t="s">
        <v>324</v>
      </c>
      <c r="G685" s="27">
        <f t="shared" si="129"/>
        <v>0</v>
      </c>
      <c r="H685" s="209"/>
    </row>
    <row r="686" spans="1:10" ht="15.75" hidden="1" x14ac:dyDescent="0.25">
      <c r="A686" s="26" t="s">
        <v>325</v>
      </c>
      <c r="B686" s="17">
        <v>907</v>
      </c>
      <c r="C686" s="21" t="s">
        <v>315</v>
      </c>
      <c r="D686" s="21" t="s">
        <v>264</v>
      </c>
      <c r="E686" s="21" t="s">
        <v>539</v>
      </c>
      <c r="F686" s="21" t="s">
        <v>326</v>
      </c>
      <c r="G686" s="27">
        <v>0</v>
      </c>
      <c r="H686" s="209"/>
    </row>
    <row r="687" spans="1:10" ht="47.25" x14ac:dyDescent="0.25">
      <c r="A687" s="26" t="s">
        <v>333</v>
      </c>
      <c r="B687" s="17">
        <v>907</v>
      </c>
      <c r="C687" s="21" t="s">
        <v>315</v>
      </c>
      <c r="D687" s="21" t="s">
        <v>266</v>
      </c>
      <c r="E687" s="21" t="s">
        <v>540</v>
      </c>
      <c r="F687" s="21"/>
      <c r="G687" s="27">
        <f t="shared" ref="G687" si="130">G688</f>
        <v>36</v>
      </c>
      <c r="H687" s="209"/>
    </row>
    <row r="688" spans="1:10" ht="47.25" x14ac:dyDescent="0.25">
      <c r="A688" s="26" t="s">
        <v>323</v>
      </c>
      <c r="B688" s="17">
        <v>907</v>
      </c>
      <c r="C688" s="21" t="s">
        <v>315</v>
      </c>
      <c r="D688" s="21" t="s">
        <v>266</v>
      </c>
      <c r="E688" s="21" t="s">
        <v>540</v>
      </c>
      <c r="F688" s="21" t="s">
        <v>324</v>
      </c>
      <c r="G688" s="27">
        <f>G689</f>
        <v>36</v>
      </c>
      <c r="H688" s="209"/>
    </row>
    <row r="689" spans="1:10" ht="15.75" x14ac:dyDescent="0.25">
      <c r="A689" s="26" t="s">
        <v>325</v>
      </c>
      <c r="B689" s="17">
        <v>907</v>
      </c>
      <c r="C689" s="21" t="s">
        <v>315</v>
      </c>
      <c r="D689" s="21" t="s">
        <v>266</v>
      </c>
      <c r="E689" s="21" t="s">
        <v>540</v>
      </c>
      <c r="F689" s="21" t="s">
        <v>326</v>
      </c>
      <c r="G689" s="27">
        <v>36</v>
      </c>
      <c r="H689" s="209"/>
    </row>
    <row r="690" spans="1:10" ht="31.5" hidden="1" x14ac:dyDescent="0.25">
      <c r="A690" s="26" t="s">
        <v>335</v>
      </c>
      <c r="B690" s="17">
        <v>907</v>
      </c>
      <c r="C690" s="21" t="s">
        <v>315</v>
      </c>
      <c r="D690" s="21" t="s">
        <v>264</v>
      </c>
      <c r="E690" s="21" t="s">
        <v>541</v>
      </c>
      <c r="F690" s="21"/>
      <c r="G690" s="27">
        <f t="shared" ref="G690:G691" si="131">G691</f>
        <v>0</v>
      </c>
      <c r="H690" s="209"/>
    </row>
    <row r="691" spans="1:10" ht="47.25" hidden="1" x14ac:dyDescent="0.25">
      <c r="A691" s="26" t="s">
        <v>323</v>
      </c>
      <c r="B691" s="17">
        <v>907</v>
      </c>
      <c r="C691" s="21" t="s">
        <v>315</v>
      </c>
      <c r="D691" s="21" t="s">
        <v>264</v>
      </c>
      <c r="E691" s="21" t="s">
        <v>541</v>
      </c>
      <c r="F691" s="21" t="s">
        <v>324</v>
      </c>
      <c r="G691" s="27">
        <f t="shared" si="131"/>
        <v>0</v>
      </c>
      <c r="H691" s="209"/>
    </row>
    <row r="692" spans="1:10" ht="15.75" hidden="1" x14ac:dyDescent="0.25">
      <c r="A692" s="26" t="s">
        <v>325</v>
      </c>
      <c r="B692" s="17">
        <v>907</v>
      </c>
      <c r="C692" s="21" t="s">
        <v>315</v>
      </c>
      <c r="D692" s="21" t="s">
        <v>264</v>
      </c>
      <c r="E692" s="21" t="s">
        <v>541</v>
      </c>
      <c r="F692" s="21" t="s">
        <v>326</v>
      </c>
      <c r="G692" s="27">
        <v>0</v>
      </c>
      <c r="H692" s="209"/>
    </row>
    <row r="693" spans="1:10" ht="15.75" x14ac:dyDescent="0.25">
      <c r="A693" s="26" t="s">
        <v>172</v>
      </c>
      <c r="B693" s="17">
        <v>907</v>
      </c>
      <c r="C693" s="21" t="s">
        <v>315</v>
      </c>
      <c r="D693" s="21" t="s">
        <v>266</v>
      </c>
      <c r="E693" s="21" t="s">
        <v>173</v>
      </c>
      <c r="F693" s="21"/>
      <c r="G693" s="27">
        <f>G694</f>
        <v>727.1</v>
      </c>
      <c r="H693" s="209"/>
    </row>
    <row r="694" spans="1:10" ht="31.5" x14ac:dyDescent="0.25">
      <c r="A694" s="26" t="s">
        <v>236</v>
      </c>
      <c r="B694" s="17">
        <v>907</v>
      </c>
      <c r="C694" s="21" t="s">
        <v>315</v>
      </c>
      <c r="D694" s="21" t="s">
        <v>266</v>
      </c>
      <c r="E694" s="21" t="s">
        <v>237</v>
      </c>
      <c r="F694" s="21"/>
      <c r="G694" s="27">
        <f>G695+G698+G701</f>
        <v>727.1</v>
      </c>
      <c r="H694" s="209"/>
    </row>
    <row r="695" spans="1:10" ht="63" x14ac:dyDescent="0.25">
      <c r="A695" s="33" t="s">
        <v>340</v>
      </c>
      <c r="B695" s="17">
        <v>907</v>
      </c>
      <c r="C695" s="21" t="s">
        <v>315</v>
      </c>
      <c r="D695" s="21" t="s">
        <v>266</v>
      </c>
      <c r="E695" s="21" t="s">
        <v>341</v>
      </c>
      <c r="F695" s="21"/>
      <c r="G695" s="27">
        <f>G696</f>
        <v>50</v>
      </c>
      <c r="H695" s="209"/>
    </row>
    <row r="696" spans="1:10" ht="47.25" x14ac:dyDescent="0.25">
      <c r="A696" s="26" t="s">
        <v>323</v>
      </c>
      <c r="B696" s="17">
        <v>907</v>
      </c>
      <c r="C696" s="21" t="s">
        <v>315</v>
      </c>
      <c r="D696" s="21" t="s">
        <v>266</v>
      </c>
      <c r="E696" s="21" t="s">
        <v>341</v>
      </c>
      <c r="F696" s="21" t="s">
        <v>324</v>
      </c>
      <c r="G696" s="27">
        <f t="shared" ref="G696" si="132">G697</f>
        <v>50</v>
      </c>
      <c r="H696" s="209"/>
    </row>
    <row r="697" spans="1:10" ht="15.75" x14ac:dyDescent="0.25">
      <c r="A697" s="26" t="s">
        <v>325</v>
      </c>
      <c r="B697" s="17">
        <v>907</v>
      </c>
      <c r="C697" s="21" t="s">
        <v>315</v>
      </c>
      <c r="D697" s="21" t="s">
        <v>266</v>
      </c>
      <c r="E697" s="21" t="s">
        <v>341</v>
      </c>
      <c r="F697" s="21" t="s">
        <v>326</v>
      </c>
      <c r="G697" s="27">
        <v>50</v>
      </c>
      <c r="H697" s="209"/>
    </row>
    <row r="698" spans="1:10" ht="78.75" x14ac:dyDescent="0.25">
      <c r="A698" s="33" t="s">
        <v>342</v>
      </c>
      <c r="B698" s="17">
        <v>907</v>
      </c>
      <c r="C698" s="21" t="s">
        <v>315</v>
      </c>
      <c r="D698" s="21" t="s">
        <v>266</v>
      </c>
      <c r="E698" s="21" t="s">
        <v>343</v>
      </c>
      <c r="F698" s="21"/>
      <c r="G698" s="27">
        <f t="shared" ref="G698:G702" si="133">G699</f>
        <v>197.3</v>
      </c>
      <c r="H698" s="209"/>
    </row>
    <row r="699" spans="1:10" ht="47.25" x14ac:dyDescent="0.25">
      <c r="A699" s="26" t="s">
        <v>323</v>
      </c>
      <c r="B699" s="17">
        <v>907</v>
      </c>
      <c r="C699" s="21" t="s">
        <v>315</v>
      </c>
      <c r="D699" s="21" t="s">
        <v>266</v>
      </c>
      <c r="E699" s="21" t="s">
        <v>343</v>
      </c>
      <c r="F699" s="21" t="s">
        <v>324</v>
      </c>
      <c r="G699" s="27">
        <f>G700</f>
        <v>197.3</v>
      </c>
      <c r="H699" s="209"/>
    </row>
    <row r="700" spans="1:10" ht="15.75" x14ac:dyDescent="0.25">
      <c r="A700" s="26" t="s">
        <v>325</v>
      </c>
      <c r="B700" s="17">
        <v>907</v>
      </c>
      <c r="C700" s="21" t="s">
        <v>315</v>
      </c>
      <c r="D700" s="21" t="s">
        <v>266</v>
      </c>
      <c r="E700" s="21" t="s">
        <v>343</v>
      </c>
      <c r="F700" s="21" t="s">
        <v>326</v>
      </c>
      <c r="G700" s="27">
        <f>200-2.7</f>
        <v>197.3</v>
      </c>
      <c r="H700" s="209"/>
      <c r="I700" s="141"/>
      <c r="J700" s="142"/>
    </row>
    <row r="701" spans="1:10" ht="110.25" x14ac:dyDescent="0.25">
      <c r="A701" s="33" t="s">
        <v>516</v>
      </c>
      <c r="B701" s="17">
        <v>907</v>
      </c>
      <c r="C701" s="21" t="s">
        <v>315</v>
      </c>
      <c r="D701" s="21" t="s">
        <v>266</v>
      </c>
      <c r="E701" s="21" t="s">
        <v>345</v>
      </c>
      <c r="F701" s="21"/>
      <c r="G701" s="27">
        <f>G702</f>
        <v>479.8</v>
      </c>
      <c r="H701" s="209"/>
    </row>
    <row r="702" spans="1:10" ht="47.25" x14ac:dyDescent="0.25">
      <c r="A702" s="26" t="s">
        <v>323</v>
      </c>
      <c r="B702" s="17">
        <v>907</v>
      </c>
      <c r="C702" s="21" t="s">
        <v>315</v>
      </c>
      <c r="D702" s="21" t="s">
        <v>266</v>
      </c>
      <c r="E702" s="21" t="s">
        <v>345</v>
      </c>
      <c r="F702" s="21" t="s">
        <v>324</v>
      </c>
      <c r="G702" s="27">
        <f t="shared" si="133"/>
        <v>479.8</v>
      </c>
      <c r="H702" s="209"/>
    </row>
    <row r="703" spans="1:10" ht="15.75" x14ac:dyDescent="0.25">
      <c r="A703" s="26" t="s">
        <v>325</v>
      </c>
      <c r="B703" s="17">
        <v>907</v>
      </c>
      <c r="C703" s="21" t="s">
        <v>315</v>
      </c>
      <c r="D703" s="21" t="s">
        <v>266</v>
      </c>
      <c r="E703" s="21" t="s">
        <v>345</v>
      </c>
      <c r="F703" s="21" t="s">
        <v>326</v>
      </c>
      <c r="G703" s="27">
        <f>500-20.2</f>
        <v>479.8</v>
      </c>
      <c r="H703" s="209"/>
      <c r="I703" s="141"/>
    </row>
    <row r="704" spans="1:10" ht="15.75" x14ac:dyDescent="0.25">
      <c r="A704" s="24" t="s">
        <v>542</v>
      </c>
      <c r="B704" s="20">
        <v>907</v>
      </c>
      <c r="C704" s="25" t="s">
        <v>543</v>
      </c>
      <c r="D704" s="21"/>
      <c r="E704" s="21"/>
      <c r="F704" s="21"/>
      <c r="G704" s="22">
        <f t="shared" ref="G704" si="134">G705+G725</f>
        <v>34702.699999999997</v>
      </c>
      <c r="H704" s="209"/>
    </row>
    <row r="705" spans="1:9" ht="15.75" x14ac:dyDescent="0.25">
      <c r="A705" s="24" t="s">
        <v>544</v>
      </c>
      <c r="B705" s="20">
        <v>907</v>
      </c>
      <c r="C705" s="25" t="s">
        <v>543</v>
      </c>
      <c r="D705" s="25" t="s">
        <v>169</v>
      </c>
      <c r="E705" s="21"/>
      <c r="F705" s="21"/>
      <c r="G705" s="22">
        <f>G706+G721</f>
        <v>23173.9</v>
      </c>
      <c r="H705" s="209"/>
    </row>
    <row r="706" spans="1:9" ht="47.25" x14ac:dyDescent="0.25">
      <c r="A706" s="26" t="s">
        <v>533</v>
      </c>
      <c r="B706" s="17">
        <v>907</v>
      </c>
      <c r="C706" s="21" t="s">
        <v>543</v>
      </c>
      <c r="D706" s="21" t="s">
        <v>169</v>
      </c>
      <c r="E706" s="21" t="s">
        <v>534</v>
      </c>
      <c r="F706" s="21"/>
      <c r="G706" s="27">
        <f>G707</f>
        <v>22673.9</v>
      </c>
      <c r="H706" s="209"/>
    </row>
    <row r="707" spans="1:9" ht="47.25" x14ac:dyDescent="0.25">
      <c r="A707" s="26" t="s">
        <v>545</v>
      </c>
      <c r="B707" s="17">
        <v>907</v>
      </c>
      <c r="C707" s="21" t="s">
        <v>543</v>
      </c>
      <c r="D707" s="21" t="s">
        <v>169</v>
      </c>
      <c r="E707" s="21" t="s">
        <v>546</v>
      </c>
      <c r="F707" s="21"/>
      <c r="G707" s="27">
        <f>G708+G711+G714+G717</f>
        <v>22673.9</v>
      </c>
      <c r="H707" s="209"/>
    </row>
    <row r="708" spans="1:9" ht="47.25" x14ac:dyDescent="0.25">
      <c r="A708" s="26" t="s">
        <v>547</v>
      </c>
      <c r="B708" s="17">
        <v>907</v>
      </c>
      <c r="C708" s="21" t="s">
        <v>543</v>
      </c>
      <c r="D708" s="21" t="s">
        <v>169</v>
      </c>
      <c r="E708" s="21" t="s">
        <v>548</v>
      </c>
      <c r="F708" s="21"/>
      <c r="G708" s="27">
        <f>G709</f>
        <v>22376.400000000001</v>
      </c>
      <c r="H708" s="209"/>
    </row>
    <row r="709" spans="1:9" ht="47.25" x14ac:dyDescent="0.25">
      <c r="A709" s="26" t="s">
        <v>323</v>
      </c>
      <c r="B709" s="17">
        <v>907</v>
      </c>
      <c r="C709" s="21" t="s">
        <v>543</v>
      </c>
      <c r="D709" s="21" t="s">
        <v>169</v>
      </c>
      <c r="E709" s="21" t="s">
        <v>548</v>
      </c>
      <c r="F709" s="21" t="s">
        <v>324</v>
      </c>
      <c r="G709" s="27">
        <f t="shared" ref="G709" si="135">G710</f>
        <v>22376.400000000001</v>
      </c>
      <c r="H709" s="209"/>
    </row>
    <row r="710" spans="1:9" ht="15.75" x14ac:dyDescent="0.25">
      <c r="A710" s="26" t="s">
        <v>325</v>
      </c>
      <c r="B710" s="17">
        <v>907</v>
      </c>
      <c r="C710" s="21" t="s">
        <v>543</v>
      </c>
      <c r="D710" s="21" t="s">
        <v>169</v>
      </c>
      <c r="E710" s="21" t="s">
        <v>548</v>
      </c>
      <c r="F710" s="21" t="s">
        <v>326</v>
      </c>
      <c r="G710" s="194">
        <f>10890+1490.1+9887.3-199+308</f>
        <v>22376.400000000001</v>
      </c>
      <c r="H710" s="132" t="s">
        <v>827</v>
      </c>
      <c r="I710" s="153"/>
    </row>
    <row r="711" spans="1:9" ht="47.25" x14ac:dyDescent="0.25">
      <c r="A711" s="26" t="s">
        <v>329</v>
      </c>
      <c r="B711" s="17">
        <v>907</v>
      </c>
      <c r="C711" s="21" t="s">
        <v>543</v>
      </c>
      <c r="D711" s="21" t="s">
        <v>169</v>
      </c>
      <c r="E711" s="21" t="s">
        <v>549</v>
      </c>
      <c r="F711" s="21"/>
      <c r="G711" s="27">
        <f t="shared" ref="G711:G712" si="136">G712</f>
        <v>297.5</v>
      </c>
      <c r="H711" s="209"/>
    </row>
    <row r="712" spans="1:9" ht="47.25" x14ac:dyDescent="0.25">
      <c r="A712" s="26" t="s">
        <v>323</v>
      </c>
      <c r="B712" s="17">
        <v>907</v>
      </c>
      <c r="C712" s="21" t="s">
        <v>543</v>
      </c>
      <c r="D712" s="21" t="s">
        <v>169</v>
      </c>
      <c r="E712" s="21" t="s">
        <v>549</v>
      </c>
      <c r="F712" s="21" t="s">
        <v>324</v>
      </c>
      <c r="G712" s="27">
        <f t="shared" si="136"/>
        <v>297.5</v>
      </c>
      <c r="H712" s="209"/>
    </row>
    <row r="713" spans="1:9" ht="15.75" x14ac:dyDescent="0.25">
      <c r="A713" s="26" t="s">
        <v>325</v>
      </c>
      <c r="B713" s="17">
        <v>907</v>
      </c>
      <c r="C713" s="21" t="s">
        <v>543</v>
      </c>
      <c r="D713" s="21" t="s">
        <v>169</v>
      </c>
      <c r="E713" s="21" t="s">
        <v>549</v>
      </c>
      <c r="F713" s="21" t="s">
        <v>326</v>
      </c>
      <c r="G713" s="189">
        <f>797.5-500</f>
        <v>297.5</v>
      </c>
      <c r="H713" s="188" t="s">
        <v>825</v>
      </c>
    </row>
    <row r="714" spans="1:9" ht="31.5" hidden="1" x14ac:dyDescent="0.25">
      <c r="A714" s="26" t="s">
        <v>331</v>
      </c>
      <c r="B714" s="17">
        <v>907</v>
      </c>
      <c r="C714" s="21" t="s">
        <v>543</v>
      </c>
      <c r="D714" s="21" t="s">
        <v>169</v>
      </c>
      <c r="E714" s="21" t="s">
        <v>550</v>
      </c>
      <c r="F714" s="21"/>
      <c r="G714" s="27">
        <f t="shared" ref="G714:G715" si="137">G715</f>
        <v>0</v>
      </c>
      <c r="H714" s="209"/>
    </row>
    <row r="715" spans="1:9" ht="47.25" hidden="1" x14ac:dyDescent="0.25">
      <c r="A715" s="26" t="s">
        <v>323</v>
      </c>
      <c r="B715" s="17">
        <v>907</v>
      </c>
      <c r="C715" s="21" t="s">
        <v>543</v>
      </c>
      <c r="D715" s="21" t="s">
        <v>169</v>
      </c>
      <c r="E715" s="21" t="s">
        <v>550</v>
      </c>
      <c r="F715" s="21" t="s">
        <v>324</v>
      </c>
      <c r="G715" s="27">
        <f t="shared" si="137"/>
        <v>0</v>
      </c>
      <c r="H715" s="209"/>
    </row>
    <row r="716" spans="1:9" ht="15.75" hidden="1" x14ac:dyDescent="0.25">
      <c r="A716" s="26" t="s">
        <v>325</v>
      </c>
      <c r="B716" s="17">
        <v>907</v>
      </c>
      <c r="C716" s="21" t="s">
        <v>543</v>
      </c>
      <c r="D716" s="21" t="s">
        <v>169</v>
      </c>
      <c r="E716" s="21" t="s">
        <v>550</v>
      </c>
      <c r="F716" s="21" t="s">
        <v>326</v>
      </c>
      <c r="G716" s="27">
        <v>0</v>
      </c>
      <c r="H716" s="209"/>
    </row>
    <row r="717" spans="1:9" ht="31.5" hidden="1" x14ac:dyDescent="0.25">
      <c r="A717" s="26" t="s">
        <v>335</v>
      </c>
      <c r="B717" s="17">
        <v>907</v>
      </c>
      <c r="C717" s="21" t="s">
        <v>543</v>
      </c>
      <c r="D717" s="21" t="s">
        <v>169</v>
      </c>
      <c r="E717" s="21" t="s">
        <v>551</v>
      </c>
      <c r="F717" s="21"/>
      <c r="G717" s="27">
        <f t="shared" ref="G717:G718" si="138">G718</f>
        <v>0</v>
      </c>
      <c r="H717" s="209"/>
    </row>
    <row r="718" spans="1:9" ht="47.25" hidden="1" x14ac:dyDescent="0.25">
      <c r="A718" s="26" t="s">
        <v>323</v>
      </c>
      <c r="B718" s="17">
        <v>907</v>
      </c>
      <c r="C718" s="21" t="s">
        <v>543</v>
      </c>
      <c r="D718" s="21" t="s">
        <v>169</v>
      </c>
      <c r="E718" s="21" t="s">
        <v>551</v>
      </c>
      <c r="F718" s="21" t="s">
        <v>324</v>
      </c>
      <c r="G718" s="27">
        <f t="shared" si="138"/>
        <v>0</v>
      </c>
      <c r="H718" s="209"/>
    </row>
    <row r="719" spans="1:9" ht="15.75" hidden="1" x14ac:dyDescent="0.25">
      <c r="A719" s="26" t="s">
        <v>325</v>
      </c>
      <c r="B719" s="17">
        <v>907</v>
      </c>
      <c r="C719" s="21" t="s">
        <v>543</v>
      </c>
      <c r="D719" s="21" t="s">
        <v>169</v>
      </c>
      <c r="E719" s="21" t="s">
        <v>551</v>
      </c>
      <c r="F719" s="21" t="s">
        <v>326</v>
      </c>
      <c r="G719" s="27">
        <v>0</v>
      </c>
      <c r="H719" s="209"/>
    </row>
    <row r="720" spans="1:9" ht="15.75" x14ac:dyDescent="0.25">
      <c r="A720" s="26" t="s">
        <v>172</v>
      </c>
      <c r="B720" s="17">
        <v>907</v>
      </c>
      <c r="C720" s="21" t="s">
        <v>543</v>
      </c>
      <c r="D720" s="21" t="s">
        <v>169</v>
      </c>
      <c r="E720" s="21" t="s">
        <v>173</v>
      </c>
      <c r="F720" s="21"/>
      <c r="G720" s="27">
        <f>G721</f>
        <v>500</v>
      </c>
      <c r="H720" s="209"/>
    </row>
    <row r="721" spans="1:9" ht="31.5" x14ac:dyDescent="0.25">
      <c r="A721" s="26" t="s">
        <v>236</v>
      </c>
      <c r="B721" s="17">
        <v>907</v>
      </c>
      <c r="C721" s="21" t="s">
        <v>543</v>
      </c>
      <c r="D721" s="21" t="s">
        <v>169</v>
      </c>
      <c r="E721" s="21" t="s">
        <v>237</v>
      </c>
      <c r="F721" s="21"/>
      <c r="G721" s="27">
        <f>G722</f>
        <v>500</v>
      </c>
      <c r="H721" s="209"/>
    </row>
    <row r="722" spans="1:9" ht="31.5" x14ac:dyDescent="0.25">
      <c r="A722" s="26" t="s">
        <v>824</v>
      </c>
      <c r="B722" s="17">
        <v>907</v>
      </c>
      <c r="C722" s="21" t="s">
        <v>543</v>
      </c>
      <c r="D722" s="21" t="s">
        <v>169</v>
      </c>
      <c r="E722" s="21" t="s">
        <v>822</v>
      </c>
      <c r="F722" s="21"/>
      <c r="G722" s="27">
        <f>G724</f>
        <v>500</v>
      </c>
      <c r="H722" s="209"/>
    </row>
    <row r="723" spans="1:9" ht="47.25" x14ac:dyDescent="0.25">
      <c r="A723" s="26" t="s">
        <v>323</v>
      </c>
      <c r="B723" s="17">
        <v>907</v>
      </c>
      <c r="C723" s="21" t="s">
        <v>543</v>
      </c>
      <c r="D723" s="21" t="s">
        <v>169</v>
      </c>
      <c r="E723" s="21" t="s">
        <v>822</v>
      </c>
      <c r="F723" s="21" t="s">
        <v>324</v>
      </c>
      <c r="G723" s="27">
        <f>G724</f>
        <v>500</v>
      </c>
      <c r="H723" s="209"/>
    </row>
    <row r="724" spans="1:9" ht="15.75" x14ac:dyDescent="0.25">
      <c r="A724" s="26" t="s">
        <v>325</v>
      </c>
      <c r="B724" s="17">
        <v>907</v>
      </c>
      <c r="C724" s="21" t="s">
        <v>543</v>
      </c>
      <c r="D724" s="21" t="s">
        <v>169</v>
      </c>
      <c r="E724" s="21" t="s">
        <v>822</v>
      </c>
      <c r="F724" s="21" t="s">
        <v>326</v>
      </c>
      <c r="G724" s="189">
        <v>500</v>
      </c>
      <c r="H724" s="188" t="s">
        <v>826</v>
      </c>
    </row>
    <row r="725" spans="1:9" ht="31.5" x14ac:dyDescent="0.25">
      <c r="A725" s="24" t="s">
        <v>552</v>
      </c>
      <c r="B725" s="20">
        <v>907</v>
      </c>
      <c r="C725" s="25" t="s">
        <v>543</v>
      </c>
      <c r="D725" s="25" t="s">
        <v>285</v>
      </c>
      <c r="E725" s="25"/>
      <c r="F725" s="25"/>
      <c r="G725" s="22">
        <f t="shared" ref="G725" si="139">G733+G726</f>
        <v>11528.8</v>
      </c>
      <c r="H725" s="209"/>
    </row>
    <row r="726" spans="1:9" ht="47.25" x14ac:dyDescent="0.25">
      <c r="A726" s="31" t="s">
        <v>533</v>
      </c>
      <c r="B726" s="17">
        <v>907</v>
      </c>
      <c r="C726" s="21" t="s">
        <v>543</v>
      </c>
      <c r="D726" s="21" t="s">
        <v>285</v>
      </c>
      <c r="E726" s="42" t="s">
        <v>534</v>
      </c>
      <c r="F726" s="21"/>
      <c r="G726" s="27">
        <f t="shared" ref="G726:G727" si="140">G727</f>
        <v>3047</v>
      </c>
      <c r="H726" s="209"/>
    </row>
    <row r="727" spans="1:9" ht="47.25" x14ac:dyDescent="0.25">
      <c r="A727" s="47" t="s">
        <v>553</v>
      </c>
      <c r="B727" s="17">
        <v>907</v>
      </c>
      <c r="C727" s="21" t="s">
        <v>543</v>
      </c>
      <c r="D727" s="21" t="s">
        <v>285</v>
      </c>
      <c r="E727" s="42" t="s">
        <v>554</v>
      </c>
      <c r="F727" s="21"/>
      <c r="G727" s="27">
        <f t="shared" si="140"/>
        <v>3047</v>
      </c>
      <c r="H727" s="209"/>
    </row>
    <row r="728" spans="1:9" ht="31.5" x14ac:dyDescent="0.25">
      <c r="A728" s="31" t="s">
        <v>208</v>
      </c>
      <c r="B728" s="17">
        <v>907</v>
      </c>
      <c r="C728" s="21" t="s">
        <v>543</v>
      </c>
      <c r="D728" s="21" t="s">
        <v>285</v>
      </c>
      <c r="E728" s="42" t="s">
        <v>555</v>
      </c>
      <c r="F728" s="21"/>
      <c r="G728" s="27">
        <f>G731+G729</f>
        <v>3047</v>
      </c>
      <c r="H728" s="209"/>
    </row>
    <row r="729" spans="1:9" ht="94.5" x14ac:dyDescent="0.25">
      <c r="A729" s="26" t="s">
        <v>178</v>
      </c>
      <c r="B729" s="17">
        <v>907</v>
      </c>
      <c r="C729" s="21" t="s">
        <v>543</v>
      </c>
      <c r="D729" s="21" t="s">
        <v>285</v>
      </c>
      <c r="E729" s="42" t="s">
        <v>555</v>
      </c>
      <c r="F729" s="21" t="s">
        <v>179</v>
      </c>
      <c r="G729" s="27">
        <f>G730</f>
        <v>2111</v>
      </c>
      <c r="H729" s="209"/>
    </row>
    <row r="730" spans="1:9" ht="31.5" x14ac:dyDescent="0.25">
      <c r="A730" s="26" t="s">
        <v>180</v>
      </c>
      <c r="B730" s="17">
        <v>907</v>
      </c>
      <c r="C730" s="21" t="s">
        <v>543</v>
      </c>
      <c r="D730" s="21" t="s">
        <v>285</v>
      </c>
      <c r="E730" s="42" t="s">
        <v>555</v>
      </c>
      <c r="F730" s="21" t="s">
        <v>181</v>
      </c>
      <c r="G730" s="27">
        <v>2111</v>
      </c>
      <c r="H730" s="209"/>
      <c r="I730" s="141"/>
    </row>
    <row r="731" spans="1:9" ht="31.5" x14ac:dyDescent="0.25">
      <c r="A731" s="31" t="s">
        <v>182</v>
      </c>
      <c r="B731" s="17">
        <v>907</v>
      </c>
      <c r="C731" s="21" t="s">
        <v>543</v>
      </c>
      <c r="D731" s="21" t="s">
        <v>285</v>
      </c>
      <c r="E731" s="42" t="s">
        <v>555</v>
      </c>
      <c r="F731" s="21" t="s">
        <v>183</v>
      </c>
      <c r="G731" s="27">
        <f t="shared" ref="G731" si="141">G732</f>
        <v>936</v>
      </c>
      <c r="H731" s="209"/>
    </row>
    <row r="732" spans="1:9" ht="47.25" x14ac:dyDescent="0.25">
      <c r="A732" s="31" t="s">
        <v>184</v>
      </c>
      <c r="B732" s="17">
        <v>907</v>
      </c>
      <c r="C732" s="21" t="s">
        <v>543</v>
      </c>
      <c r="D732" s="21" t="s">
        <v>285</v>
      </c>
      <c r="E732" s="42" t="s">
        <v>555</v>
      </c>
      <c r="F732" s="21" t="s">
        <v>185</v>
      </c>
      <c r="G732" s="27">
        <f>3047-2111</f>
        <v>936</v>
      </c>
      <c r="H732" s="209"/>
      <c r="I732" s="141"/>
    </row>
    <row r="733" spans="1:9" ht="15.75" x14ac:dyDescent="0.25">
      <c r="A733" s="26" t="s">
        <v>172</v>
      </c>
      <c r="B733" s="17">
        <v>907</v>
      </c>
      <c r="C733" s="21" t="s">
        <v>543</v>
      </c>
      <c r="D733" s="21" t="s">
        <v>285</v>
      </c>
      <c r="E733" s="21" t="s">
        <v>173</v>
      </c>
      <c r="F733" s="21"/>
      <c r="G733" s="27">
        <f>G734+G740</f>
        <v>8481.7999999999993</v>
      </c>
      <c r="H733" s="209"/>
    </row>
    <row r="734" spans="1:9" ht="31.5" x14ac:dyDescent="0.25">
      <c r="A734" s="26" t="s">
        <v>174</v>
      </c>
      <c r="B734" s="17">
        <v>907</v>
      </c>
      <c r="C734" s="21" t="s">
        <v>543</v>
      </c>
      <c r="D734" s="21" t="s">
        <v>285</v>
      </c>
      <c r="E734" s="21" t="s">
        <v>175</v>
      </c>
      <c r="F734" s="21"/>
      <c r="G734" s="27">
        <f>G735</f>
        <v>3599.8</v>
      </c>
      <c r="H734" s="209"/>
    </row>
    <row r="735" spans="1:9" ht="47.25" x14ac:dyDescent="0.25">
      <c r="A735" s="26" t="s">
        <v>176</v>
      </c>
      <c r="B735" s="17">
        <v>907</v>
      </c>
      <c r="C735" s="21" t="s">
        <v>543</v>
      </c>
      <c r="D735" s="21" t="s">
        <v>285</v>
      </c>
      <c r="E735" s="21" t="s">
        <v>177</v>
      </c>
      <c r="F735" s="21"/>
      <c r="G735" s="27">
        <f t="shared" ref="G735" si="142">G736+G738</f>
        <v>3599.8</v>
      </c>
      <c r="H735" s="209"/>
    </row>
    <row r="736" spans="1:9" ht="94.5" x14ac:dyDescent="0.25">
      <c r="A736" s="26" t="s">
        <v>178</v>
      </c>
      <c r="B736" s="17">
        <v>907</v>
      </c>
      <c r="C736" s="21" t="s">
        <v>543</v>
      </c>
      <c r="D736" s="21" t="s">
        <v>285</v>
      </c>
      <c r="E736" s="21" t="s">
        <v>177</v>
      </c>
      <c r="F736" s="21" t="s">
        <v>179</v>
      </c>
      <c r="G736" s="27">
        <f>G737</f>
        <v>3599.8</v>
      </c>
      <c r="H736" s="209"/>
    </row>
    <row r="737" spans="1:12" ht="31.5" x14ac:dyDescent="0.25">
      <c r="A737" s="26" t="s">
        <v>180</v>
      </c>
      <c r="B737" s="17">
        <v>907</v>
      </c>
      <c r="C737" s="21" t="s">
        <v>543</v>
      </c>
      <c r="D737" s="21" t="s">
        <v>285</v>
      </c>
      <c r="E737" s="21" t="s">
        <v>177</v>
      </c>
      <c r="F737" s="21" t="s">
        <v>181</v>
      </c>
      <c r="G737" s="28">
        <v>3599.8</v>
      </c>
      <c r="H737" s="209"/>
    </row>
    <row r="738" spans="1:12" ht="31.5" hidden="1" x14ac:dyDescent="0.25">
      <c r="A738" s="26" t="s">
        <v>182</v>
      </c>
      <c r="B738" s="17">
        <v>907</v>
      </c>
      <c r="C738" s="21" t="s">
        <v>543</v>
      </c>
      <c r="D738" s="21" t="s">
        <v>285</v>
      </c>
      <c r="E738" s="21" t="s">
        <v>177</v>
      </c>
      <c r="F738" s="21" t="s">
        <v>183</v>
      </c>
      <c r="G738" s="27">
        <f t="shared" ref="G738" si="143">G739</f>
        <v>0</v>
      </c>
      <c r="H738" s="209"/>
    </row>
    <row r="739" spans="1:12" ht="47.25" hidden="1" x14ac:dyDescent="0.25">
      <c r="A739" s="26" t="s">
        <v>184</v>
      </c>
      <c r="B739" s="17">
        <v>907</v>
      </c>
      <c r="C739" s="21" t="s">
        <v>543</v>
      </c>
      <c r="D739" s="21" t="s">
        <v>285</v>
      </c>
      <c r="E739" s="21" t="s">
        <v>177</v>
      </c>
      <c r="F739" s="21" t="s">
        <v>185</v>
      </c>
      <c r="G739" s="27"/>
      <c r="H739" s="209"/>
    </row>
    <row r="740" spans="1:12" ht="15.75" x14ac:dyDescent="0.25">
      <c r="A740" s="26" t="s">
        <v>192</v>
      </c>
      <c r="B740" s="17">
        <v>907</v>
      </c>
      <c r="C740" s="21" t="s">
        <v>543</v>
      </c>
      <c r="D740" s="21" t="s">
        <v>285</v>
      </c>
      <c r="E740" s="21" t="s">
        <v>193</v>
      </c>
      <c r="F740" s="21"/>
      <c r="G740" s="27">
        <f>G741</f>
        <v>4882</v>
      </c>
      <c r="H740" s="209"/>
    </row>
    <row r="741" spans="1:12" ht="31.5" x14ac:dyDescent="0.25">
      <c r="A741" s="26" t="s">
        <v>391</v>
      </c>
      <c r="B741" s="17">
        <v>907</v>
      </c>
      <c r="C741" s="21" t="s">
        <v>543</v>
      </c>
      <c r="D741" s="21" t="s">
        <v>285</v>
      </c>
      <c r="E741" s="21" t="s">
        <v>392</v>
      </c>
      <c r="F741" s="21"/>
      <c r="G741" s="27">
        <f>G742+G744+G746</f>
        <v>4882</v>
      </c>
      <c r="H741" s="209"/>
      <c r="J741" s="337"/>
      <c r="K741" s="337"/>
    </row>
    <row r="742" spans="1:12" ht="94.5" x14ac:dyDescent="0.25">
      <c r="A742" s="26" t="s">
        <v>178</v>
      </c>
      <c r="B742" s="17">
        <v>907</v>
      </c>
      <c r="C742" s="21" t="s">
        <v>543</v>
      </c>
      <c r="D742" s="21" t="s">
        <v>285</v>
      </c>
      <c r="E742" s="21" t="s">
        <v>392</v>
      </c>
      <c r="F742" s="21" t="s">
        <v>179</v>
      </c>
      <c r="G742" s="27">
        <f>G743</f>
        <v>3660.7</v>
      </c>
      <c r="H742" s="209"/>
      <c r="J742" s="337"/>
      <c r="K742" s="337"/>
    </row>
    <row r="743" spans="1:12" ht="31.5" x14ac:dyDescent="0.25">
      <c r="A743" s="26" t="s">
        <v>393</v>
      </c>
      <c r="B743" s="17">
        <v>907</v>
      </c>
      <c r="C743" s="21" t="s">
        <v>543</v>
      </c>
      <c r="D743" s="21" t="s">
        <v>285</v>
      </c>
      <c r="E743" s="21" t="s">
        <v>392</v>
      </c>
      <c r="F743" s="21" t="s">
        <v>260</v>
      </c>
      <c r="G743" s="28">
        <f>4240.2-579.5</f>
        <v>3660.7</v>
      </c>
      <c r="H743" s="132"/>
      <c r="I743" s="152"/>
      <c r="J743" s="337"/>
      <c r="K743" s="337"/>
    </row>
    <row r="744" spans="1:12" ht="31.5" x14ac:dyDescent="0.25">
      <c r="A744" s="26" t="s">
        <v>182</v>
      </c>
      <c r="B744" s="17">
        <v>907</v>
      </c>
      <c r="C744" s="21" t="s">
        <v>543</v>
      </c>
      <c r="D744" s="21" t="s">
        <v>285</v>
      </c>
      <c r="E744" s="21" t="s">
        <v>392</v>
      </c>
      <c r="F744" s="21" t="s">
        <v>183</v>
      </c>
      <c r="G744" s="27">
        <f>G745</f>
        <v>1194.1999999999998</v>
      </c>
      <c r="H744" s="209"/>
      <c r="J744" s="337"/>
      <c r="K744" s="337"/>
    </row>
    <row r="745" spans="1:12" ht="47.25" x14ac:dyDescent="0.25">
      <c r="A745" s="26" t="s">
        <v>184</v>
      </c>
      <c r="B745" s="17">
        <v>907</v>
      </c>
      <c r="C745" s="21" t="s">
        <v>543</v>
      </c>
      <c r="D745" s="21" t="s">
        <v>285</v>
      </c>
      <c r="E745" s="21" t="s">
        <v>392</v>
      </c>
      <c r="F745" s="21" t="s">
        <v>185</v>
      </c>
      <c r="G745" s="28">
        <f>1339.6-145.4</f>
        <v>1194.1999999999998</v>
      </c>
      <c r="H745" s="132"/>
      <c r="I745" s="152"/>
      <c r="J745" s="337"/>
      <c r="K745" s="337"/>
    </row>
    <row r="746" spans="1:12" ht="15.75" x14ac:dyDescent="0.25">
      <c r="A746" s="26" t="s">
        <v>186</v>
      </c>
      <c r="B746" s="17">
        <v>907</v>
      </c>
      <c r="C746" s="21" t="s">
        <v>543</v>
      </c>
      <c r="D746" s="21" t="s">
        <v>285</v>
      </c>
      <c r="E746" s="21" t="s">
        <v>392</v>
      </c>
      <c r="F746" s="21" t="s">
        <v>196</v>
      </c>
      <c r="G746" s="27">
        <f>G747</f>
        <v>27.1</v>
      </c>
      <c r="H746" s="209"/>
      <c r="J746" s="337"/>
      <c r="K746" s="337"/>
    </row>
    <row r="747" spans="1:12" ht="15.75" x14ac:dyDescent="0.25">
      <c r="A747" s="26" t="s">
        <v>620</v>
      </c>
      <c r="B747" s="17">
        <v>907</v>
      </c>
      <c r="C747" s="21" t="s">
        <v>543</v>
      </c>
      <c r="D747" s="21" t="s">
        <v>285</v>
      </c>
      <c r="E747" s="21" t="s">
        <v>392</v>
      </c>
      <c r="F747" s="21" t="s">
        <v>189</v>
      </c>
      <c r="G747" s="27">
        <f>27.1</f>
        <v>27.1</v>
      </c>
      <c r="H747" s="132"/>
      <c r="I747" s="152"/>
      <c r="J747" s="337"/>
      <c r="K747" s="337"/>
    </row>
    <row r="748" spans="1:12" ht="47.25" x14ac:dyDescent="0.25">
      <c r="A748" s="20" t="s">
        <v>556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09"/>
      <c r="L748" s="142"/>
    </row>
    <row r="749" spans="1:12" ht="15.75" x14ac:dyDescent="0.25">
      <c r="A749" s="36" t="s">
        <v>168</v>
      </c>
      <c r="B749" s="20">
        <v>908</v>
      </c>
      <c r="C749" s="25" t="s">
        <v>169</v>
      </c>
      <c r="D749" s="21"/>
      <c r="E749" s="21"/>
      <c r="F749" s="21"/>
      <c r="G749" s="22">
        <f>G750</f>
        <v>16714.8</v>
      </c>
      <c r="H749" s="209"/>
      <c r="L749" s="142"/>
    </row>
    <row r="750" spans="1:12" ht="15.75" x14ac:dyDescent="0.25">
      <c r="A750" s="36" t="s">
        <v>190</v>
      </c>
      <c r="B750" s="20">
        <v>908</v>
      </c>
      <c r="C750" s="25" t="s">
        <v>169</v>
      </c>
      <c r="D750" s="25" t="s">
        <v>191</v>
      </c>
      <c r="E750" s="21"/>
      <c r="F750" s="21"/>
      <c r="G750" s="22">
        <f>G752+G755</f>
        <v>16714.8</v>
      </c>
      <c r="H750" s="209"/>
      <c r="L750" s="142"/>
    </row>
    <row r="751" spans="1:12" ht="15.75" x14ac:dyDescent="0.25">
      <c r="A751" s="26" t="s">
        <v>192</v>
      </c>
      <c r="B751" s="17">
        <v>908</v>
      </c>
      <c r="C751" s="21" t="s">
        <v>169</v>
      </c>
      <c r="D751" s="21" t="s">
        <v>191</v>
      </c>
      <c r="E751" s="21" t="s">
        <v>193</v>
      </c>
      <c r="F751" s="21"/>
      <c r="G751" s="27">
        <f>G752</f>
        <v>262.5</v>
      </c>
      <c r="H751" s="209"/>
      <c r="L751" s="142"/>
    </row>
    <row r="752" spans="1:12" ht="15.75" x14ac:dyDescent="0.25">
      <c r="A752" s="26" t="s">
        <v>194</v>
      </c>
      <c r="B752" s="17">
        <v>908</v>
      </c>
      <c r="C752" s="21" t="s">
        <v>169</v>
      </c>
      <c r="D752" s="21" t="s">
        <v>191</v>
      </c>
      <c r="E752" s="21" t="s">
        <v>195</v>
      </c>
      <c r="F752" s="21"/>
      <c r="G752" s="27">
        <f>G753</f>
        <v>262.5</v>
      </c>
      <c r="H752" s="209"/>
      <c r="L752" s="142"/>
    </row>
    <row r="753" spans="1:12" ht="15.75" x14ac:dyDescent="0.25">
      <c r="A753" s="26" t="s">
        <v>186</v>
      </c>
      <c r="B753" s="17">
        <v>908</v>
      </c>
      <c r="C753" s="21" t="s">
        <v>169</v>
      </c>
      <c r="D753" s="21" t="s">
        <v>191</v>
      </c>
      <c r="E753" s="21" t="s">
        <v>195</v>
      </c>
      <c r="F753" s="21" t="s">
        <v>196</v>
      </c>
      <c r="G753" s="27">
        <f>G754</f>
        <v>262.5</v>
      </c>
      <c r="H753" s="209"/>
      <c r="L753" s="142"/>
    </row>
    <row r="754" spans="1:12" ht="15.75" x14ac:dyDescent="0.25">
      <c r="A754" s="26" t="s">
        <v>620</v>
      </c>
      <c r="B754" s="17">
        <v>908</v>
      </c>
      <c r="C754" s="21" t="s">
        <v>169</v>
      </c>
      <c r="D754" s="21" t="s">
        <v>191</v>
      </c>
      <c r="E754" s="21" t="s">
        <v>195</v>
      </c>
      <c r="F754" s="21" t="s">
        <v>189</v>
      </c>
      <c r="G754" s="27">
        <v>262.5</v>
      </c>
      <c r="H754" s="132"/>
      <c r="I754" s="152"/>
      <c r="L754" s="142"/>
    </row>
    <row r="755" spans="1:12" ht="31.5" x14ac:dyDescent="0.25">
      <c r="A755" s="26" t="s">
        <v>636</v>
      </c>
      <c r="B755" s="17">
        <v>908</v>
      </c>
      <c r="C755" s="21" t="s">
        <v>169</v>
      </c>
      <c r="D755" s="21" t="s">
        <v>191</v>
      </c>
      <c r="E755" s="21" t="s">
        <v>637</v>
      </c>
      <c r="F755" s="21"/>
      <c r="G755" s="28">
        <f>G756</f>
        <v>16452.3</v>
      </c>
      <c r="H755" s="209"/>
    </row>
    <row r="756" spans="1:12" ht="31.5" x14ac:dyDescent="0.25">
      <c r="A756" s="26" t="s">
        <v>361</v>
      </c>
      <c r="B756" s="17">
        <v>908</v>
      </c>
      <c r="C756" s="21" t="s">
        <v>169</v>
      </c>
      <c r="D756" s="21" t="s">
        <v>191</v>
      </c>
      <c r="E756" s="21" t="s">
        <v>638</v>
      </c>
      <c r="F756" s="21"/>
      <c r="G756" s="28">
        <f>G757+G759+G761</f>
        <v>16452.3</v>
      </c>
      <c r="H756" s="209"/>
    </row>
    <row r="757" spans="1:12" ht="94.5" x14ac:dyDescent="0.25">
      <c r="A757" s="26" t="s">
        <v>178</v>
      </c>
      <c r="B757" s="17">
        <v>908</v>
      </c>
      <c r="C757" s="21" t="s">
        <v>169</v>
      </c>
      <c r="D757" s="21" t="s">
        <v>191</v>
      </c>
      <c r="E757" s="21" t="s">
        <v>638</v>
      </c>
      <c r="F757" s="21" t="s">
        <v>179</v>
      </c>
      <c r="G757" s="28">
        <f>G758</f>
        <v>13760</v>
      </c>
      <c r="H757" s="209"/>
    </row>
    <row r="758" spans="1:12" ht="31.5" x14ac:dyDescent="0.25">
      <c r="A758" s="48" t="s">
        <v>393</v>
      </c>
      <c r="B758" s="17">
        <v>908</v>
      </c>
      <c r="C758" s="21" t="s">
        <v>169</v>
      </c>
      <c r="D758" s="21" t="s">
        <v>191</v>
      </c>
      <c r="E758" s="21" t="s">
        <v>638</v>
      </c>
      <c r="F758" s="21" t="s">
        <v>260</v>
      </c>
      <c r="G758" s="197">
        <f>13403.8+356.2</f>
        <v>13760</v>
      </c>
      <c r="H758" s="132" t="s">
        <v>836</v>
      </c>
      <c r="I758" s="152"/>
      <c r="L758" s="142"/>
    </row>
    <row r="759" spans="1:12" ht="31.5" x14ac:dyDescent="0.25">
      <c r="A759" s="26" t="s">
        <v>182</v>
      </c>
      <c r="B759" s="17">
        <v>908</v>
      </c>
      <c r="C759" s="21" t="s">
        <v>169</v>
      </c>
      <c r="D759" s="21" t="s">
        <v>191</v>
      </c>
      <c r="E759" s="21" t="s">
        <v>638</v>
      </c>
      <c r="F759" s="21" t="s">
        <v>183</v>
      </c>
      <c r="G759" s="28">
        <f>G760</f>
        <v>2678</v>
      </c>
      <c r="H759" s="209"/>
      <c r="L759" s="142"/>
    </row>
    <row r="760" spans="1:12" ht="47.25" x14ac:dyDescent="0.25">
      <c r="A760" s="26" t="s">
        <v>184</v>
      </c>
      <c r="B760" s="17">
        <v>908</v>
      </c>
      <c r="C760" s="21" t="s">
        <v>169</v>
      </c>
      <c r="D760" s="21" t="s">
        <v>191</v>
      </c>
      <c r="E760" s="21" t="s">
        <v>638</v>
      </c>
      <c r="F760" s="21" t="s">
        <v>185</v>
      </c>
      <c r="G760" s="197">
        <f>3034.2-356.2</f>
        <v>2678</v>
      </c>
      <c r="H760" s="132" t="s">
        <v>837</v>
      </c>
      <c r="I760" s="152"/>
      <c r="L760" s="142"/>
    </row>
    <row r="761" spans="1:12" ht="15.75" x14ac:dyDescent="0.25">
      <c r="A761" s="26" t="s">
        <v>186</v>
      </c>
      <c r="B761" s="17">
        <v>908</v>
      </c>
      <c r="C761" s="21" t="s">
        <v>169</v>
      </c>
      <c r="D761" s="21" t="s">
        <v>191</v>
      </c>
      <c r="E761" s="21" t="s">
        <v>638</v>
      </c>
      <c r="F761" s="21" t="s">
        <v>196</v>
      </c>
      <c r="G761" s="28">
        <f>G762</f>
        <v>14.3</v>
      </c>
      <c r="H761" s="209"/>
      <c r="L761" s="142"/>
    </row>
    <row r="762" spans="1:12" ht="15.75" x14ac:dyDescent="0.25">
      <c r="A762" s="26" t="s">
        <v>797</v>
      </c>
      <c r="B762" s="17">
        <v>908</v>
      </c>
      <c r="C762" s="21" t="s">
        <v>169</v>
      </c>
      <c r="D762" s="21" t="s">
        <v>191</v>
      </c>
      <c r="E762" s="21" t="s">
        <v>638</v>
      </c>
      <c r="F762" s="21" t="s">
        <v>189</v>
      </c>
      <c r="G762" s="28">
        <v>14.3</v>
      </c>
      <c r="H762" s="132"/>
      <c r="I762" s="152"/>
      <c r="L762" s="142"/>
    </row>
    <row r="763" spans="1:12" ht="31.5" x14ac:dyDescent="0.25">
      <c r="A763" s="24" t="s">
        <v>273</v>
      </c>
      <c r="B763" s="20">
        <v>908</v>
      </c>
      <c r="C763" s="25" t="s">
        <v>266</v>
      </c>
      <c r="D763" s="25"/>
      <c r="E763" s="25"/>
      <c r="F763" s="25"/>
      <c r="G763" s="22">
        <f t="shared" ref="G763:G768" si="144">G764</f>
        <v>50</v>
      </c>
      <c r="H763" s="209"/>
    </row>
    <row r="764" spans="1:12" ht="63" x14ac:dyDescent="0.25">
      <c r="A764" s="24" t="s">
        <v>274</v>
      </c>
      <c r="B764" s="20">
        <v>908</v>
      </c>
      <c r="C764" s="25" t="s">
        <v>266</v>
      </c>
      <c r="D764" s="25" t="s">
        <v>270</v>
      </c>
      <c r="E764" s="25"/>
      <c r="F764" s="25"/>
      <c r="G764" s="22">
        <f t="shared" si="144"/>
        <v>50</v>
      </c>
      <c r="H764" s="209"/>
    </row>
    <row r="765" spans="1:12" ht="21.75" customHeight="1" x14ac:dyDescent="0.25">
      <c r="A765" s="26" t="s">
        <v>172</v>
      </c>
      <c r="B765" s="17">
        <v>908</v>
      </c>
      <c r="C765" s="21" t="s">
        <v>266</v>
      </c>
      <c r="D765" s="21" t="s">
        <v>270</v>
      </c>
      <c r="E765" s="21" t="s">
        <v>173</v>
      </c>
      <c r="F765" s="21"/>
      <c r="G765" s="27">
        <f t="shared" si="144"/>
        <v>50</v>
      </c>
      <c r="H765" s="209"/>
    </row>
    <row r="766" spans="1:12" ht="15.75" x14ac:dyDescent="0.25">
      <c r="A766" s="26" t="s">
        <v>192</v>
      </c>
      <c r="B766" s="17">
        <v>908</v>
      </c>
      <c r="C766" s="21" t="s">
        <v>266</v>
      </c>
      <c r="D766" s="21" t="s">
        <v>270</v>
      </c>
      <c r="E766" s="21" t="s">
        <v>193</v>
      </c>
      <c r="F766" s="21"/>
      <c r="G766" s="27">
        <f t="shared" si="144"/>
        <v>50</v>
      </c>
      <c r="H766" s="209"/>
    </row>
    <row r="767" spans="1:12" ht="15.75" x14ac:dyDescent="0.25">
      <c r="A767" s="26" t="s">
        <v>281</v>
      </c>
      <c r="B767" s="17">
        <v>908</v>
      </c>
      <c r="C767" s="21" t="s">
        <v>266</v>
      </c>
      <c r="D767" s="21" t="s">
        <v>270</v>
      </c>
      <c r="E767" s="21" t="s">
        <v>282</v>
      </c>
      <c r="F767" s="21"/>
      <c r="G767" s="27">
        <f t="shared" si="144"/>
        <v>50</v>
      </c>
      <c r="H767" s="209"/>
    </row>
    <row r="768" spans="1:12" ht="31.5" x14ac:dyDescent="0.25">
      <c r="A768" s="26" t="s">
        <v>182</v>
      </c>
      <c r="B768" s="17">
        <v>908</v>
      </c>
      <c r="C768" s="21" t="s">
        <v>266</v>
      </c>
      <c r="D768" s="21" t="s">
        <v>270</v>
      </c>
      <c r="E768" s="21" t="s">
        <v>282</v>
      </c>
      <c r="F768" s="21" t="s">
        <v>183</v>
      </c>
      <c r="G768" s="27">
        <f t="shared" si="144"/>
        <v>50</v>
      </c>
      <c r="H768" s="209"/>
    </row>
    <row r="769" spans="1:9" ht="47.25" x14ac:dyDescent="0.25">
      <c r="A769" s="26" t="s">
        <v>184</v>
      </c>
      <c r="B769" s="17">
        <v>908</v>
      </c>
      <c r="C769" s="21" t="s">
        <v>266</v>
      </c>
      <c r="D769" s="21" t="s">
        <v>270</v>
      </c>
      <c r="E769" s="21" t="s">
        <v>282</v>
      </c>
      <c r="F769" s="21" t="s">
        <v>185</v>
      </c>
      <c r="G769" s="27">
        <v>50</v>
      </c>
      <c r="H769" s="209"/>
    </row>
    <row r="770" spans="1:9" ht="15.75" x14ac:dyDescent="0.25">
      <c r="A770" s="24" t="s">
        <v>283</v>
      </c>
      <c r="B770" s="20">
        <v>908</v>
      </c>
      <c r="C770" s="25" t="s">
        <v>201</v>
      </c>
      <c r="D770" s="25"/>
      <c r="E770" s="25"/>
      <c r="F770" s="25"/>
      <c r="G770" s="22">
        <f>G771+G777</f>
        <v>18331.8</v>
      </c>
      <c r="H770" s="209"/>
    </row>
    <row r="771" spans="1:9" ht="15.75" x14ac:dyDescent="0.25">
      <c r="A771" s="24" t="s">
        <v>557</v>
      </c>
      <c r="B771" s="20">
        <v>908</v>
      </c>
      <c r="C771" s="25" t="s">
        <v>201</v>
      </c>
      <c r="D771" s="25" t="s">
        <v>350</v>
      </c>
      <c r="E771" s="25"/>
      <c r="F771" s="25"/>
      <c r="G771" s="22">
        <f>G772</f>
        <v>3207.7</v>
      </c>
      <c r="H771" s="209"/>
    </row>
    <row r="772" spans="1:9" ht="15.75" x14ac:dyDescent="0.25">
      <c r="A772" s="26" t="s">
        <v>172</v>
      </c>
      <c r="B772" s="17">
        <v>908</v>
      </c>
      <c r="C772" s="21" t="s">
        <v>201</v>
      </c>
      <c r="D772" s="21" t="s">
        <v>350</v>
      </c>
      <c r="E772" s="21" t="s">
        <v>173</v>
      </c>
      <c r="F772" s="25"/>
      <c r="G772" s="27">
        <f>G773</f>
        <v>3207.7</v>
      </c>
      <c r="H772" s="209"/>
    </row>
    <row r="773" spans="1:9" ht="15.75" x14ac:dyDescent="0.25">
      <c r="A773" s="26" t="s">
        <v>192</v>
      </c>
      <c r="B773" s="17">
        <v>908</v>
      </c>
      <c r="C773" s="21" t="s">
        <v>201</v>
      </c>
      <c r="D773" s="21" t="s">
        <v>350</v>
      </c>
      <c r="E773" s="21" t="s">
        <v>193</v>
      </c>
      <c r="F773" s="25"/>
      <c r="G773" s="27">
        <f>G774</f>
        <v>3207.7</v>
      </c>
      <c r="H773" s="209"/>
    </row>
    <row r="774" spans="1:9" ht="39" customHeight="1" x14ac:dyDescent="0.25">
      <c r="A774" s="26" t="s">
        <v>558</v>
      </c>
      <c r="B774" s="17">
        <v>908</v>
      </c>
      <c r="C774" s="21" t="s">
        <v>201</v>
      </c>
      <c r="D774" s="21" t="s">
        <v>350</v>
      </c>
      <c r="E774" s="21" t="s">
        <v>559</v>
      </c>
      <c r="F774" s="21"/>
      <c r="G774" s="27">
        <f>G775</f>
        <v>3207.7</v>
      </c>
      <c r="H774" s="209"/>
    </row>
    <row r="775" spans="1:9" ht="31.5" x14ac:dyDescent="0.25">
      <c r="A775" s="26" t="s">
        <v>182</v>
      </c>
      <c r="B775" s="17">
        <v>908</v>
      </c>
      <c r="C775" s="21" t="s">
        <v>201</v>
      </c>
      <c r="D775" s="21" t="s">
        <v>350</v>
      </c>
      <c r="E775" s="21" t="s">
        <v>559</v>
      </c>
      <c r="F775" s="21" t="s">
        <v>183</v>
      </c>
      <c r="G775" s="27">
        <f>G776</f>
        <v>3207.7</v>
      </c>
      <c r="H775" s="209"/>
    </row>
    <row r="776" spans="1:9" ht="47.25" x14ac:dyDescent="0.25">
      <c r="A776" s="26" t="s">
        <v>184</v>
      </c>
      <c r="B776" s="17">
        <v>908</v>
      </c>
      <c r="C776" s="21" t="s">
        <v>201</v>
      </c>
      <c r="D776" s="21" t="s">
        <v>350</v>
      </c>
      <c r="E776" s="21" t="s">
        <v>559</v>
      </c>
      <c r="F776" s="21" t="s">
        <v>185</v>
      </c>
      <c r="G776" s="27">
        <v>3207.7</v>
      </c>
      <c r="H776" s="209"/>
    </row>
    <row r="777" spans="1:9" ht="15.75" x14ac:dyDescent="0.25">
      <c r="A777" s="24" t="s">
        <v>560</v>
      </c>
      <c r="B777" s="20">
        <v>908</v>
      </c>
      <c r="C777" s="25" t="s">
        <v>201</v>
      </c>
      <c r="D777" s="25" t="s">
        <v>270</v>
      </c>
      <c r="E777" s="21"/>
      <c r="F777" s="25"/>
      <c r="G777" s="22">
        <f>G778</f>
        <v>15124.1</v>
      </c>
      <c r="H777" s="209"/>
    </row>
    <row r="778" spans="1:9" ht="47.25" x14ac:dyDescent="0.25">
      <c r="A778" s="33" t="s">
        <v>561</v>
      </c>
      <c r="B778" s="17">
        <v>908</v>
      </c>
      <c r="C778" s="21" t="s">
        <v>201</v>
      </c>
      <c r="D778" s="21" t="s">
        <v>270</v>
      </c>
      <c r="E778" s="21" t="s">
        <v>562</v>
      </c>
      <c r="F778" s="21"/>
      <c r="G778" s="27">
        <f>G779</f>
        <v>15124.1</v>
      </c>
      <c r="H778" s="209"/>
    </row>
    <row r="779" spans="1:9" ht="15.75" x14ac:dyDescent="0.25">
      <c r="A779" s="31" t="s">
        <v>563</v>
      </c>
      <c r="B779" s="17">
        <v>908</v>
      </c>
      <c r="C779" s="21" t="s">
        <v>201</v>
      </c>
      <c r="D779" s="21" t="s">
        <v>270</v>
      </c>
      <c r="E779" s="42" t="s">
        <v>564</v>
      </c>
      <c r="F779" s="21"/>
      <c r="G779" s="27">
        <f>G780+G782</f>
        <v>15124.1</v>
      </c>
      <c r="H779" s="209"/>
    </row>
    <row r="780" spans="1:9" ht="31.5" x14ac:dyDescent="0.25">
      <c r="A780" s="26" t="s">
        <v>182</v>
      </c>
      <c r="B780" s="17">
        <v>908</v>
      </c>
      <c r="C780" s="21" t="s">
        <v>201</v>
      </c>
      <c r="D780" s="21" t="s">
        <v>270</v>
      </c>
      <c r="E780" s="42" t="s">
        <v>564</v>
      </c>
      <c r="F780" s="21" t="s">
        <v>183</v>
      </c>
      <c r="G780" s="27">
        <f>G781</f>
        <v>15108.1</v>
      </c>
      <c r="H780" s="209"/>
    </row>
    <row r="781" spans="1:9" ht="47.25" x14ac:dyDescent="0.25">
      <c r="A781" s="26" t="s">
        <v>184</v>
      </c>
      <c r="B781" s="17">
        <v>908</v>
      </c>
      <c r="C781" s="21" t="s">
        <v>201</v>
      </c>
      <c r="D781" s="21" t="s">
        <v>270</v>
      </c>
      <c r="E781" s="42" t="s">
        <v>564</v>
      </c>
      <c r="F781" s="21" t="s">
        <v>185</v>
      </c>
      <c r="G781" s="27">
        <f>15124.1-10-6</f>
        <v>15108.1</v>
      </c>
      <c r="H781" s="146" t="s">
        <v>858</v>
      </c>
    </row>
    <row r="782" spans="1:9" ht="15.75" x14ac:dyDescent="0.25">
      <c r="A782" s="26" t="s">
        <v>186</v>
      </c>
      <c r="B782" s="17">
        <v>908</v>
      </c>
      <c r="C782" s="21" t="s">
        <v>201</v>
      </c>
      <c r="D782" s="21" t="s">
        <v>270</v>
      </c>
      <c r="E782" s="42" t="s">
        <v>564</v>
      </c>
      <c r="F782" s="21" t="s">
        <v>196</v>
      </c>
      <c r="G782" s="27">
        <f>G783</f>
        <v>16</v>
      </c>
      <c r="H782" s="209"/>
    </row>
    <row r="783" spans="1:9" ht="15.75" x14ac:dyDescent="0.25">
      <c r="A783" s="26" t="s">
        <v>620</v>
      </c>
      <c r="B783" s="17">
        <v>908</v>
      </c>
      <c r="C783" s="21" t="s">
        <v>201</v>
      </c>
      <c r="D783" s="21" t="s">
        <v>270</v>
      </c>
      <c r="E783" s="42" t="s">
        <v>564</v>
      </c>
      <c r="F783" s="21" t="s">
        <v>189</v>
      </c>
      <c r="G783" s="27">
        <f>10+6</f>
        <v>16</v>
      </c>
      <c r="H783" s="188" t="s">
        <v>859</v>
      </c>
    </row>
    <row r="784" spans="1:9" ht="15.75" x14ac:dyDescent="0.25">
      <c r="A784" s="24" t="s">
        <v>442</v>
      </c>
      <c r="B784" s="20">
        <v>908</v>
      </c>
      <c r="C784" s="25" t="s">
        <v>285</v>
      </c>
      <c r="D784" s="25"/>
      <c r="E784" s="25"/>
      <c r="F784" s="25"/>
      <c r="G784" s="22">
        <f>G785+G800+G847+G899</f>
        <v>108065.79000000001</v>
      </c>
      <c r="H784" s="209"/>
      <c r="I784" s="140"/>
    </row>
    <row r="785" spans="1:12" ht="15.75" x14ac:dyDescent="0.25">
      <c r="A785" s="24" t="s">
        <v>443</v>
      </c>
      <c r="B785" s="20">
        <v>908</v>
      </c>
      <c r="C785" s="25" t="s">
        <v>285</v>
      </c>
      <c r="D785" s="25" t="s">
        <v>169</v>
      </c>
      <c r="E785" s="25"/>
      <c r="F785" s="25"/>
      <c r="G785" s="22">
        <f>G786</f>
        <v>7765.4000000000005</v>
      </c>
      <c r="H785" s="209"/>
    </row>
    <row r="786" spans="1:12" ht="15.75" x14ac:dyDescent="0.25">
      <c r="A786" s="26" t="s">
        <v>172</v>
      </c>
      <c r="B786" s="17">
        <v>908</v>
      </c>
      <c r="C786" s="21" t="s">
        <v>285</v>
      </c>
      <c r="D786" s="21" t="s">
        <v>169</v>
      </c>
      <c r="E786" s="21" t="s">
        <v>173</v>
      </c>
      <c r="F786" s="21"/>
      <c r="G786" s="27">
        <f>G791</f>
        <v>7765.4000000000005</v>
      </c>
      <c r="H786" s="209"/>
    </row>
    <row r="787" spans="1:12" ht="31.5" hidden="1" x14ac:dyDescent="0.25">
      <c r="A787" s="26" t="s">
        <v>236</v>
      </c>
      <c r="B787" s="17">
        <v>908</v>
      </c>
      <c r="C787" s="21" t="s">
        <v>285</v>
      </c>
      <c r="D787" s="21" t="s">
        <v>169</v>
      </c>
      <c r="E787" s="21" t="s">
        <v>237</v>
      </c>
      <c r="F787" s="21"/>
      <c r="G787" s="27">
        <f t="shared" ref="G787:G789" si="145">G788</f>
        <v>0</v>
      </c>
      <c r="H787" s="209"/>
    </row>
    <row r="788" spans="1:12" ht="15.75" hidden="1" x14ac:dyDescent="0.25">
      <c r="A788" s="26" t="s">
        <v>565</v>
      </c>
      <c r="B788" s="17">
        <v>908</v>
      </c>
      <c r="C788" s="21" t="s">
        <v>285</v>
      </c>
      <c r="D788" s="21" t="s">
        <v>169</v>
      </c>
      <c r="E788" s="21" t="s">
        <v>566</v>
      </c>
      <c r="F788" s="21"/>
      <c r="G788" s="27">
        <f t="shared" si="145"/>
        <v>0</v>
      </c>
      <c r="H788" s="209"/>
    </row>
    <row r="789" spans="1:12" ht="15.75" hidden="1" x14ac:dyDescent="0.25">
      <c r="A789" s="26" t="s">
        <v>186</v>
      </c>
      <c r="B789" s="17">
        <v>908</v>
      </c>
      <c r="C789" s="21" t="s">
        <v>285</v>
      </c>
      <c r="D789" s="21" t="s">
        <v>169</v>
      </c>
      <c r="E789" s="21" t="s">
        <v>566</v>
      </c>
      <c r="F789" s="21" t="s">
        <v>196</v>
      </c>
      <c r="G789" s="27">
        <f t="shared" si="145"/>
        <v>0</v>
      </c>
      <c r="H789" s="209"/>
    </row>
    <row r="790" spans="1:12" ht="63" hidden="1" x14ac:dyDescent="0.25">
      <c r="A790" s="26" t="s">
        <v>235</v>
      </c>
      <c r="B790" s="17">
        <v>908</v>
      </c>
      <c r="C790" s="21" t="s">
        <v>285</v>
      </c>
      <c r="D790" s="21" t="s">
        <v>169</v>
      </c>
      <c r="E790" s="21" t="s">
        <v>566</v>
      </c>
      <c r="F790" s="21" t="s">
        <v>211</v>
      </c>
      <c r="G790" s="27">
        <v>0</v>
      </c>
      <c r="H790" s="209"/>
    </row>
    <row r="791" spans="1:12" ht="15.75" x14ac:dyDescent="0.25">
      <c r="A791" s="26" t="s">
        <v>192</v>
      </c>
      <c r="B791" s="17">
        <v>908</v>
      </c>
      <c r="C791" s="21" t="s">
        <v>285</v>
      </c>
      <c r="D791" s="21" t="s">
        <v>169</v>
      </c>
      <c r="E791" s="21" t="s">
        <v>193</v>
      </c>
      <c r="F791" s="25"/>
      <c r="G791" s="27">
        <f>G792+G797</f>
        <v>7765.4000000000005</v>
      </c>
      <c r="H791" s="209"/>
    </row>
    <row r="792" spans="1:12" ht="15.75" x14ac:dyDescent="0.25">
      <c r="A792" s="26" t="s">
        <v>567</v>
      </c>
      <c r="B792" s="17">
        <v>908</v>
      </c>
      <c r="C792" s="21" t="s">
        <v>285</v>
      </c>
      <c r="D792" s="21" t="s">
        <v>169</v>
      </c>
      <c r="E792" s="21" t="s">
        <v>568</v>
      </c>
      <c r="F792" s="25"/>
      <c r="G792" s="27">
        <f>G795+G793</f>
        <v>3531.3</v>
      </c>
      <c r="H792" s="209"/>
    </row>
    <row r="793" spans="1:12" ht="31.5" x14ac:dyDescent="0.25">
      <c r="A793" s="26" t="s">
        <v>182</v>
      </c>
      <c r="B793" s="17">
        <v>908</v>
      </c>
      <c r="C793" s="21" t="s">
        <v>285</v>
      </c>
      <c r="D793" s="21" t="s">
        <v>169</v>
      </c>
      <c r="E793" s="21" t="s">
        <v>568</v>
      </c>
      <c r="F793" s="21" t="s">
        <v>183</v>
      </c>
      <c r="G793" s="27">
        <f>G794</f>
        <v>1131.3</v>
      </c>
      <c r="H793" s="209"/>
    </row>
    <row r="794" spans="1:12" ht="47.25" x14ac:dyDescent="0.25">
      <c r="A794" s="26" t="s">
        <v>184</v>
      </c>
      <c r="B794" s="17">
        <v>908</v>
      </c>
      <c r="C794" s="21" t="s">
        <v>285</v>
      </c>
      <c r="D794" s="21" t="s">
        <v>169</v>
      </c>
      <c r="E794" s="21" t="s">
        <v>568</v>
      </c>
      <c r="F794" s="21" t="s">
        <v>185</v>
      </c>
      <c r="G794" s="27">
        <v>1131.3</v>
      </c>
      <c r="H794" s="132"/>
      <c r="I794" s="153"/>
    </row>
    <row r="795" spans="1:12" ht="15.75" x14ac:dyDescent="0.25">
      <c r="A795" s="26" t="s">
        <v>186</v>
      </c>
      <c r="B795" s="17">
        <v>908</v>
      </c>
      <c r="C795" s="21" t="s">
        <v>285</v>
      </c>
      <c r="D795" s="21" t="s">
        <v>169</v>
      </c>
      <c r="E795" s="21" t="s">
        <v>568</v>
      </c>
      <c r="F795" s="21" t="s">
        <v>196</v>
      </c>
      <c r="G795" s="27">
        <f>G796</f>
        <v>2400</v>
      </c>
      <c r="H795" s="209"/>
    </row>
    <row r="796" spans="1:12" ht="63" x14ac:dyDescent="0.25">
      <c r="A796" s="26" t="s">
        <v>235</v>
      </c>
      <c r="B796" s="17">
        <v>908</v>
      </c>
      <c r="C796" s="21" t="s">
        <v>285</v>
      </c>
      <c r="D796" s="21" t="s">
        <v>169</v>
      </c>
      <c r="E796" s="21" t="s">
        <v>568</v>
      </c>
      <c r="F796" s="21" t="s">
        <v>211</v>
      </c>
      <c r="G796" s="27">
        <f>1500+900</f>
        <v>2400</v>
      </c>
      <c r="H796" s="209"/>
      <c r="I796" s="141"/>
    </row>
    <row r="797" spans="1:12" ht="31.5" x14ac:dyDescent="0.25">
      <c r="A797" s="31" t="s">
        <v>450</v>
      </c>
      <c r="B797" s="17">
        <v>908</v>
      </c>
      <c r="C797" s="21" t="s">
        <v>285</v>
      </c>
      <c r="D797" s="21" t="s">
        <v>169</v>
      </c>
      <c r="E797" s="21" t="s">
        <v>451</v>
      </c>
      <c r="F797" s="25"/>
      <c r="G797" s="27">
        <f>G798</f>
        <v>4234.1000000000004</v>
      </c>
      <c r="H797" s="209"/>
    </row>
    <row r="798" spans="1:12" ht="31.5" x14ac:dyDescent="0.25">
      <c r="A798" s="26" t="s">
        <v>182</v>
      </c>
      <c r="B798" s="17">
        <v>908</v>
      </c>
      <c r="C798" s="21" t="s">
        <v>285</v>
      </c>
      <c r="D798" s="21" t="s">
        <v>169</v>
      </c>
      <c r="E798" s="21" t="s">
        <v>451</v>
      </c>
      <c r="F798" s="21" t="s">
        <v>183</v>
      </c>
      <c r="G798" s="27">
        <f>G799</f>
        <v>4234.1000000000004</v>
      </c>
      <c r="H798" s="209"/>
    </row>
    <row r="799" spans="1:12" ht="47.25" x14ac:dyDescent="0.25">
      <c r="A799" s="26" t="s">
        <v>184</v>
      </c>
      <c r="B799" s="17">
        <v>908</v>
      </c>
      <c r="C799" s="21" t="s">
        <v>285</v>
      </c>
      <c r="D799" s="21" t="s">
        <v>169</v>
      </c>
      <c r="E799" s="21" t="s">
        <v>451</v>
      </c>
      <c r="F799" s="21" t="s">
        <v>185</v>
      </c>
      <c r="G799" s="28">
        <f>3811.8+422.3</f>
        <v>4234.1000000000004</v>
      </c>
      <c r="H799" s="209"/>
    </row>
    <row r="800" spans="1:12" ht="15.75" x14ac:dyDescent="0.25">
      <c r="A800" s="24" t="s">
        <v>569</v>
      </c>
      <c r="B800" s="20">
        <v>908</v>
      </c>
      <c r="C800" s="25" t="s">
        <v>285</v>
      </c>
      <c r="D800" s="25" t="s">
        <v>264</v>
      </c>
      <c r="E800" s="25"/>
      <c r="F800" s="25"/>
      <c r="G800" s="22">
        <f>G801+G826</f>
        <v>53711.1</v>
      </c>
      <c r="H800" s="209"/>
      <c r="I800" s="141"/>
      <c r="L800" s="142"/>
    </row>
    <row r="801" spans="1:10" ht="82.5" customHeight="1" x14ac:dyDescent="0.25">
      <c r="A801" s="26" t="s">
        <v>654</v>
      </c>
      <c r="B801" s="17">
        <v>908</v>
      </c>
      <c r="C801" s="21" t="s">
        <v>285</v>
      </c>
      <c r="D801" s="21" t="s">
        <v>264</v>
      </c>
      <c r="E801" s="21" t="s">
        <v>570</v>
      </c>
      <c r="F801" s="25"/>
      <c r="G801" s="27">
        <f>G805+G808+G811+G814+G817+G823</f>
        <v>5567.9000000000005</v>
      </c>
      <c r="H801" s="211"/>
      <c r="I801" s="141"/>
    </row>
    <row r="802" spans="1:10" ht="47.25" hidden="1" x14ac:dyDescent="0.25">
      <c r="A802" s="37" t="s">
        <v>571</v>
      </c>
      <c r="B802" s="17">
        <v>908</v>
      </c>
      <c r="C802" s="21" t="s">
        <v>285</v>
      </c>
      <c r="D802" s="21" t="s">
        <v>264</v>
      </c>
      <c r="E802" s="21" t="s">
        <v>572</v>
      </c>
      <c r="F802" s="21"/>
      <c r="G802" s="27">
        <f t="shared" ref="G802:G803" si="146">G803</f>
        <v>0</v>
      </c>
      <c r="H802" s="209"/>
    </row>
    <row r="803" spans="1:10" ht="31.5" hidden="1" x14ac:dyDescent="0.25">
      <c r="A803" s="26" t="s">
        <v>182</v>
      </c>
      <c r="B803" s="17">
        <v>908</v>
      </c>
      <c r="C803" s="21" t="s">
        <v>285</v>
      </c>
      <c r="D803" s="21" t="s">
        <v>264</v>
      </c>
      <c r="E803" s="21" t="s">
        <v>572</v>
      </c>
      <c r="F803" s="21" t="s">
        <v>183</v>
      </c>
      <c r="G803" s="27">
        <f t="shared" si="146"/>
        <v>0</v>
      </c>
      <c r="H803" s="209"/>
    </row>
    <row r="804" spans="1:10" ht="47.25" hidden="1" x14ac:dyDescent="0.25">
      <c r="A804" s="26" t="s">
        <v>184</v>
      </c>
      <c r="B804" s="17">
        <v>908</v>
      </c>
      <c r="C804" s="21" t="s">
        <v>285</v>
      </c>
      <c r="D804" s="21" t="s">
        <v>264</v>
      </c>
      <c r="E804" s="21" t="s">
        <v>572</v>
      </c>
      <c r="F804" s="21" t="s">
        <v>185</v>
      </c>
      <c r="G804" s="27">
        <v>0</v>
      </c>
      <c r="H804" s="209"/>
    </row>
    <row r="805" spans="1:10" ht="15.75" x14ac:dyDescent="0.25">
      <c r="A805" s="47" t="s">
        <v>573</v>
      </c>
      <c r="B805" s="17">
        <v>908</v>
      </c>
      <c r="C805" s="42" t="s">
        <v>285</v>
      </c>
      <c r="D805" s="42" t="s">
        <v>264</v>
      </c>
      <c r="E805" s="21" t="s">
        <v>574</v>
      </c>
      <c r="F805" s="42"/>
      <c r="G805" s="27">
        <f>G806</f>
        <v>450</v>
      </c>
      <c r="H805" s="209"/>
    </row>
    <row r="806" spans="1:10" ht="31.5" x14ac:dyDescent="0.25">
      <c r="A806" s="33" t="s">
        <v>182</v>
      </c>
      <c r="B806" s="17">
        <v>908</v>
      </c>
      <c r="C806" s="42" t="s">
        <v>285</v>
      </c>
      <c r="D806" s="42" t="s">
        <v>264</v>
      </c>
      <c r="E806" s="21" t="s">
        <v>574</v>
      </c>
      <c r="F806" s="42" t="s">
        <v>183</v>
      </c>
      <c r="G806" s="27">
        <f>G807</f>
        <v>450</v>
      </c>
      <c r="H806" s="209"/>
    </row>
    <row r="807" spans="1:10" ht="47.25" x14ac:dyDescent="0.25">
      <c r="A807" s="33" t="s">
        <v>184</v>
      </c>
      <c r="B807" s="17">
        <v>908</v>
      </c>
      <c r="C807" s="42" t="s">
        <v>285</v>
      </c>
      <c r="D807" s="42" t="s">
        <v>264</v>
      </c>
      <c r="E807" s="21" t="s">
        <v>574</v>
      </c>
      <c r="F807" s="42" t="s">
        <v>185</v>
      </c>
      <c r="G807" s="27">
        <v>450</v>
      </c>
      <c r="H807" s="209"/>
    </row>
    <row r="808" spans="1:10" ht="15.75" x14ac:dyDescent="0.25">
      <c r="A808" s="47" t="s">
        <v>575</v>
      </c>
      <c r="B808" s="17">
        <v>908</v>
      </c>
      <c r="C808" s="42" t="s">
        <v>285</v>
      </c>
      <c r="D808" s="42" t="s">
        <v>264</v>
      </c>
      <c r="E808" s="21" t="s">
        <v>576</v>
      </c>
      <c r="F808" s="42"/>
      <c r="G808" s="27">
        <f>G809</f>
        <v>3107</v>
      </c>
      <c r="H808" s="209"/>
    </row>
    <row r="809" spans="1:10" ht="31.5" x14ac:dyDescent="0.25">
      <c r="A809" s="33" t="s">
        <v>182</v>
      </c>
      <c r="B809" s="17">
        <v>908</v>
      </c>
      <c r="C809" s="42" t="s">
        <v>285</v>
      </c>
      <c r="D809" s="42" t="s">
        <v>264</v>
      </c>
      <c r="E809" s="21" t="s">
        <v>576</v>
      </c>
      <c r="F809" s="42" t="s">
        <v>183</v>
      </c>
      <c r="G809" s="27">
        <f>G810</f>
        <v>3107</v>
      </c>
      <c r="H809" s="209"/>
    </row>
    <row r="810" spans="1:10" ht="47.25" x14ac:dyDescent="0.25">
      <c r="A810" s="33" t="s">
        <v>184</v>
      </c>
      <c r="B810" s="17">
        <v>908</v>
      </c>
      <c r="C810" s="42" t="s">
        <v>285</v>
      </c>
      <c r="D810" s="42" t="s">
        <v>264</v>
      </c>
      <c r="E810" s="21" t="s">
        <v>576</v>
      </c>
      <c r="F810" s="42" t="s">
        <v>185</v>
      </c>
      <c r="G810" s="198">
        <f>110+20+2977</f>
        <v>3107</v>
      </c>
      <c r="H810" s="192" t="s">
        <v>838</v>
      </c>
    </row>
    <row r="811" spans="1:10" ht="15.75" x14ac:dyDescent="0.25">
      <c r="A811" s="47" t="s">
        <v>577</v>
      </c>
      <c r="B811" s="17">
        <v>908</v>
      </c>
      <c r="C811" s="42" t="s">
        <v>285</v>
      </c>
      <c r="D811" s="42" t="s">
        <v>264</v>
      </c>
      <c r="E811" s="21" t="s">
        <v>578</v>
      </c>
      <c r="F811" s="42"/>
      <c r="G811" s="27">
        <f>G812</f>
        <v>1374.6</v>
      </c>
      <c r="H811" s="209"/>
    </row>
    <row r="812" spans="1:10" ht="31.5" x14ac:dyDescent="0.25">
      <c r="A812" s="33" t="s">
        <v>182</v>
      </c>
      <c r="B812" s="17">
        <v>908</v>
      </c>
      <c r="C812" s="42" t="s">
        <v>285</v>
      </c>
      <c r="D812" s="42" t="s">
        <v>264</v>
      </c>
      <c r="E812" s="21" t="s">
        <v>578</v>
      </c>
      <c r="F812" s="42" t="s">
        <v>183</v>
      </c>
      <c r="G812" s="27">
        <f>G813</f>
        <v>1374.6</v>
      </c>
      <c r="H812" s="209"/>
    </row>
    <row r="813" spans="1:10" ht="47.25" x14ac:dyDescent="0.25">
      <c r="A813" s="33" t="s">
        <v>184</v>
      </c>
      <c r="B813" s="17">
        <v>908</v>
      </c>
      <c r="C813" s="42" t="s">
        <v>285</v>
      </c>
      <c r="D813" s="42" t="s">
        <v>264</v>
      </c>
      <c r="E813" s="21" t="s">
        <v>578</v>
      </c>
      <c r="F813" s="42" t="s">
        <v>185</v>
      </c>
      <c r="G813" s="198">
        <f>10+30+3534.6-2200</f>
        <v>1374.6</v>
      </c>
      <c r="H813" s="139" t="s">
        <v>846</v>
      </c>
      <c r="J813" s="201" t="s">
        <v>847</v>
      </c>
    </row>
    <row r="814" spans="1:10" ht="15.75" x14ac:dyDescent="0.25">
      <c r="A814" s="47" t="s">
        <v>579</v>
      </c>
      <c r="B814" s="17">
        <v>908</v>
      </c>
      <c r="C814" s="42" t="s">
        <v>285</v>
      </c>
      <c r="D814" s="42" t="s">
        <v>264</v>
      </c>
      <c r="E814" s="21" t="s">
        <v>580</v>
      </c>
      <c r="F814" s="42"/>
      <c r="G814" s="27">
        <f>G815</f>
        <v>159.10000000000002</v>
      </c>
      <c r="H814" s="209"/>
    </row>
    <row r="815" spans="1:10" ht="31.5" x14ac:dyDescent="0.25">
      <c r="A815" s="33" t="s">
        <v>182</v>
      </c>
      <c r="B815" s="17">
        <v>908</v>
      </c>
      <c r="C815" s="42" t="s">
        <v>285</v>
      </c>
      <c r="D815" s="42" t="s">
        <v>264</v>
      </c>
      <c r="E815" s="21" t="s">
        <v>580</v>
      </c>
      <c r="F815" s="42" t="s">
        <v>183</v>
      </c>
      <c r="G815" s="27">
        <f>G816</f>
        <v>159.10000000000002</v>
      </c>
      <c r="H815" s="209"/>
    </row>
    <row r="816" spans="1:10" ht="47.25" x14ac:dyDescent="0.25">
      <c r="A816" s="33" t="s">
        <v>184</v>
      </c>
      <c r="B816" s="17">
        <v>908</v>
      </c>
      <c r="C816" s="42" t="s">
        <v>285</v>
      </c>
      <c r="D816" s="42" t="s">
        <v>264</v>
      </c>
      <c r="E816" s="21" t="s">
        <v>580</v>
      </c>
      <c r="F816" s="42" t="s">
        <v>185</v>
      </c>
      <c r="G816" s="198">
        <f>250+5+681.1-522-255</f>
        <v>159.10000000000002</v>
      </c>
      <c r="H816" s="139" t="s">
        <v>839</v>
      </c>
    </row>
    <row r="817" spans="1:10" ht="15.75" x14ac:dyDescent="0.25">
      <c r="A817" s="47" t="s">
        <v>581</v>
      </c>
      <c r="B817" s="17">
        <v>908</v>
      </c>
      <c r="C817" s="42" t="s">
        <v>285</v>
      </c>
      <c r="D817" s="42" t="s">
        <v>264</v>
      </c>
      <c r="E817" s="21" t="s">
        <v>582</v>
      </c>
      <c r="F817" s="42"/>
      <c r="G817" s="27">
        <f>G818</f>
        <v>288.2</v>
      </c>
      <c r="H817" s="209"/>
    </row>
    <row r="818" spans="1:10" ht="31.5" x14ac:dyDescent="0.25">
      <c r="A818" s="33" t="s">
        <v>182</v>
      </c>
      <c r="B818" s="17">
        <v>908</v>
      </c>
      <c r="C818" s="42" t="s">
        <v>285</v>
      </c>
      <c r="D818" s="42" t="s">
        <v>264</v>
      </c>
      <c r="E818" s="21" t="s">
        <v>582</v>
      </c>
      <c r="F818" s="42" t="s">
        <v>183</v>
      </c>
      <c r="G818" s="27">
        <f>G819</f>
        <v>288.2</v>
      </c>
      <c r="H818" s="209"/>
    </row>
    <row r="819" spans="1:10" ht="47.25" x14ac:dyDescent="0.25">
      <c r="A819" s="33" t="s">
        <v>184</v>
      </c>
      <c r="B819" s="17">
        <v>908</v>
      </c>
      <c r="C819" s="42" t="s">
        <v>285</v>
      </c>
      <c r="D819" s="42" t="s">
        <v>264</v>
      </c>
      <c r="E819" s="21" t="s">
        <v>582</v>
      </c>
      <c r="F819" s="42" t="s">
        <v>185</v>
      </c>
      <c r="G819" s="27">
        <f>2+286.2</f>
        <v>288.2</v>
      </c>
      <c r="H819" s="139"/>
      <c r="J819" s="202" t="s">
        <v>848</v>
      </c>
    </row>
    <row r="820" spans="1:10" ht="31.5" hidden="1" x14ac:dyDescent="0.25">
      <c r="A820" s="210" t="s">
        <v>583</v>
      </c>
      <c r="B820" s="17">
        <v>908</v>
      </c>
      <c r="C820" s="42" t="s">
        <v>285</v>
      </c>
      <c r="D820" s="42" t="s">
        <v>264</v>
      </c>
      <c r="E820" s="21" t="s">
        <v>584</v>
      </c>
      <c r="F820" s="42"/>
      <c r="G820" s="27">
        <f>G821</f>
        <v>0</v>
      </c>
      <c r="H820" s="209"/>
    </row>
    <row r="821" spans="1:10" ht="31.5" hidden="1" x14ac:dyDescent="0.25">
      <c r="A821" s="33" t="s">
        <v>182</v>
      </c>
      <c r="B821" s="17">
        <v>908</v>
      </c>
      <c r="C821" s="42" t="s">
        <v>285</v>
      </c>
      <c r="D821" s="42" t="s">
        <v>264</v>
      </c>
      <c r="E821" s="21" t="s">
        <v>584</v>
      </c>
      <c r="F821" s="42" t="s">
        <v>183</v>
      </c>
      <c r="G821" s="27">
        <f>G822</f>
        <v>0</v>
      </c>
      <c r="H821" s="209"/>
    </row>
    <row r="822" spans="1:10" ht="47.25" hidden="1" x14ac:dyDescent="0.25">
      <c r="A822" s="33" t="s">
        <v>184</v>
      </c>
      <c r="B822" s="17">
        <v>908</v>
      </c>
      <c r="C822" s="42" t="s">
        <v>285</v>
      </c>
      <c r="D822" s="42" t="s">
        <v>264</v>
      </c>
      <c r="E822" s="21" t="s">
        <v>584</v>
      </c>
      <c r="F822" s="42" t="s">
        <v>185</v>
      </c>
      <c r="G822" s="27">
        <v>0</v>
      </c>
      <c r="H822" s="209"/>
    </row>
    <row r="823" spans="1:10" ht="15.75" x14ac:dyDescent="0.25">
      <c r="A823" s="210" t="s">
        <v>585</v>
      </c>
      <c r="B823" s="17">
        <v>908</v>
      </c>
      <c r="C823" s="42" t="s">
        <v>285</v>
      </c>
      <c r="D823" s="42" t="s">
        <v>264</v>
      </c>
      <c r="E823" s="21" t="s">
        <v>586</v>
      </c>
      <c r="F823" s="42"/>
      <c r="G823" s="27">
        <f>G824</f>
        <v>189</v>
      </c>
      <c r="H823" s="209"/>
    </row>
    <row r="824" spans="1:10" ht="31.5" x14ac:dyDescent="0.25">
      <c r="A824" s="26" t="s">
        <v>182</v>
      </c>
      <c r="B824" s="17">
        <v>908</v>
      </c>
      <c r="C824" s="42" t="s">
        <v>285</v>
      </c>
      <c r="D824" s="42" t="s">
        <v>264</v>
      </c>
      <c r="E824" s="21" t="s">
        <v>586</v>
      </c>
      <c r="F824" s="42" t="s">
        <v>183</v>
      </c>
      <c r="G824" s="27">
        <f>G825</f>
        <v>189</v>
      </c>
      <c r="H824" s="209"/>
    </row>
    <row r="825" spans="1:10" ht="47.25" x14ac:dyDescent="0.25">
      <c r="A825" s="26" t="s">
        <v>184</v>
      </c>
      <c r="B825" s="17">
        <v>908</v>
      </c>
      <c r="C825" s="42" t="s">
        <v>285</v>
      </c>
      <c r="D825" s="42" t="s">
        <v>264</v>
      </c>
      <c r="E825" s="21" t="s">
        <v>586</v>
      </c>
      <c r="F825" s="42" t="s">
        <v>185</v>
      </c>
      <c r="G825" s="27">
        <f>15+174</f>
        <v>189</v>
      </c>
      <c r="H825" s="139"/>
      <c r="J825" s="202" t="s">
        <v>849</v>
      </c>
    </row>
    <row r="826" spans="1:10" ht="15.75" x14ac:dyDescent="0.25">
      <c r="A826" s="26" t="s">
        <v>172</v>
      </c>
      <c r="B826" s="17">
        <v>908</v>
      </c>
      <c r="C826" s="21" t="s">
        <v>285</v>
      </c>
      <c r="D826" s="21" t="s">
        <v>264</v>
      </c>
      <c r="E826" s="21" t="s">
        <v>173</v>
      </c>
      <c r="F826" s="21"/>
      <c r="G826" s="27">
        <f>G827+G837</f>
        <v>48143.199999999997</v>
      </c>
      <c r="H826" s="209"/>
    </row>
    <row r="827" spans="1:10" ht="31.5" x14ac:dyDescent="0.25">
      <c r="A827" s="26" t="s">
        <v>236</v>
      </c>
      <c r="B827" s="17">
        <v>908</v>
      </c>
      <c r="C827" s="21" t="s">
        <v>285</v>
      </c>
      <c r="D827" s="21" t="s">
        <v>264</v>
      </c>
      <c r="E827" s="21" t="s">
        <v>237</v>
      </c>
      <c r="F827" s="21"/>
      <c r="G827" s="27">
        <f>G828+G831+G834</f>
        <v>25111.200000000001</v>
      </c>
      <c r="H827" s="209"/>
    </row>
    <row r="828" spans="1:10" ht="47.25" x14ac:dyDescent="0.25">
      <c r="A828" s="126" t="s">
        <v>762</v>
      </c>
      <c r="B828" s="17">
        <v>908</v>
      </c>
      <c r="C828" s="21" t="s">
        <v>285</v>
      </c>
      <c r="D828" s="21" t="s">
        <v>264</v>
      </c>
      <c r="E828" s="21" t="s">
        <v>587</v>
      </c>
      <c r="F828" s="21"/>
      <c r="G828" s="27">
        <f>G829</f>
        <v>5000</v>
      </c>
      <c r="H828" s="209"/>
    </row>
    <row r="829" spans="1:10" ht="31.5" x14ac:dyDescent="0.25">
      <c r="A829" s="26" t="s">
        <v>182</v>
      </c>
      <c r="B829" s="17">
        <v>908</v>
      </c>
      <c r="C829" s="21" t="s">
        <v>285</v>
      </c>
      <c r="D829" s="21" t="s">
        <v>264</v>
      </c>
      <c r="E829" s="21" t="s">
        <v>587</v>
      </c>
      <c r="F829" s="21" t="s">
        <v>183</v>
      </c>
      <c r="G829" s="27">
        <f>G830</f>
        <v>5000</v>
      </c>
      <c r="H829" s="209"/>
    </row>
    <row r="830" spans="1:10" ht="47.25" x14ac:dyDescent="0.25">
      <c r="A830" s="26" t="s">
        <v>184</v>
      </c>
      <c r="B830" s="17">
        <v>908</v>
      </c>
      <c r="C830" s="21" t="s">
        <v>285</v>
      </c>
      <c r="D830" s="21" t="s">
        <v>264</v>
      </c>
      <c r="E830" s="21" t="s">
        <v>587</v>
      </c>
      <c r="F830" s="21" t="s">
        <v>185</v>
      </c>
      <c r="G830" s="27">
        <f>5000</f>
        <v>5000</v>
      </c>
      <c r="H830" s="209"/>
      <c r="I830" s="141"/>
    </row>
    <row r="831" spans="1:10" ht="31.5" x14ac:dyDescent="0.25">
      <c r="A831" s="37" t="s">
        <v>768</v>
      </c>
      <c r="B831" s="17">
        <v>908</v>
      </c>
      <c r="C831" s="21" t="s">
        <v>285</v>
      </c>
      <c r="D831" s="21" t="s">
        <v>264</v>
      </c>
      <c r="E831" s="21" t="s">
        <v>588</v>
      </c>
      <c r="F831" s="21"/>
      <c r="G831" s="27">
        <f t="shared" ref="G831:G832" si="147">G832</f>
        <v>20000</v>
      </c>
      <c r="H831" s="209"/>
    </row>
    <row r="832" spans="1:10" ht="31.5" x14ac:dyDescent="0.25">
      <c r="A832" s="26" t="s">
        <v>182</v>
      </c>
      <c r="B832" s="17">
        <v>908</v>
      </c>
      <c r="C832" s="21" t="s">
        <v>285</v>
      </c>
      <c r="D832" s="21" t="s">
        <v>264</v>
      </c>
      <c r="E832" s="21" t="s">
        <v>588</v>
      </c>
      <c r="F832" s="21" t="s">
        <v>183</v>
      </c>
      <c r="G832" s="27">
        <f t="shared" si="147"/>
        <v>20000</v>
      </c>
      <c r="H832" s="209"/>
    </row>
    <row r="833" spans="1:10" ht="47.25" x14ac:dyDescent="0.25">
      <c r="A833" s="26" t="s">
        <v>184</v>
      </c>
      <c r="B833" s="17">
        <v>908</v>
      </c>
      <c r="C833" s="21" t="s">
        <v>285</v>
      </c>
      <c r="D833" s="21" t="s">
        <v>264</v>
      </c>
      <c r="E833" s="21" t="s">
        <v>588</v>
      </c>
      <c r="F833" s="21" t="s">
        <v>185</v>
      </c>
      <c r="G833" s="27">
        <v>20000</v>
      </c>
      <c r="H833" s="132"/>
    </row>
    <row r="834" spans="1:10" ht="47.25" x14ac:dyDescent="0.25">
      <c r="A834" s="26" t="s">
        <v>769</v>
      </c>
      <c r="B834" s="17">
        <v>908</v>
      </c>
      <c r="C834" s="21" t="s">
        <v>285</v>
      </c>
      <c r="D834" s="21" t="s">
        <v>264</v>
      </c>
      <c r="E834" s="21" t="s">
        <v>770</v>
      </c>
      <c r="F834" s="21"/>
      <c r="G834" s="27">
        <f>G835</f>
        <v>111.2</v>
      </c>
      <c r="H834" s="134"/>
    </row>
    <row r="835" spans="1:10" ht="31.5" x14ac:dyDescent="0.25">
      <c r="A835" s="26" t="s">
        <v>182</v>
      </c>
      <c r="B835" s="17">
        <v>908</v>
      </c>
      <c r="C835" s="21" t="s">
        <v>285</v>
      </c>
      <c r="D835" s="21" t="s">
        <v>264</v>
      </c>
      <c r="E835" s="21" t="s">
        <v>770</v>
      </c>
      <c r="F835" s="21" t="s">
        <v>183</v>
      </c>
      <c r="G835" s="27">
        <f>G836</f>
        <v>111.2</v>
      </c>
      <c r="H835" s="134"/>
    </row>
    <row r="836" spans="1:10" ht="47.25" x14ac:dyDescent="0.25">
      <c r="A836" s="26" t="s">
        <v>184</v>
      </c>
      <c r="B836" s="17">
        <v>908</v>
      </c>
      <c r="C836" s="21" t="s">
        <v>285</v>
      </c>
      <c r="D836" s="21" t="s">
        <v>264</v>
      </c>
      <c r="E836" s="21" t="s">
        <v>770</v>
      </c>
      <c r="F836" s="21" t="s">
        <v>185</v>
      </c>
      <c r="G836" s="27">
        <v>111.2</v>
      </c>
      <c r="H836" s="134"/>
    </row>
    <row r="837" spans="1:10" ht="15.75" x14ac:dyDescent="0.25">
      <c r="A837" s="26" t="s">
        <v>192</v>
      </c>
      <c r="B837" s="17">
        <v>908</v>
      </c>
      <c r="C837" s="21" t="s">
        <v>285</v>
      </c>
      <c r="D837" s="21" t="s">
        <v>264</v>
      </c>
      <c r="E837" s="21" t="s">
        <v>193</v>
      </c>
      <c r="F837" s="21"/>
      <c r="G837" s="27">
        <f>G838+G844</f>
        <v>23031.999999999996</v>
      </c>
      <c r="H837" s="209"/>
    </row>
    <row r="838" spans="1:10" ht="31.5" x14ac:dyDescent="0.25">
      <c r="A838" s="37" t="s">
        <v>589</v>
      </c>
      <c r="B838" s="17">
        <v>908</v>
      </c>
      <c r="C838" s="21" t="s">
        <v>285</v>
      </c>
      <c r="D838" s="21" t="s">
        <v>264</v>
      </c>
      <c r="E838" s="21" t="s">
        <v>590</v>
      </c>
      <c r="F838" s="21"/>
      <c r="G838" s="27">
        <f>G839+G841</f>
        <v>20353.699999999997</v>
      </c>
      <c r="H838" s="209"/>
    </row>
    <row r="839" spans="1:10" ht="31.5" x14ac:dyDescent="0.25">
      <c r="A839" s="26" t="s">
        <v>182</v>
      </c>
      <c r="B839" s="17">
        <v>908</v>
      </c>
      <c r="C839" s="21" t="s">
        <v>285</v>
      </c>
      <c r="D839" s="21" t="s">
        <v>264</v>
      </c>
      <c r="E839" s="21" t="s">
        <v>590</v>
      </c>
      <c r="F839" s="21" t="s">
        <v>183</v>
      </c>
      <c r="G839" s="27">
        <f>G840</f>
        <v>20322.099999999999</v>
      </c>
      <c r="H839" s="209"/>
    </row>
    <row r="840" spans="1:10" ht="47.25" x14ac:dyDescent="0.25">
      <c r="A840" s="26" t="s">
        <v>184</v>
      </c>
      <c r="B840" s="17">
        <v>908</v>
      </c>
      <c r="C840" s="21" t="s">
        <v>285</v>
      </c>
      <c r="D840" s="21" t="s">
        <v>264</v>
      </c>
      <c r="E840" s="21" t="s">
        <v>590</v>
      </c>
      <c r="F840" s="21" t="s">
        <v>185</v>
      </c>
      <c r="G840" s="193">
        <f>10880-5000-2230+172.1+16500</f>
        <v>20322.099999999999</v>
      </c>
      <c r="H840" s="132" t="s">
        <v>845</v>
      </c>
      <c r="I840" s="141"/>
      <c r="J840" s="203" t="s">
        <v>812</v>
      </c>
    </row>
    <row r="841" spans="1:10" ht="15.75" x14ac:dyDescent="0.25">
      <c r="A841" s="26" t="s">
        <v>186</v>
      </c>
      <c r="B841" s="17">
        <v>908</v>
      </c>
      <c r="C841" s="21" t="s">
        <v>285</v>
      </c>
      <c r="D841" s="21" t="s">
        <v>264</v>
      </c>
      <c r="E841" s="21" t="s">
        <v>590</v>
      </c>
      <c r="F841" s="21" t="s">
        <v>196</v>
      </c>
      <c r="G841" s="27">
        <f t="shared" ref="G841" si="148">G842+G843</f>
        <v>31.6</v>
      </c>
      <c r="H841" s="209"/>
    </row>
    <row r="842" spans="1:10" ht="63" hidden="1" x14ac:dyDescent="0.25">
      <c r="A842" s="26" t="s">
        <v>235</v>
      </c>
      <c r="B842" s="17">
        <v>908</v>
      </c>
      <c r="C842" s="21" t="s">
        <v>285</v>
      </c>
      <c r="D842" s="21" t="s">
        <v>264</v>
      </c>
      <c r="E842" s="21" t="s">
        <v>590</v>
      </c>
      <c r="F842" s="21" t="s">
        <v>211</v>
      </c>
      <c r="G842" s="27">
        <v>0</v>
      </c>
      <c r="H842" s="209"/>
    </row>
    <row r="843" spans="1:10" ht="15.75" x14ac:dyDescent="0.25">
      <c r="A843" s="26" t="s">
        <v>620</v>
      </c>
      <c r="B843" s="17">
        <v>908</v>
      </c>
      <c r="C843" s="21" t="s">
        <v>285</v>
      </c>
      <c r="D843" s="21" t="s">
        <v>264</v>
      </c>
      <c r="E843" s="21" t="s">
        <v>590</v>
      </c>
      <c r="F843" s="21" t="s">
        <v>189</v>
      </c>
      <c r="G843" s="27">
        <v>31.6</v>
      </c>
      <c r="H843" s="132"/>
      <c r="I843" s="152"/>
    </row>
    <row r="844" spans="1:10" ht="15.75" x14ac:dyDescent="0.25">
      <c r="A844" s="26" t="s">
        <v>591</v>
      </c>
      <c r="B844" s="17">
        <v>908</v>
      </c>
      <c r="C844" s="21" t="s">
        <v>285</v>
      </c>
      <c r="D844" s="21" t="s">
        <v>264</v>
      </c>
      <c r="E844" s="21" t="s">
        <v>592</v>
      </c>
      <c r="F844" s="21"/>
      <c r="G844" s="27">
        <f>G845</f>
        <v>2678.3</v>
      </c>
      <c r="H844" s="209"/>
    </row>
    <row r="845" spans="1:10" ht="15.75" x14ac:dyDescent="0.25">
      <c r="A845" s="26" t="s">
        <v>186</v>
      </c>
      <c r="B845" s="17">
        <v>908</v>
      </c>
      <c r="C845" s="21" t="s">
        <v>285</v>
      </c>
      <c r="D845" s="21" t="s">
        <v>264</v>
      </c>
      <c r="E845" s="21" t="s">
        <v>592</v>
      </c>
      <c r="F845" s="21" t="s">
        <v>196</v>
      </c>
      <c r="G845" s="27">
        <f>G846</f>
        <v>2678.3</v>
      </c>
      <c r="H845" s="209"/>
    </row>
    <row r="846" spans="1:10" ht="15.75" x14ac:dyDescent="0.25">
      <c r="A846" s="26" t="s">
        <v>197</v>
      </c>
      <c r="B846" s="17">
        <v>908</v>
      </c>
      <c r="C846" s="21" t="s">
        <v>285</v>
      </c>
      <c r="D846" s="21" t="s">
        <v>264</v>
      </c>
      <c r="E846" s="21" t="s">
        <v>592</v>
      </c>
      <c r="F846" s="21" t="s">
        <v>198</v>
      </c>
      <c r="G846" s="27">
        <v>2678.3</v>
      </c>
      <c r="H846" s="209"/>
      <c r="I846" s="141"/>
    </row>
    <row r="847" spans="1:10" ht="15.75" x14ac:dyDescent="0.25">
      <c r="A847" s="24" t="s">
        <v>593</v>
      </c>
      <c r="B847" s="20">
        <v>908</v>
      </c>
      <c r="C847" s="25" t="s">
        <v>285</v>
      </c>
      <c r="D847" s="25" t="s">
        <v>266</v>
      </c>
      <c r="E847" s="25"/>
      <c r="F847" s="25"/>
      <c r="G847" s="22">
        <f>G848++G878+G874</f>
        <v>25464.6</v>
      </c>
      <c r="H847" s="209"/>
    </row>
    <row r="848" spans="1:10" ht="47.25" x14ac:dyDescent="0.25">
      <c r="A848" s="26" t="s">
        <v>594</v>
      </c>
      <c r="B848" s="17">
        <v>908</v>
      </c>
      <c r="C848" s="21" t="s">
        <v>285</v>
      </c>
      <c r="D848" s="21" t="s">
        <v>266</v>
      </c>
      <c r="E848" s="21" t="s">
        <v>595</v>
      </c>
      <c r="F848" s="21"/>
      <c r="G848" s="27">
        <f>G849+G859</f>
        <v>12375.499999999998</v>
      </c>
      <c r="H848" s="209"/>
    </row>
    <row r="849" spans="1:8" ht="47.25" x14ac:dyDescent="0.25">
      <c r="A849" s="26" t="s">
        <v>596</v>
      </c>
      <c r="B849" s="17">
        <v>908</v>
      </c>
      <c r="C849" s="21" t="s">
        <v>285</v>
      </c>
      <c r="D849" s="21" t="s">
        <v>266</v>
      </c>
      <c r="E849" s="21" t="s">
        <v>597</v>
      </c>
      <c r="F849" s="21"/>
      <c r="G849" s="27">
        <f>G850+G853+G856</f>
        <v>8697.2999999999993</v>
      </c>
      <c r="H849" s="209"/>
    </row>
    <row r="850" spans="1:8" ht="31.5" x14ac:dyDescent="0.25">
      <c r="A850" s="26" t="s">
        <v>598</v>
      </c>
      <c r="B850" s="17">
        <v>908</v>
      </c>
      <c r="C850" s="21" t="s">
        <v>285</v>
      </c>
      <c r="D850" s="21" t="s">
        <v>266</v>
      </c>
      <c r="E850" s="21" t="s">
        <v>599</v>
      </c>
      <c r="F850" s="21"/>
      <c r="G850" s="27">
        <f>G851</f>
        <v>253.4</v>
      </c>
      <c r="H850" s="209"/>
    </row>
    <row r="851" spans="1:8" ht="31.5" x14ac:dyDescent="0.25">
      <c r="A851" s="26" t="s">
        <v>182</v>
      </c>
      <c r="B851" s="17">
        <v>908</v>
      </c>
      <c r="C851" s="21" t="s">
        <v>285</v>
      </c>
      <c r="D851" s="21" t="s">
        <v>266</v>
      </c>
      <c r="E851" s="21" t="s">
        <v>599</v>
      </c>
      <c r="F851" s="21" t="s">
        <v>183</v>
      </c>
      <c r="G851" s="27">
        <f>G852</f>
        <v>253.4</v>
      </c>
      <c r="H851" s="209"/>
    </row>
    <row r="852" spans="1:8" ht="47.25" x14ac:dyDescent="0.25">
      <c r="A852" s="26" t="s">
        <v>184</v>
      </c>
      <c r="B852" s="17">
        <v>908</v>
      </c>
      <c r="C852" s="21" t="s">
        <v>285</v>
      </c>
      <c r="D852" s="21" t="s">
        <v>266</v>
      </c>
      <c r="E852" s="21" t="s">
        <v>599</v>
      </c>
      <c r="F852" s="21" t="s">
        <v>185</v>
      </c>
      <c r="G852" s="27">
        <v>253.4</v>
      </c>
      <c r="H852" s="209"/>
    </row>
    <row r="853" spans="1:8" ht="15.75" x14ac:dyDescent="0.25">
      <c r="A853" s="26" t="s">
        <v>600</v>
      </c>
      <c r="B853" s="17">
        <v>908</v>
      </c>
      <c r="C853" s="21" t="s">
        <v>285</v>
      </c>
      <c r="D853" s="21" t="s">
        <v>266</v>
      </c>
      <c r="E853" s="21" t="s">
        <v>601</v>
      </c>
      <c r="F853" s="21"/>
      <c r="G853" s="27">
        <f>G854</f>
        <v>5258.6</v>
      </c>
      <c r="H853" s="209"/>
    </row>
    <row r="854" spans="1:8" ht="31.5" x14ac:dyDescent="0.25">
      <c r="A854" s="26" t="s">
        <v>182</v>
      </c>
      <c r="B854" s="17">
        <v>908</v>
      </c>
      <c r="C854" s="21" t="s">
        <v>285</v>
      </c>
      <c r="D854" s="21" t="s">
        <v>266</v>
      </c>
      <c r="E854" s="21" t="s">
        <v>601</v>
      </c>
      <c r="F854" s="21" t="s">
        <v>183</v>
      </c>
      <c r="G854" s="27">
        <f>G855</f>
        <v>5258.6</v>
      </c>
      <c r="H854" s="209"/>
    </row>
    <row r="855" spans="1:8" ht="47.25" x14ac:dyDescent="0.25">
      <c r="A855" s="26" t="s">
        <v>184</v>
      </c>
      <c r="B855" s="17">
        <v>908</v>
      </c>
      <c r="C855" s="21" t="s">
        <v>285</v>
      </c>
      <c r="D855" s="21" t="s">
        <v>266</v>
      </c>
      <c r="E855" s="21" t="s">
        <v>601</v>
      </c>
      <c r="F855" s="21" t="s">
        <v>185</v>
      </c>
      <c r="G855" s="27">
        <v>5258.6</v>
      </c>
      <c r="H855" s="209"/>
    </row>
    <row r="856" spans="1:8" ht="15.75" x14ac:dyDescent="0.25">
      <c r="A856" s="26" t="s">
        <v>602</v>
      </c>
      <c r="B856" s="17">
        <v>908</v>
      </c>
      <c r="C856" s="21" t="s">
        <v>285</v>
      </c>
      <c r="D856" s="21" t="s">
        <v>266</v>
      </c>
      <c r="E856" s="21" t="s">
        <v>603</v>
      </c>
      <c r="F856" s="21"/>
      <c r="G856" s="27">
        <f>G857</f>
        <v>3185.3</v>
      </c>
      <c r="H856" s="209"/>
    </row>
    <row r="857" spans="1:8" ht="31.5" x14ac:dyDescent="0.25">
      <c r="A857" s="26" t="s">
        <v>182</v>
      </c>
      <c r="B857" s="17">
        <v>908</v>
      </c>
      <c r="C857" s="21" t="s">
        <v>285</v>
      </c>
      <c r="D857" s="21" t="s">
        <v>266</v>
      </c>
      <c r="E857" s="21" t="s">
        <v>603</v>
      </c>
      <c r="F857" s="21" t="s">
        <v>183</v>
      </c>
      <c r="G857" s="27">
        <f>G858</f>
        <v>3185.3</v>
      </c>
      <c r="H857" s="209"/>
    </row>
    <row r="858" spans="1:8" ht="47.25" x14ac:dyDescent="0.25">
      <c r="A858" s="26" t="s">
        <v>184</v>
      </c>
      <c r="B858" s="17">
        <v>908</v>
      </c>
      <c r="C858" s="21" t="s">
        <v>285</v>
      </c>
      <c r="D858" s="21" t="s">
        <v>266</v>
      </c>
      <c r="E858" s="21" t="s">
        <v>603</v>
      </c>
      <c r="F858" s="21" t="s">
        <v>185</v>
      </c>
      <c r="G858" s="27">
        <v>3185.3</v>
      </c>
      <c r="H858" s="209"/>
    </row>
    <row r="859" spans="1:8" ht="47.25" x14ac:dyDescent="0.25">
      <c r="A859" s="26" t="s">
        <v>604</v>
      </c>
      <c r="B859" s="17">
        <v>908</v>
      </c>
      <c r="C859" s="21" t="s">
        <v>285</v>
      </c>
      <c r="D859" s="21" t="s">
        <v>266</v>
      </c>
      <c r="E859" s="21" t="s">
        <v>605</v>
      </c>
      <c r="F859" s="21"/>
      <c r="G859" s="27">
        <f>G860+G865+G868+G871</f>
        <v>3678.1999999999994</v>
      </c>
      <c r="H859" s="209"/>
    </row>
    <row r="860" spans="1:8" ht="15.75" x14ac:dyDescent="0.25">
      <c r="A860" s="26" t="s">
        <v>602</v>
      </c>
      <c r="B860" s="17">
        <v>908</v>
      </c>
      <c r="C860" s="21" t="s">
        <v>285</v>
      </c>
      <c r="D860" s="21" t="s">
        <v>266</v>
      </c>
      <c r="E860" s="21" t="s">
        <v>606</v>
      </c>
      <c r="F860" s="21"/>
      <c r="G860" s="27">
        <f>G861+G863</f>
        <v>1112.3999999999999</v>
      </c>
      <c r="H860" s="209"/>
    </row>
    <row r="861" spans="1:8" ht="94.5" x14ac:dyDescent="0.25">
      <c r="A861" s="26" t="s">
        <v>178</v>
      </c>
      <c r="B861" s="17">
        <v>908</v>
      </c>
      <c r="C861" s="21" t="s">
        <v>285</v>
      </c>
      <c r="D861" s="21" t="s">
        <v>266</v>
      </c>
      <c r="E861" s="21" t="s">
        <v>606</v>
      </c>
      <c r="F861" s="21" t="s">
        <v>179</v>
      </c>
      <c r="G861" s="27">
        <f>G862</f>
        <v>892.8</v>
      </c>
      <c r="H861" s="209"/>
    </row>
    <row r="862" spans="1:8" ht="31.5" x14ac:dyDescent="0.25">
      <c r="A862" s="48" t="s">
        <v>393</v>
      </c>
      <c r="B862" s="17">
        <v>908</v>
      </c>
      <c r="C862" s="21" t="s">
        <v>285</v>
      </c>
      <c r="D862" s="21" t="s">
        <v>266</v>
      </c>
      <c r="E862" s="21" t="s">
        <v>606</v>
      </c>
      <c r="F862" s="21" t="s">
        <v>260</v>
      </c>
      <c r="G862" s="27">
        <f>801.5+91.3</f>
        <v>892.8</v>
      </c>
      <c r="H862" s="132"/>
    </row>
    <row r="863" spans="1:8" ht="31.5" x14ac:dyDescent="0.25">
      <c r="A863" s="26" t="s">
        <v>182</v>
      </c>
      <c r="B863" s="17">
        <v>908</v>
      </c>
      <c r="C863" s="21" t="s">
        <v>285</v>
      </c>
      <c r="D863" s="21" t="s">
        <v>266</v>
      </c>
      <c r="E863" s="21" t="s">
        <v>606</v>
      </c>
      <c r="F863" s="21" t="s">
        <v>183</v>
      </c>
      <c r="G863" s="27">
        <f>G864</f>
        <v>219.6</v>
      </c>
      <c r="H863" s="209"/>
    </row>
    <row r="864" spans="1:8" ht="47.25" x14ac:dyDescent="0.25">
      <c r="A864" s="26" t="s">
        <v>184</v>
      </c>
      <c r="B864" s="17">
        <v>908</v>
      </c>
      <c r="C864" s="21" t="s">
        <v>285</v>
      </c>
      <c r="D864" s="21" t="s">
        <v>266</v>
      </c>
      <c r="E864" s="21" t="s">
        <v>606</v>
      </c>
      <c r="F864" s="21" t="s">
        <v>185</v>
      </c>
      <c r="G864" s="27">
        <v>219.6</v>
      </c>
      <c r="H864" s="209"/>
    </row>
    <row r="865" spans="1:8" ht="15.75" x14ac:dyDescent="0.25">
      <c r="A865" s="26" t="s">
        <v>607</v>
      </c>
      <c r="B865" s="17">
        <v>908</v>
      </c>
      <c r="C865" s="21" t="s">
        <v>285</v>
      </c>
      <c r="D865" s="21" t="s">
        <v>266</v>
      </c>
      <c r="E865" s="21" t="s">
        <v>608</v>
      </c>
      <c r="F865" s="21"/>
      <c r="G865" s="27">
        <f>G866</f>
        <v>86.6</v>
      </c>
      <c r="H865" s="209"/>
    </row>
    <row r="866" spans="1:8" ht="31.5" x14ac:dyDescent="0.25">
      <c r="A866" s="26" t="s">
        <v>182</v>
      </c>
      <c r="B866" s="17">
        <v>908</v>
      </c>
      <c r="C866" s="21" t="s">
        <v>285</v>
      </c>
      <c r="D866" s="21" t="s">
        <v>266</v>
      </c>
      <c r="E866" s="21" t="s">
        <v>608</v>
      </c>
      <c r="F866" s="21" t="s">
        <v>183</v>
      </c>
      <c r="G866" s="27">
        <f>G867</f>
        <v>86.6</v>
      </c>
      <c r="H866" s="209"/>
    </row>
    <row r="867" spans="1:8" ht="47.25" x14ac:dyDescent="0.25">
      <c r="A867" s="26" t="s">
        <v>184</v>
      </c>
      <c r="B867" s="17">
        <v>908</v>
      </c>
      <c r="C867" s="21" t="s">
        <v>285</v>
      </c>
      <c r="D867" s="21" t="s">
        <v>266</v>
      </c>
      <c r="E867" s="21" t="s">
        <v>608</v>
      </c>
      <c r="F867" s="21" t="s">
        <v>185</v>
      </c>
      <c r="G867" s="27">
        <v>86.6</v>
      </c>
      <c r="H867" s="209"/>
    </row>
    <row r="868" spans="1:8" ht="47.25" x14ac:dyDescent="0.25">
      <c r="A868" s="47" t="s">
        <v>609</v>
      </c>
      <c r="B868" s="17">
        <v>908</v>
      </c>
      <c r="C868" s="21" t="s">
        <v>285</v>
      </c>
      <c r="D868" s="21" t="s">
        <v>266</v>
      </c>
      <c r="E868" s="21" t="s">
        <v>610</v>
      </c>
      <c r="F868" s="21"/>
      <c r="G868" s="27">
        <f>G869</f>
        <v>2130.6</v>
      </c>
      <c r="H868" s="209"/>
    </row>
    <row r="869" spans="1:8" ht="31.5" x14ac:dyDescent="0.25">
      <c r="A869" s="26" t="s">
        <v>182</v>
      </c>
      <c r="B869" s="17">
        <v>908</v>
      </c>
      <c r="C869" s="21" t="s">
        <v>285</v>
      </c>
      <c r="D869" s="21" t="s">
        <v>266</v>
      </c>
      <c r="E869" s="21" t="s">
        <v>610</v>
      </c>
      <c r="F869" s="21" t="s">
        <v>183</v>
      </c>
      <c r="G869" s="27">
        <f>G870</f>
        <v>2130.6</v>
      </c>
      <c r="H869" s="209"/>
    </row>
    <row r="870" spans="1:8" ht="47.25" x14ac:dyDescent="0.25">
      <c r="A870" s="26" t="s">
        <v>184</v>
      </c>
      <c r="B870" s="17">
        <v>908</v>
      </c>
      <c r="C870" s="21" t="s">
        <v>285</v>
      </c>
      <c r="D870" s="21" t="s">
        <v>266</v>
      </c>
      <c r="E870" s="21" t="s">
        <v>610</v>
      </c>
      <c r="F870" s="21" t="s">
        <v>185</v>
      </c>
      <c r="G870" s="27">
        <v>2130.6</v>
      </c>
      <c r="H870" s="209"/>
    </row>
    <row r="871" spans="1:8" ht="31.5" x14ac:dyDescent="0.25">
      <c r="A871" s="47" t="s">
        <v>611</v>
      </c>
      <c r="B871" s="17">
        <v>908</v>
      </c>
      <c r="C871" s="21" t="s">
        <v>285</v>
      </c>
      <c r="D871" s="21" t="s">
        <v>266</v>
      </c>
      <c r="E871" s="21" t="s">
        <v>612</v>
      </c>
      <c r="F871" s="21"/>
      <c r="G871" s="27">
        <f>G872</f>
        <v>348.6</v>
      </c>
      <c r="H871" s="209"/>
    </row>
    <row r="872" spans="1:8" ht="31.5" x14ac:dyDescent="0.25">
      <c r="A872" s="26" t="s">
        <v>182</v>
      </c>
      <c r="B872" s="17">
        <v>908</v>
      </c>
      <c r="C872" s="21" t="s">
        <v>285</v>
      </c>
      <c r="D872" s="21" t="s">
        <v>266</v>
      </c>
      <c r="E872" s="21" t="s">
        <v>612</v>
      </c>
      <c r="F872" s="21" t="s">
        <v>183</v>
      </c>
      <c r="G872" s="27">
        <f>G873</f>
        <v>348.6</v>
      </c>
      <c r="H872" s="209"/>
    </row>
    <row r="873" spans="1:8" ht="47.25" x14ac:dyDescent="0.25">
      <c r="A873" s="26" t="s">
        <v>184</v>
      </c>
      <c r="B873" s="17">
        <v>908</v>
      </c>
      <c r="C873" s="21" t="s">
        <v>285</v>
      </c>
      <c r="D873" s="21" t="s">
        <v>266</v>
      </c>
      <c r="E873" s="21" t="s">
        <v>612</v>
      </c>
      <c r="F873" s="21" t="s">
        <v>185</v>
      </c>
      <c r="G873" s="27">
        <v>348.6</v>
      </c>
      <c r="H873" s="209"/>
    </row>
    <row r="874" spans="1:8" ht="63" x14ac:dyDescent="0.25">
      <c r="A874" s="26" t="s">
        <v>803</v>
      </c>
      <c r="B874" s="17">
        <v>908</v>
      </c>
      <c r="C874" s="21" t="s">
        <v>285</v>
      </c>
      <c r="D874" s="21" t="s">
        <v>266</v>
      </c>
      <c r="E874" s="21" t="s">
        <v>805</v>
      </c>
      <c r="F874" s="21"/>
      <c r="G874" s="27">
        <f>G875</f>
        <v>600</v>
      </c>
      <c r="H874" s="209"/>
    </row>
    <row r="875" spans="1:8" ht="31.5" x14ac:dyDescent="0.25">
      <c r="A875" s="96" t="s">
        <v>804</v>
      </c>
      <c r="B875" s="17">
        <v>908</v>
      </c>
      <c r="C875" s="21" t="s">
        <v>285</v>
      </c>
      <c r="D875" s="21" t="s">
        <v>266</v>
      </c>
      <c r="E875" s="21" t="s">
        <v>806</v>
      </c>
      <c r="F875" s="21"/>
      <c r="G875" s="27">
        <f>G876</f>
        <v>600</v>
      </c>
      <c r="H875" s="209"/>
    </row>
    <row r="876" spans="1:8" ht="31.5" x14ac:dyDescent="0.25">
      <c r="A876" s="26" t="s">
        <v>182</v>
      </c>
      <c r="B876" s="17">
        <v>908</v>
      </c>
      <c r="C876" s="21" t="s">
        <v>285</v>
      </c>
      <c r="D876" s="21" t="s">
        <v>266</v>
      </c>
      <c r="E876" s="21" t="s">
        <v>806</v>
      </c>
      <c r="F876" s="21" t="s">
        <v>183</v>
      </c>
      <c r="G876" s="27">
        <f>G877</f>
        <v>600</v>
      </c>
      <c r="H876" s="209"/>
    </row>
    <row r="877" spans="1:8" ht="47.25" x14ac:dyDescent="0.25">
      <c r="A877" s="26" t="s">
        <v>184</v>
      </c>
      <c r="B877" s="17">
        <v>908</v>
      </c>
      <c r="C877" s="21" t="s">
        <v>285</v>
      </c>
      <c r="D877" s="21" t="s">
        <v>266</v>
      </c>
      <c r="E877" s="21" t="s">
        <v>806</v>
      </c>
      <c r="F877" s="21" t="s">
        <v>185</v>
      </c>
      <c r="G877" s="27">
        <v>600</v>
      </c>
      <c r="H877" s="132"/>
    </row>
    <row r="878" spans="1:8" ht="15.75" x14ac:dyDescent="0.25">
      <c r="A878" s="26" t="s">
        <v>172</v>
      </c>
      <c r="B878" s="17">
        <v>908</v>
      </c>
      <c r="C878" s="21" t="s">
        <v>285</v>
      </c>
      <c r="D878" s="21" t="s">
        <v>266</v>
      </c>
      <c r="E878" s="21" t="s">
        <v>173</v>
      </c>
      <c r="F878" s="21"/>
      <c r="G878" s="27">
        <f>G879+G892</f>
        <v>12489.099999999999</v>
      </c>
      <c r="H878" s="209"/>
    </row>
    <row r="879" spans="1:8" ht="31.5" x14ac:dyDescent="0.25">
      <c r="A879" s="26" t="s">
        <v>236</v>
      </c>
      <c r="B879" s="17">
        <v>908</v>
      </c>
      <c r="C879" s="21" t="s">
        <v>285</v>
      </c>
      <c r="D879" s="21" t="s">
        <v>266</v>
      </c>
      <c r="E879" s="21" t="s">
        <v>237</v>
      </c>
      <c r="F879" s="21"/>
      <c r="G879" s="27">
        <f>G880+G883+G886+G889</f>
        <v>12033.199999999999</v>
      </c>
      <c r="H879" s="209"/>
    </row>
    <row r="880" spans="1:8" ht="31.5" x14ac:dyDescent="0.25">
      <c r="A880" s="26" t="s">
        <v>613</v>
      </c>
      <c r="B880" s="17">
        <v>908</v>
      </c>
      <c r="C880" s="21" t="s">
        <v>285</v>
      </c>
      <c r="D880" s="21" t="s">
        <v>266</v>
      </c>
      <c r="E880" s="21" t="s">
        <v>614</v>
      </c>
      <c r="F880" s="21"/>
      <c r="G880" s="27">
        <f>G881</f>
        <v>6302.4</v>
      </c>
      <c r="H880" s="209"/>
    </row>
    <row r="881" spans="1:9" ht="31.5" x14ac:dyDescent="0.25">
      <c r="A881" s="26" t="s">
        <v>182</v>
      </c>
      <c r="B881" s="17">
        <v>908</v>
      </c>
      <c r="C881" s="21" t="s">
        <v>285</v>
      </c>
      <c r="D881" s="21" t="s">
        <v>266</v>
      </c>
      <c r="E881" s="21" t="s">
        <v>614</v>
      </c>
      <c r="F881" s="21" t="s">
        <v>183</v>
      </c>
      <c r="G881" s="27">
        <f>G882</f>
        <v>6302.4</v>
      </c>
      <c r="H881" s="209"/>
    </row>
    <row r="882" spans="1:9" ht="47.25" x14ac:dyDescent="0.25">
      <c r="A882" s="26" t="s">
        <v>184</v>
      </c>
      <c r="B882" s="17">
        <v>908</v>
      </c>
      <c r="C882" s="21" t="s">
        <v>285</v>
      </c>
      <c r="D882" s="21" t="s">
        <v>266</v>
      </c>
      <c r="E882" s="21" t="s">
        <v>614</v>
      </c>
      <c r="F882" s="21" t="s">
        <v>185</v>
      </c>
      <c r="G882" s="27">
        <f>3907.3-814.9+3210</f>
        <v>6302.4</v>
      </c>
      <c r="H882" s="132"/>
      <c r="I882" s="141"/>
    </row>
    <row r="883" spans="1:9" ht="47.25" x14ac:dyDescent="0.25">
      <c r="A883" s="26" t="s">
        <v>771</v>
      </c>
      <c r="B883" s="17">
        <v>908</v>
      </c>
      <c r="C883" s="21" t="s">
        <v>285</v>
      </c>
      <c r="D883" s="21" t="s">
        <v>266</v>
      </c>
      <c r="E883" s="21" t="s">
        <v>772</v>
      </c>
      <c r="F883" s="21"/>
      <c r="G883" s="27">
        <f t="shared" ref="G883:G884" si="149">G884</f>
        <v>2132</v>
      </c>
      <c r="H883" s="209"/>
    </row>
    <row r="884" spans="1:9" ht="31.5" x14ac:dyDescent="0.25">
      <c r="A884" s="26" t="s">
        <v>182</v>
      </c>
      <c r="B884" s="17">
        <v>908</v>
      </c>
      <c r="C884" s="21" t="s">
        <v>285</v>
      </c>
      <c r="D884" s="21" t="s">
        <v>266</v>
      </c>
      <c r="E884" s="21" t="s">
        <v>772</v>
      </c>
      <c r="F884" s="21" t="s">
        <v>183</v>
      </c>
      <c r="G884" s="27">
        <f t="shared" si="149"/>
        <v>2132</v>
      </c>
      <c r="H884" s="209"/>
    </row>
    <row r="885" spans="1:9" ht="47.25" x14ac:dyDescent="0.25">
      <c r="A885" s="26" t="s">
        <v>184</v>
      </c>
      <c r="B885" s="17">
        <v>908</v>
      </c>
      <c r="C885" s="21" t="s">
        <v>285</v>
      </c>
      <c r="D885" s="21" t="s">
        <v>266</v>
      </c>
      <c r="E885" s="21" t="s">
        <v>772</v>
      </c>
      <c r="F885" s="21" t="s">
        <v>185</v>
      </c>
      <c r="G885" s="27">
        <v>2132</v>
      </c>
      <c r="H885" s="132"/>
    </row>
    <row r="886" spans="1:9" ht="47.25" x14ac:dyDescent="0.25">
      <c r="A886" s="26" t="s">
        <v>773</v>
      </c>
      <c r="B886" s="17">
        <v>908</v>
      </c>
      <c r="C886" s="21" t="s">
        <v>285</v>
      </c>
      <c r="D886" s="21" t="s">
        <v>266</v>
      </c>
      <c r="E886" s="21" t="s">
        <v>615</v>
      </c>
      <c r="F886" s="21"/>
      <c r="G886" s="27">
        <f t="shared" ref="G886:G887" si="150">G887</f>
        <v>2000</v>
      </c>
      <c r="H886" s="209"/>
    </row>
    <row r="887" spans="1:9" ht="31.5" x14ac:dyDescent="0.25">
      <c r="A887" s="26" t="s">
        <v>182</v>
      </c>
      <c r="B887" s="17">
        <v>908</v>
      </c>
      <c r="C887" s="21" t="s">
        <v>285</v>
      </c>
      <c r="D887" s="21" t="s">
        <v>266</v>
      </c>
      <c r="E887" s="21" t="s">
        <v>615</v>
      </c>
      <c r="F887" s="21" t="s">
        <v>183</v>
      </c>
      <c r="G887" s="27">
        <f t="shared" si="150"/>
        <v>2000</v>
      </c>
      <c r="H887" s="209"/>
    </row>
    <row r="888" spans="1:9" ht="47.25" x14ac:dyDescent="0.25">
      <c r="A888" s="26" t="s">
        <v>184</v>
      </c>
      <c r="B888" s="17">
        <v>908</v>
      </c>
      <c r="C888" s="21" t="s">
        <v>285</v>
      </c>
      <c r="D888" s="21" t="s">
        <v>266</v>
      </c>
      <c r="E888" s="21" t="s">
        <v>615</v>
      </c>
      <c r="F888" s="21" t="s">
        <v>185</v>
      </c>
      <c r="G888" s="27">
        <v>2000</v>
      </c>
      <c r="H888" s="132"/>
    </row>
    <row r="889" spans="1:9" ht="63" x14ac:dyDescent="0.25">
      <c r="A889" s="26" t="s">
        <v>774</v>
      </c>
      <c r="B889" s="17">
        <v>908</v>
      </c>
      <c r="C889" s="21" t="s">
        <v>285</v>
      </c>
      <c r="D889" s="21" t="s">
        <v>266</v>
      </c>
      <c r="E889" s="21" t="s">
        <v>775</v>
      </c>
      <c r="F889" s="21"/>
      <c r="G889" s="27">
        <f>G890</f>
        <v>1598.8</v>
      </c>
      <c r="H889" s="134"/>
    </row>
    <row r="890" spans="1:9" ht="31.5" x14ac:dyDescent="0.25">
      <c r="A890" s="26" t="s">
        <v>182</v>
      </c>
      <c r="B890" s="17">
        <v>908</v>
      </c>
      <c r="C890" s="21" t="s">
        <v>285</v>
      </c>
      <c r="D890" s="21" t="s">
        <v>266</v>
      </c>
      <c r="E890" s="21" t="s">
        <v>775</v>
      </c>
      <c r="F890" s="21" t="s">
        <v>183</v>
      </c>
      <c r="G890" s="27">
        <f>G891</f>
        <v>1598.8</v>
      </c>
      <c r="H890" s="134"/>
    </row>
    <row r="891" spans="1:9" ht="47.25" x14ac:dyDescent="0.25">
      <c r="A891" s="26" t="s">
        <v>184</v>
      </c>
      <c r="B891" s="17">
        <v>908</v>
      </c>
      <c r="C891" s="21" t="s">
        <v>285</v>
      </c>
      <c r="D891" s="21" t="s">
        <v>266</v>
      </c>
      <c r="E891" s="21" t="s">
        <v>775</v>
      </c>
      <c r="F891" s="21" t="s">
        <v>185</v>
      </c>
      <c r="G891" s="27">
        <v>1598.8</v>
      </c>
      <c r="H891" s="134"/>
    </row>
    <row r="892" spans="1:9" ht="15.75" x14ac:dyDescent="0.25">
      <c r="A892" s="26" t="s">
        <v>192</v>
      </c>
      <c r="B892" s="17">
        <v>908</v>
      </c>
      <c r="C892" s="21" t="s">
        <v>285</v>
      </c>
      <c r="D892" s="21" t="s">
        <v>266</v>
      </c>
      <c r="E892" s="21" t="s">
        <v>193</v>
      </c>
      <c r="F892" s="21"/>
      <c r="G892" s="27">
        <f>G893</f>
        <v>455.9</v>
      </c>
      <c r="H892" s="209"/>
    </row>
    <row r="893" spans="1:9" ht="15.75" x14ac:dyDescent="0.25">
      <c r="A893" s="26" t="s">
        <v>616</v>
      </c>
      <c r="B893" s="17">
        <v>908</v>
      </c>
      <c r="C893" s="21" t="s">
        <v>285</v>
      </c>
      <c r="D893" s="21" t="s">
        <v>266</v>
      </c>
      <c r="E893" s="21" t="s">
        <v>617</v>
      </c>
      <c r="F893" s="21"/>
      <c r="G893" s="27">
        <f>G894</f>
        <v>455.9</v>
      </c>
      <c r="H893" s="209"/>
    </row>
    <row r="894" spans="1:9" ht="31.5" x14ac:dyDescent="0.25">
      <c r="A894" s="26" t="s">
        <v>182</v>
      </c>
      <c r="B894" s="17">
        <v>908</v>
      </c>
      <c r="C894" s="21" t="s">
        <v>285</v>
      </c>
      <c r="D894" s="21" t="s">
        <v>266</v>
      </c>
      <c r="E894" s="21" t="s">
        <v>617</v>
      </c>
      <c r="F894" s="21" t="s">
        <v>183</v>
      </c>
      <c r="G894" s="27">
        <f>G895</f>
        <v>455.9</v>
      </c>
      <c r="H894" s="209"/>
    </row>
    <row r="895" spans="1:9" ht="47.25" x14ac:dyDescent="0.25">
      <c r="A895" s="26" t="s">
        <v>184</v>
      </c>
      <c r="B895" s="17">
        <v>908</v>
      </c>
      <c r="C895" s="21" t="s">
        <v>285</v>
      </c>
      <c r="D895" s="21" t="s">
        <v>266</v>
      </c>
      <c r="E895" s="21" t="s">
        <v>617</v>
      </c>
      <c r="F895" s="21" t="s">
        <v>185</v>
      </c>
      <c r="G895" s="28">
        <v>455.9</v>
      </c>
      <c r="H895" s="209"/>
    </row>
    <row r="896" spans="1:9" ht="15.75" hidden="1" x14ac:dyDescent="0.25">
      <c r="A896" s="26" t="s">
        <v>618</v>
      </c>
      <c r="B896" s="17">
        <v>908</v>
      </c>
      <c r="C896" s="21" t="s">
        <v>285</v>
      </c>
      <c r="D896" s="21" t="s">
        <v>266</v>
      </c>
      <c r="E896" s="21" t="s">
        <v>619</v>
      </c>
      <c r="F896" s="21"/>
      <c r="G896" s="28">
        <f t="shared" ref="G896:G897" si="151">G897</f>
        <v>0</v>
      </c>
      <c r="H896" s="209"/>
    </row>
    <row r="897" spans="1:10" ht="15.75" hidden="1" x14ac:dyDescent="0.25">
      <c r="A897" s="26" t="s">
        <v>186</v>
      </c>
      <c r="B897" s="17">
        <v>908</v>
      </c>
      <c r="C897" s="21" t="s">
        <v>285</v>
      </c>
      <c r="D897" s="21" t="s">
        <v>266</v>
      </c>
      <c r="E897" s="21" t="s">
        <v>619</v>
      </c>
      <c r="F897" s="21" t="s">
        <v>196</v>
      </c>
      <c r="G897" s="28">
        <f t="shared" si="151"/>
        <v>0</v>
      </c>
      <c r="H897" s="209"/>
    </row>
    <row r="898" spans="1:10" ht="15.75" hidden="1" x14ac:dyDescent="0.25">
      <c r="A898" s="26" t="s">
        <v>620</v>
      </c>
      <c r="B898" s="17">
        <v>908</v>
      </c>
      <c r="C898" s="21" t="s">
        <v>285</v>
      </c>
      <c r="D898" s="21" t="s">
        <v>266</v>
      </c>
      <c r="E898" s="21" t="s">
        <v>619</v>
      </c>
      <c r="F898" s="21" t="s">
        <v>189</v>
      </c>
      <c r="G898" s="28">
        <v>0</v>
      </c>
      <c r="H898" s="209"/>
    </row>
    <row r="899" spans="1:10" ht="31.5" x14ac:dyDescent="0.25">
      <c r="A899" s="24" t="s">
        <v>621</v>
      </c>
      <c r="B899" s="20">
        <v>908</v>
      </c>
      <c r="C899" s="25" t="s">
        <v>285</v>
      </c>
      <c r="D899" s="25" t="s">
        <v>285</v>
      </c>
      <c r="E899" s="25"/>
      <c r="F899" s="25"/>
      <c r="G899" s="22">
        <f>G900</f>
        <v>21124.69</v>
      </c>
      <c r="H899" s="209"/>
    </row>
    <row r="900" spans="1:10" ht="15.75" x14ac:dyDescent="0.25">
      <c r="A900" s="26" t="s">
        <v>172</v>
      </c>
      <c r="B900" s="17">
        <v>908</v>
      </c>
      <c r="C900" s="21" t="s">
        <v>285</v>
      </c>
      <c r="D900" s="21" t="s">
        <v>285</v>
      </c>
      <c r="E900" s="21" t="s">
        <v>173</v>
      </c>
      <c r="F900" s="21"/>
      <c r="G900" s="27">
        <f>G901+G909</f>
        <v>21124.69</v>
      </c>
      <c r="H900" s="209"/>
    </row>
    <row r="901" spans="1:10" ht="31.5" x14ac:dyDescent="0.25">
      <c r="A901" s="26" t="s">
        <v>174</v>
      </c>
      <c r="B901" s="17">
        <v>908</v>
      </c>
      <c r="C901" s="21" t="s">
        <v>285</v>
      </c>
      <c r="D901" s="21" t="s">
        <v>285</v>
      </c>
      <c r="E901" s="21" t="s">
        <v>175</v>
      </c>
      <c r="F901" s="21"/>
      <c r="G901" s="27">
        <f>G902</f>
        <v>13501.699999999999</v>
      </c>
      <c r="H901" s="209"/>
    </row>
    <row r="902" spans="1:10" ht="47.25" x14ac:dyDescent="0.25">
      <c r="A902" s="26" t="s">
        <v>176</v>
      </c>
      <c r="B902" s="17">
        <v>908</v>
      </c>
      <c r="C902" s="21" t="s">
        <v>285</v>
      </c>
      <c r="D902" s="21" t="s">
        <v>285</v>
      </c>
      <c r="E902" s="21" t="s">
        <v>177</v>
      </c>
      <c r="F902" s="21"/>
      <c r="G902" s="27">
        <f>G903+G907+G905</f>
        <v>13501.699999999999</v>
      </c>
      <c r="H902" s="209"/>
    </row>
    <row r="903" spans="1:10" ht="94.5" x14ac:dyDescent="0.25">
      <c r="A903" s="26" t="s">
        <v>178</v>
      </c>
      <c r="B903" s="17">
        <v>908</v>
      </c>
      <c r="C903" s="21" t="s">
        <v>285</v>
      </c>
      <c r="D903" s="21" t="s">
        <v>285</v>
      </c>
      <c r="E903" s="21" t="s">
        <v>177</v>
      </c>
      <c r="F903" s="21" t="s">
        <v>179</v>
      </c>
      <c r="G903" s="27">
        <f>G904</f>
        <v>13327.8</v>
      </c>
      <c r="H903" s="209"/>
    </row>
    <row r="904" spans="1:10" ht="31.5" x14ac:dyDescent="0.25">
      <c r="A904" s="26" t="s">
        <v>180</v>
      </c>
      <c r="B904" s="17">
        <v>908</v>
      </c>
      <c r="C904" s="21" t="s">
        <v>285</v>
      </c>
      <c r="D904" s="21" t="s">
        <v>285</v>
      </c>
      <c r="E904" s="21" t="s">
        <v>177</v>
      </c>
      <c r="F904" s="21" t="s">
        <v>181</v>
      </c>
      <c r="G904" s="197">
        <f>13259.3+28.4+100-59.9</f>
        <v>13327.8</v>
      </c>
      <c r="H904" s="132" t="s">
        <v>841</v>
      </c>
      <c r="I904" s="152"/>
      <c r="J904" s="203" t="s">
        <v>850</v>
      </c>
    </row>
    <row r="905" spans="1:10" ht="31.5" x14ac:dyDescent="0.25">
      <c r="A905" s="26" t="s">
        <v>182</v>
      </c>
      <c r="B905" s="17">
        <v>908</v>
      </c>
      <c r="C905" s="21" t="s">
        <v>285</v>
      </c>
      <c r="D905" s="21" t="s">
        <v>285</v>
      </c>
      <c r="E905" s="21" t="s">
        <v>177</v>
      </c>
      <c r="F905" s="21" t="s">
        <v>183</v>
      </c>
      <c r="G905" s="27">
        <f t="shared" ref="G905" si="152">G906</f>
        <v>25</v>
      </c>
      <c r="H905" s="209"/>
    </row>
    <row r="906" spans="1:10" ht="47.25" x14ac:dyDescent="0.25">
      <c r="A906" s="26" t="s">
        <v>184</v>
      </c>
      <c r="B906" s="17">
        <v>908</v>
      </c>
      <c r="C906" s="21" t="s">
        <v>285</v>
      </c>
      <c r="D906" s="21" t="s">
        <v>285</v>
      </c>
      <c r="E906" s="21" t="s">
        <v>177</v>
      </c>
      <c r="F906" s="21" t="s">
        <v>185</v>
      </c>
      <c r="G906" s="28">
        <v>25</v>
      </c>
      <c r="H906" s="132"/>
      <c r="I906" s="152"/>
    </row>
    <row r="907" spans="1:10" ht="15.75" x14ac:dyDescent="0.25">
      <c r="A907" s="26" t="s">
        <v>186</v>
      </c>
      <c r="B907" s="17">
        <v>908</v>
      </c>
      <c r="C907" s="21" t="s">
        <v>285</v>
      </c>
      <c r="D907" s="21" t="s">
        <v>285</v>
      </c>
      <c r="E907" s="21" t="s">
        <v>177</v>
      </c>
      <c r="F907" s="21" t="s">
        <v>196</v>
      </c>
      <c r="G907" s="27">
        <f>G908</f>
        <v>148.9</v>
      </c>
      <c r="H907" s="209"/>
    </row>
    <row r="908" spans="1:10" ht="15.75" x14ac:dyDescent="0.25">
      <c r="A908" s="26" t="s">
        <v>620</v>
      </c>
      <c r="B908" s="17">
        <v>908</v>
      </c>
      <c r="C908" s="21" t="s">
        <v>285</v>
      </c>
      <c r="D908" s="21" t="s">
        <v>285</v>
      </c>
      <c r="E908" s="21" t="s">
        <v>177</v>
      </c>
      <c r="F908" s="21" t="s">
        <v>189</v>
      </c>
      <c r="G908" s="193">
        <f>89+59.9</f>
        <v>148.9</v>
      </c>
      <c r="H908" s="188" t="s">
        <v>840</v>
      </c>
    </row>
    <row r="909" spans="1:10" ht="15.75" x14ac:dyDescent="0.25">
      <c r="A909" s="26" t="s">
        <v>192</v>
      </c>
      <c r="B909" s="17">
        <v>908</v>
      </c>
      <c r="C909" s="21" t="s">
        <v>285</v>
      </c>
      <c r="D909" s="21" t="s">
        <v>285</v>
      </c>
      <c r="E909" s="21" t="s">
        <v>193</v>
      </c>
      <c r="F909" s="21"/>
      <c r="G909" s="27">
        <f>G913+G910</f>
        <v>7622.99</v>
      </c>
      <c r="H909" s="209"/>
    </row>
    <row r="910" spans="1:10" ht="31.5" x14ac:dyDescent="0.25">
      <c r="A910" s="26" t="s">
        <v>622</v>
      </c>
      <c r="B910" s="17">
        <v>908</v>
      </c>
      <c r="C910" s="21" t="s">
        <v>285</v>
      </c>
      <c r="D910" s="21" t="s">
        <v>285</v>
      </c>
      <c r="E910" s="21" t="s">
        <v>623</v>
      </c>
      <c r="F910" s="21"/>
      <c r="G910" s="28">
        <f>G911</f>
        <v>1461</v>
      </c>
      <c r="H910" s="209"/>
    </row>
    <row r="911" spans="1:10" ht="15.75" x14ac:dyDescent="0.25">
      <c r="A911" s="26" t="s">
        <v>186</v>
      </c>
      <c r="B911" s="17">
        <v>908</v>
      </c>
      <c r="C911" s="21" t="s">
        <v>285</v>
      </c>
      <c r="D911" s="21" t="s">
        <v>285</v>
      </c>
      <c r="E911" s="21" t="s">
        <v>623</v>
      </c>
      <c r="F911" s="21" t="s">
        <v>196</v>
      </c>
      <c r="G911" s="28">
        <f>G912</f>
        <v>1461</v>
      </c>
      <c r="H911" s="209"/>
    </row>
    <row r="912" spans="1:10" ht="63" x14ac:dyDescent="0.25">
      <c r="A912" s="26" t="s">
        <v>235</v>
      </c>
      <c r="B912" s="17">
        <v>908</v>
      </c>
      <c r="C912" s="21" t="s">
        <v>285</v>
      </c>
      <c r="D912" s="21" t="s">
        <v>285</v>
      </c>
      <c r="E912" s="21" t="s">
        <v>623</v>
      </c>
      <c r="F912" s="21" t="s">
        <v>211</v>
      </c>
      <c r="G912" s="28">
        <v>1461</v>
      </c>
      <c r="H912" s="209"/>
    </row>
    <row r="913" spans="1:10" ht="31.5" x14ac:dyDescent="0.25">
      <c r="A913" s="26" t="s">
        <v>391</v>
      </c>
      <c r="B913" s="17">
        <v>908</v>
      </c>
      <c r="C913" s="21" t="s">
        <v>285</v>
      </c>
      <c r="D913" s="21" t="s">
        <v>285</v>
      </c>
      <c r="E913" s="21" t="s">
        <v>392</v>
      </c>
      <c r="F913" s="21"/>
      <c r="G913" s="27">
        <f>G914+G916</f>
        <v>6161.99</v>
      </c>
      <c r="H913" s="209"/>
    </row>
    <row r="914" spans="1:10" ht="94.5" x14ac:dyDescent="0.25">
      <c r="A914" s="26" t="s">
        <v>178</v>
      </c>
      <c r="B914" s="17">
        <v>908</v>
      </c>
      <c r="C914" s="21" t="s">
        <v>285</v>
      </c>
      <c r="D914" s="21" t="s">
        <v>285</v>
      </c>
      <c r="E914" s="21" t="s">
        <v>392</v>
      </c>
      <c r="F914" s="21" t="s">
        <v>179</v>
      </c>
      <c r="G914" s="27">
        <f>G915</f>
        <v>4505.49</v>
      </c>
      <c r="H914" s="209"/>
    </row>
    <row r="915" spans="1:10" ht="31.5" x14ac:dyDescent="0.25">
      <c r="A915" s="26" t="s">
        <v>393</v>
      </c>
      <c r="B915" s="17">
        <v>908</v>
      </c>
      <c r="C915" s="21" t="s">
        <v>285</v>
      </c>
      <c r="D915" s="21" t="s">
        <v>285</v>
      </c>
      <c r="E915" s="21" t="s">
        <v>392</v>
      </c>
      <c r="F915" s="21" t="s">
        <v>260</v>
      </c>
      <c r="G915" s="187">
        <f>6196.89-1411.4-100-180</f>
        <v>4505.49</v>
      </c>
      <c r="H915" s="132" t="s">
        <v>856</v>
      </c>
      <c r="I915" s="152"/>
      <c r="J915" s="202" t="s">
        <v>855</v>
      </c>
    </row>
    <row r="916" spans="1:10" ht="31.5" x14ac:dyDescent="0.25">
      <c r="A916" s="26" t="s">
        <v>182</v>
      </c>
      <c r="B916" s="17">
        <v>908</v>
      </c>
      <c r="C916" s="21" t="s">
        <v>285</v>
      </c>
      <c r="D916" s="21" t="s">
        <v>285</v>
      </c>
      <c r="E916" s="21" t="s">
        <v>392</v>
      </c>
      <c r="F916" s="21" t="s">
        <v>183</v>
      </c>
      <c r="G916" s="27">
        <f>G917</f>
        <v>1656.5</v>
      </c>
      <c r="H916" s="209"/>
    </row>
    <row r="917" spans="1:10" ht="47.25" x14ac:dyDescent="0.25">
      <c r="A917" s="26" t="s">
        <v>184</v>
      </c>
      <c r="B917" s="17">
        <v>908</v>
      </c>
      <c r="C917" s="21" t="s">
        <v>285</v>
      </c>
      <c r="D917" s="21" t="s">
        <v>285</v>
      </c>
      <c r="E917" s="21" t="s">
        <v>392</v>
      </c>
      <c r="F917" s="21" t="s">
        <v>185</v>
      </c>
      <c r="G917" s="187">
        <f>1341.9+928.5-198.8-595.1+180</f>
        <v>1656.5</v>
      </c>
      <c r="H917" s="132" t="s">
        <v>857</v>
      </c>
      <c r="I917" s="153"/>
      <c r="J917" s="202"/>
    </row>
    <row r="918" spans="1:10" ht="15.75" x14ac:dyDescent="0.25">
      <c r="A918" s="24" t="s">
        <v>294</v>
      </c>
      <c r="B918" s="20">
        <v>908</v>
      </c>
      <c r="C918" s="25" t="s">
        <v>295</v>
      </c>
      <c r="D918" s="25"/>
      <c r="E918" s="25"/>
      <c r="F918" s="25"/>
      <c r="G918" s="22">
        <f t="shared" ref="G918:G923" si="153">G919</f>
        <v>87.1</v>
      </c>
      <c r="H918" s="209"/>
    </row>
    <row r="919" spans="1:10" ht="31.5" x14ac:dyDescent="0.25">
      <c r="A919" s="24" t="s">
        <v>309</v>
      </c>
      <c r="B919" s="20">
        <v>908</v>
      </c>
      <c r="C919" s="25" t="s">
        <v>295</v>
      </c>
      <c r="D919" s="25" t="s">
        <v>171</v>
      </c>
      <c r="E919" s="25"/>
      <c r="F919" s="25"/>
      <c r="G919" s="22">
        <f t="shared" si="153"/>
        <v>87.1</v>
      </c>
      <c r="H919" s="209"/>
    </row>
    <row r="920" spans="1:10" ht="15.75" x14ac:dyDescent="0.25">
      <c r="A920" s="26" t="s">
        <v>172</v>
      </c>
      <c r="B920" s="17">
        <v>908</v>
      </c>
      <c r="C920" s="21" t="s">
        <v>295</v>
      </c>
      <c r="D920" s="21" t="s">
        <v>171</v>
      </c>
      <c r="E920" s="21" t="s">
        <v>173</v>
      </c>
      <c r="F920" s="21"/>
      <c r="G920" s="22">
        <f t="shared" si="153"/>
        <v>87.1</v>
      </c>
      <c r="H920" s="209"/>
    </row>
    <row r="921" spans="1:10" ht="15.75" x14ac:dyDescent="0.25">
      <c r="A921" s="26" t="s">
        <v>192</v>
      </c>
      <c r="B921" s="17">
        <v>908</v>
      </c>
      <c r="C921" s="21" t="s">
        <v>295</v>
      </c>
      <c r="D921" s="21" t="s">
        <v>171</v>
      </c>
      <c r="E921" s="21" t="s">
        <v>193</v>
      </c>
      <c r="F921" s="21"/>
      <c r="G921" s="27">
        <f t="shared" si="153"/>
        <v>87.1</v>
      </c>
      <c r="H921" s="209"/>
    </row>
    <row r="922" spans="1:10" ht="15.75" x14ac:dyDescent="0.25">
      <c r="A922" s="26" t="s">
        <v>624</v>
      </c>
      <c r="B922" s="17">
        <v>908</v>
      </c>
      <c r="C922" s="21" t="s">
        <v>295</v>
      </c>
      <c r="D922" s="21" t="s">
        <v>171</v>
      </c>
      <c r="E922" s="21" t="s">
        <v>625</v>
      </c>
      <c r="F922" s="21"/>
      <c r="G922" s="27">
        <f t="shared" si="153"/>
        <v>87.1</v>
      </c>
      <c r="H922" s="209"/>
    </row>
    <row r="923" spans="1:10" ht="15.75" x14ac:dyDescent="0.25">
      <c r="A923" s="26" t="s">
        <v>186</v>
      </c>
      <c r="B923" s="17">
        <v>908</v>
      </c>
      <c r="C923" s="21" t="s">
        <v>295</v>
      </c>
      <c r="D923" s="21" t="s">
        <v>171</v>
      </c>
      <c r="E923" s="21" t="s">
        <v>625</v>
      </c>
      <c r="F923" s="21" t="s">
        <v>196</v>
      </c>
      <c r="G923" s="27">
        <f t="shared" si="153"/>
        <v>87.1</v>
      </c>
      <c r="H923" s="209"/>
    </row>
    <row r="924" spans="1:10" ht="63" x14ac:dyDescent="0.25">
      <c r="A924" s="26" t="s">
        <v>235</v>
      </c>
      <c r="B924" s="17">
        <v>908</v>
      </c>
      <c r="C924" s="21" t="s">
        <v>295</v>
      </c>
      <c r="D924" s="21" t="s">
        <v>171</v>
      </c>
      <c r="E924" s="21" t="s">
        <v>625</v>
      </c>
      <c r="F924" s="21" t="s">
        <v>211</v>
      </c>
      <c r="G924" s="27">
        <v>87.1</v>
      </c>
      <c r="H924" s="209"/>
    </row>
    <row r="925" spans="1:10" ht="31.5" x14ac:dyDescent="0.25">
      <c r="A925" s="20" t="s">
        <v>626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09"/>
    </row>
    <row r="926" spans="1:10" ht="15.75" x14ac:dyDescent="0.25">
      <c r="A926" s="24" t="s">
        <v>168</v>
      </c>
      <c r="B926" s="20">
        <v>910</v>
      </c>
      <c r="C926" s="25" t="s">
        <v>169</v>
      </c>
      <c r="D926" s="25"/>
      <c r="E926" s="25"/>
      <c r="F926" s="25"/>
      <c r="G926" s="22">
        <f>G927+G935+G945+G953</f>
        <v>7042.5</v>
      </c>
      <c r="H926" s="209"/>
    </row>
    <row r="927" spans="1:10" ht="47.25" x14ac:dyDescent="0.25">
      <c r="A927" s="24" t="s">
        <v>627</v>
      </c>
      <c r="B927" s="20">
        <v>910</v>
      </c>
      <c r="C927" s="25" t="s">
        <v>169</v>
      </c>
      <c r="D927" s="25" t="s">
        <v>264</v>
      </c>
      <c r="E927" s="25"/>
      <c r="F927" s="25"/>
      <c r="G927" s="22">
        <f>G928</f>
        <v>4188.8</v>
      </c>
      <c r="H927" s="209"/>
    </row>
    <row r="928" spans="1:10" ht="15.75" x14ac:dyDescent="0.25">
      <c r="A928" s="26" t="s">
        <v>172</v>
      </c>
      <c r="B928" s="17">
        <v>910</v>
      </c>
      <c r="C928" s="21" t="s">
        <v>169</v>
      </c>
      <c r="D928" s="21" t="s">
        <v>264</v>
      </c>
      <c r="E928" s="21" t="s">
        <v>173</v>
      </c>
      <c r="F928" s="21"/>
      <c r="G928" s="27">
        <f t="shared" ref="G928" si="154">G929</f>
        <v>4188.8</v>
      </c>
      <c r="H928" s="209"/>
    </row>
    <row r="929" spans="1:10" ht="31.5" x14ac:dyDescent="0.25">
      <c r="A929" s="26" t="s">
        <v>174</v>
      </c>
      <c r="B929" s="17">
        <v>910</v>
      </c>
      <c r="C929" s="21" t="s">
        <v>169</v>
      </c>
      <c r="D929" s="21" t="s">
        <v>264</v>
      </c>
      <c r="E929" s="21" t="s">
        <v>175</v>
      </c>
      <c r="F929" s="21"/>
      <c r="G929" s="27">
        <f>G930</f>
        <v>4188.8</v>
      </c>
      <c r="H929" s="209"/>
    </row>
    <row r="930" spans="1:10" ht="47.25" x14ac:dyDescent="0.25">
      <c r="A930" s="26" t="s">
        <v>628</v>
      </c>
      <c r="B930" s="17">
        <v>910</v>
      </c>
      <c r="C930" s="21" t="s">
        <v>169</v>
      </c>
      <c r="D930" s="21" t="s">
        <v>264</v>
      </c>
      <c r="E930" s="21" t="s">
        <v>629</v>
      </c>
      <c r="F930" s="21"/>
      <c r="G930" s="27">
        <f t="shared" ref="G930" si="155">G931+G933</f>
        <v>4188.8</v>
      </c>
      <c r="H930" s="209"/>
    </row>
    <row r="931" spans="1:10" ht="94.5" x14ac:dyDescent="0.25">
      <c r="A931" s="26" t="s">
        <v>178</v>
      </c>
      <c r="B931" s="17">
        <v>910</v>
      </c>
      <c r="C931" s="21" t="s">
        <v>169</v>
      </c>
      <c r="D931" s="21" t="s">
        <v>264</v>
      </c>
      <c r="E931" s="21" t="s">
        <v>629</v>
      </c>
      <c r="F931" s="21" t="s">
        <v>179</v>
      </c>
      <c r="G931" s="27">
        <f>G932+G933</f>
        <v>4188.8</v>
      </c>
      <c r="H931" s="209"/>
    </row>
    <row r="932" spans="1:10" ht="31.5" x14ac:dyDescent="0.25">
      <c r="A932" s="26" t="s">
        <v>180</v>
      </c>
      <c r="B932" s="17">
        <v>910</v>
      </c>
      <c r="C932" s="21" t="s">
        <v>169</v>
      </c>
      <c r="D932" s="21" t="s">
        <v>264</v>
      </c>
      <c r="E932" s="21" t="s">
        <v>629</v>
      </c>
      <c r="F932" s="21" t="s">
        <v>181</v>
      </c>
      <c r="G932" s="28">
        <v>4188.8</v>
      </c>
      <c r="H932" s="209"/>
      <c r="J932" s="202" t="s">
        <v>851</v>
      </c>
    </row>
    <row r="933" spans="1:10" ht="47.25" hidden="1" x14ac:dyDescent="0.25">
      <c r="A933" s="26" t="s">
        <v>249</v>
      </c>
      <c r="B933" s="17">
        <v>910</v>
      </c>
      <c r="C933" s="21" t="s">
        <v>169</v>
      </c>
      <c r="D933" s="21" t="s">
        <v>264</v>
      </c>
      <c r="E933" s="21" t="s">
        <v>629</v>
      </c>
      <c r="F933" s="21" t="s">
        <v>183</v>
      </c>
      <c r="G933" s="27">
        <f t="shared" ref="G933" si="156">G934</f>
        <v>0</v>
      </c>
      <c r="H933" s="209"/>
    </row>
    <row r="934" spans="1:10" ht="47.25" hidden="1" x14ac:dyDescent="0.25">
      <c r="A934" s="26" t="s">
        <v>184</v>
      </c>
      <c r="B934" s="17">
        <v>910</v>
      </c>
      <c r="C934" s="21" t="s">
        <v>169</v>
      </c>
      <c r="D934" s="21" t="s">
        <v>264</v>
      </c>
      <c r="E934" s="21" t="s">
        <v>629</v>
      </c>
      <c r="F934" s="21" t="s">
        <v>185</v>
      </c>
      <c r="G934" s="27"/>
      <c r="H934" s="209"/>
    </row>
    <row r="935" spans="1:10" ht="78.75" x14ac:dyDescent="0.25">
      <c r="A935" s="24" t="s">
        <v>630</v>
      </c>
      <c r="B935" s="20">
        <v>910</v>
      </c>
      <c r="C935" s="25" t="s">
        <v>169</v>
      </c>
      <c r="D935" s="25" t="s">
        <v>266</v>
      </c>
      <c r="E935" s="25"/>
      <c r="F935" s="25"/>
      <c r="G935" s="22">
        <f>G936</f>
        <v>1138.7</v>
      </c>
      <c r="H935" s="209"/>
    </row>
    <row r="936" spans="1:10" ht="15.75" x14ac:dyDescent="0.25">
      <c r="A936" s="26" t="s">
        <v>172</v>
      </c>
      <c r="B936" s="17">
        <v>910</v>
      </c>
      <c r="C936" s="21" t="s">
        <v>169</v>
      </c>
      <c r="D936" s="21" t="s">
        <v>266</v>
      </c>
      <c r="E936" s="21" t="s">
        <v>173</v>
      </c>
      <c r="F936" s="25"/>
      <c r="G936" s="27">
        <f t="shared" ref="G936" si="157">G937</f>
        <v>1138.7</v>
      </c>
      <c r="H936" s="209"/>
    </row>
    <row r="937" spans="1:10" ht="31.5" x14ac:dyDescent="0.25">
      <c r="A937" s="26" t="s">
        <v>174</v>
      </c>
      <c r="B937" s="17">
        <v>910</v>
      </c>
      <c r="C937" s="21" t="s">
        <v>169</v>
      </c>
      <c r="D937" s="21" t="s">
        <v>266</v>
      </c>
      <c r="E937" s="21" t="s">
        <v>175</v>
      </c>
      <c r="F937" s="25"/>
      <c r="G937" s="27">
        <f>G938</f>
        <v>1138.7</v>
      </c>
      <c r="H937" s="209"/>
    </row>
    <row r="938" spans="1:10" ht="47.25" x14ac:dyDescent="0.25">
      <c r="A938" s="26" t="s">
        <v>631</v>
      </c>
      <c r="B938" s="17">
        <v>910</v>
      </c>
      <c r="C938" s="21" t="s">
        <v>169</v>
      </c>
      <c r="D938" s="21" t="s">
        <v>266</v>
      </c>
      <c r="E938" s="21" t="s">
        <v>632</v>
      </c>
      <c r="F938" s="21"/>
      <c r="G938" s="27">
        <f t="shared" ref="G938" si="158">G939+G941+G943</f>
        <v>1138.7</v>
      </c>
      <c r="H938" s="209"/>
    </row>
    <row r="939" spans="1:10" ht="94.5" x14ac:dyDescent="0.25">
      <c r="A939" s="26" t="s">
        <v>178</v>
      </c>
      <c r="B939" s="17">
        <v>910</v>
      </c>
      <c r="C939" s="21" t="s">
        <v>169</v>
      </c>
      <c r="D939" s="21" t="s">
        <v>266</v>
      </c>
      <c r="E939" s="21" t="s">
        <v>632</v>
      </c>
      <c r="F939" s="21" t="s">
        <v>179</v>
      </c>
      <c r="G939" s="27">
        <f>G940</f>
        <v>1003.7</v>
      </c>
      <c r="H939" s="209"/>
    </row>
    <row r="940" spans="1:10" ht="31.5" x14ac:dyDescent="0.25">
      <c r="A940" s="26" t="s">
        <v>180</v>
      </c>
      <c r="B940" s="17">
        <v>910</v>
      </c>
      <c r="C940" s="21" t="s">
        <v>169</v>
      </c>
      <c r="D940" s="21" t="s">
        <v>266</v>
      </c>
      <c r="E940" s="21" t="s">
        <v>632</v>
      </c>
      <c r="F940" s="21" t="s">
        <v>181</v>
      </c>
      <c r="G940" s="27">
        <v>1003.7</v>
      </c>
      <c r="H940" s="209"/>
    </row>
    <row r="941" spans="1:10" ht="47.25" x14ac:dyDescent="0.25">
      <c r="A941" s="26" t="s">
        <v>249</v>
      </c>
      <c r="B941" s="17">
        <v>910</v>
      </c>
      <c r="C941" s="21" t="s">
        <v>169</v>
      </c>
      <c r="D941" s="21" t="s">
        <v>266</v>
      </c>
      <c r="E941" s="21" t="s">
        <v>632</v>
      </c>
      <c r="F941" s="21" t="s">
        <v>183</v>
      </c>
      <c r="G941" s="27">
        <f>G942</f>
        <v>135</v>
      </c>
      <c r="H941" s="209"/>
    </row>
    <row r="942" spans="1:10" ht="47.25" x14ac:dyDescent="0.25">
      <c r="A942" s="26" t="s">
        <v>184</v>
      </c>
      <c r="B942" s="17">
        <v>910</v>
      </c>
      <c r="C942" s="21" t="s">
        <v>169</v>
      </c>
      <c r="D942" s="21" t="s">
        <v>266</v>
      </c>
      <c r="E942" s="21" t="s">
        <v>632</v>
      </c>
      <c r="F942" s="21" t="s">
        <v>185</v>
      </c>
      <c r="G942" s="27">
        <v>135</v>
      </c>
      <c r="H942" s="209"/>
    </row>
    <row r="943" spans="1:10" ht="15.75" hidden="1" x14ac:dyDescent="0.25">
      <c r="A943" s="26" t="s">
        <v>186</v>
      </c>
      <c r="B943" s="17">
        <v>910</v>
      </c>
      <c r="C943" s="21" t="s">
        <v>169</v>
      </c>
      <c r="D943" s="21" t="s">
        <v>266</v>
      </c>
      <c r="E943" s="21" t="s">
        <v>632</v>
      </c>
      <c r="F943" s="21" t="s">
        <v>196</v>
      </c>
      <c r="G943" s="27">
        <f t="shared" ref="G943" si="159">G944</f>
        <v>0</v>
      </c>
      <c r="H943" s="209"/>
    </row>
    <row r="944" spans="1:10" ht="15.75" hidden="1" x14ac:dyDescent="0.25">
      <c r="A944" s="26" t="s">
        <v>620</v>
      </c>
      <c r="B944" s="17">
        <v>910</v>
      </c>
      <c r="C944" s="21" t="s">
        <v>169</v>
      </c>
      <c r="D944" s="21" t="s">
        <v>266</v>
      </c>
      <c r="E944" s="21" t="s">
        <v>632</v>
      </c>
      <c r="F944" s="21" t="s">
        <v>189</v>
      </c>
      <c r="G944" s="27">
        <v>0</v>
      </c>
      <c r="H944" s="209"/>
    </row>
    <row r="945" spans="1:10" ht="63" x14ac:dyDescent="0.25">
      <c r="A945" s="24" t="s">
        <v>170</v>
      </c>
      <c r="B945" s="20">
        <v>910</v>
      </c>
      <c r="C945" s="25" t="s">
        <v>169</v>
      </c>
      <c r="D945" s="25" t="s">
        <v>171</v>
      </c>
      <c r="E945" s="25"/>
      <c r="F945" s="25"/>
      <c r="G945" s="22">
        <f>G946</f>
        <v>1682.5</v>
      </c>
      <c r="H945" s="209"/>
    </row>
    <row r="946" spans="1:10" s="138" customFormat="1" ht="15.75" x14ac:dyDescent="0.25">
      <c r="A946" s="26" t="s">
        <v>172</v>
      </c>
      <c r="B946" s="17">
        <v>910</v>
      </c>
      <c r="C946" s="21" t="s">
        <v>169</v>
      </c>
      <c r="D946" s="21" t="s">
        <v>171</v>
      </c>
      <c r="E946" s="21" t="s">
        <v>173</v>
      </c>
      <c r="F946" s="21"/>
      <c r="G946" s="27">
        <f>G947</f>
        <v>1682.5</v>
      </c>
      <c r="H946" s="209"/>
      <c r="I946" s="156"/>
    </row>
    <row r="947" spans="1:10" s="138" customFormat="1" ht="31.5" x14ac:dyDescent="0.25">
      <c r="A947" s="26" t="s">
        <v>174</v>
      </c>
      <c r="B947" s="17">
        <v>910</v>
      </c>
      <c r="C947" s="21" t="s">
        <v>169</v>
      </c>
      <c r="D947" s="21" t="s">
        <v>171</v>
      </c>
      <c r="E947" s="21" t="s">
        <v>175</v>
      </c>
      <c r="F947" s="21"/>
      <c r="G947" s="27">
        <f>G948</f>
        <v>1682.5</v>
      </c>
      <c r="H947" s="209"/>
      <c r="I947" s="156"/>
    </row>
    <row r="948" spans="1:10" s="138" customFormat="1" ht="47.25" x14ac:dyDescent="0.25">
      <c r="A948" s="26" t="s">
        <v>176</v>
      </c>
      <c r="B948" s="17">
        <v>910</v>
      </c>
      <c r="C948" s="21" t="s">
        <v>169</v>
      </c>
      <c r="D948" s="21" t="s">
        <v>171</v>
      </c>
      <c r="E948" s="21" t="s">
        <v>177</v>
      </c>
      <c r="F948" s="21"/>
      <c r="G948" s="27">
        <f>G949+G951</f>
        <v>1682.5</v>
      </c>
      <c r="H948" s="209"/>
      <c r="I948" s="156"/>
    </row>
    <row r="949" spans="1:10" ht="94.5" x14ac:dyDescent="0.25">
      <c r="A949" s="26" t="s">
        <v>178</v>
      </c>
      <c r="B949" s="17">
        <v>910</v>
      </c>
      <c r="C949" s="21" t="s">
        <v>169</v>
      </c>
      <c r="D949" s="21" t="s">
        <v>171</v>
      </c>
      <c r="E949" s="21" t="s">
        <v>177</v>
      </c>
      <c r="F949" s="21" t="s">
        <v>179</v>
      </c>
      <c r="G949" s="27">
        <f>G950</f>
        <v>1664.2</v>
      </c>
      <c r="H949" s="209"/>
    </row>
    <row r="950" spans="1:10" ht="31.5" x14ac:dyDescent="0.25">
      <c r="A950" s="26" t="s">
        <v>180</v>
      </c>
      <c r="B950" s="17">
        <v>910</v>
      </c>
      <c r="C950" s="21" t="s">
        <v>169</v>
      </c>
      <c r="D950" s="21" t="s">
        <v>171</v>
      </c>
      <c r="E950" s="21" t="s">
        <v>177</v>
      </c>
      <c r="F950" s="21" t="s">
        <v>181</v>
      </c>
      <c r="G950" s="27">
        <v>1664.2</v>
      </c>
      <c r="H950" s="209"/>
      <c r="J950" s="205" t="s">
        <v>852</v>
      </c>
    </row>
    <row r="951" spans="1:10" ht="47.25" x14ac:dyDescent="0.25">
      <c r="A951" s="26" t="s">
        <v>249</v>
      </c>
      <c r="B951" s="17">
        <v>910</v>
      </c>
      <c r="C951" s="21" t="s">
        <v>169</v>
      </c>
      <c r="D951" s="21" t="s">
        <v>171</v>
      </c>
      <c r="E951" s="21" t="s">
        <v>177</v>
      </c>
      <c r="F951" s="21" t="s">
        <v>183</v>
      </c>
      <c r="G951" s="27">
        <f>G952</f>
        <v>18.3</v>
      </c>
      <c r="H951" s="209"/>
    </row>
    <row r="952" spans="1:10" ht="47.25" x14ac:dyDescent="0.25">
      <c r="A952" s="26" t="s">
        <v>184</v>
      </c>
      <c r="B952" s="17">
        <v>910</v>
      </c>
      <c r="C952" s="21" t="s">
        <v>169</v>
      </c>
      <c r="D952" s="21" t="s">
        <v>171</v>
      </c>
      <c r="E952" s="21" t="s">
        <v>177</v>
      </c>
      <c r="F952" s="21" t="s">
        <v>185</v>
      </c>
      <c r="G952" s="27">
        <v>18.3</v>
      </c>
      <c r="H952" s="209"/>
    </row>
    <row r="953" spans="1:10" ht="15.75" x14ac:dyDescent="0.25">
      <c r="A953" s="24" t="s">
        <v>190</v>
      </c>
      <c r="B953" s="20">
        <v>910</v>
      </c>
      <c r="C953" s="25" t="s">
        <v>169</v>
      </c>
      <c r="D953" s="25" t="s">
        <v>191</v>
      </c>
      <c r="E953" s="136"/>
      <c r="F953" s="21"/>
      <c r="G953" s="22">
        <f>G954+G958</f>
        <v>32.5</v>
      </c>
      <c r="H953" s="209"/>
    </row>
    <row r="954" spans="1:10" ht="47.25" x14ac:dyDescent="0.25">
      <c r="A954" s="26" t="s">
        <v>212</v>
      </c>
      <c r="B954" s="17">
        <v>910</v>
      </c>
      <c r="C954" s="21" t="s">
        <v>169</v>
      </c>
      <c r="D954" s="21" t="s">
        <v>191</v>
      </c>
      <c r="E954" s="21" t="s">
        <v>213</v>
      </c>
      <c r="F954" s="21"/>
      <c r="G954" s="27">
        <f>G955</f>
        <v>0.5</v>
      </c>
      <c r="H954" s="209"/>
    </row>
    <row r="955" spans="1:10" ht="63" x14ac:dyDescent="0.25">
      <c r="A955" s="33" t="s">
        <v>776</v>
      </c>
      <c r="B955" s="17">
        <v>910</v>
      </c>
      <c r="C955" s="21" t="s">
        <v>169</v>
      </c>
      <c r="D955" s="21" t="s">
        <v>191</v>
      </c>
      <c r="E955" s="42" t="s">
        <v>777</v>
      </c>
      <c r="F955" s="21"/>
      <c r="G955" s="27">
        <f>G956</f>
        <v>0.5</v>
      </c>
      <c r="H955" s="209"/>
    </row>
    <row r="956" spans="1:10" ht="31.5" x14ac:dyDescent="0.25">
      <c r="A956" s="26" t="s">
        <v>182</v>
      </c>
      <c r="B956" s="17">
        <v>910</v>
      </c>
      <c r="C956" s="21" t="s">
        <v>169</v>
      </c>
      <c r="D956" s="21" t="s">
        <v>191</v>
      </c>
      <c r="E956" s="42" t="s">
        <v>777</v>
      </c>
      <c r="F956" s="21" t="s">
        <v>183</v>
      </c>
      <c r="G956" s="27">
        <f>G957</f>
        <v>0.5</v>
      </c>
      <c r="H956" s="209"/>
    </row>
    <row r="957" spans="1:10" ht="47.25" x14ac:dyDescent="0.25">
      <c r="A957" s="26" t="s">
        <v>184</v>
      </c>
      <c r="B957" s="17">
        <v>910</v>
      </c>
      <c r="C957" s="21" t="s">
        <v>169</v>
      </c>
      <c r="D957" s="21" t="s">
        <v>191</v>
      </c>
      <c r="E957" s="42" t="s">
        <v>777</v>
      </c>
      <c r="F957" s="21" t="s">
        <v>185</v>
      </c>
      <c r="G957" s="27">
        <v>0.5</v>
      </c>
      <c r="H957" s="209"/>
    </row>
    <row r="958" spans="1:10" ht="15.75" x14ac:dyDescent="0.25">
      <c r="A958" s="33" t="s">
        <v>172</v>
      </c>
      <c r="B958" s="17">
        <v>910</v>
      </c>
      <c r="C958" s="21" t="s">
        <v>169</v>
      </c>
      <c r="D958" s="21" t="s">
        <v>191</v>
      </c>
      <c r="E958" s="21" t="s">
        <v>173</v>
      </c>
      <c r="F958" s="21"/>
      <c r="G958" s="27">
        <f>G959</f>
        <v>32</v>
      </c>
      <c r="H958" s="209"/>
    </row>
    <row r="959" spans="1:10" ht="31.5" x14ac:dyDescent="0.25">
      <c r="A959" s="33" t="s">
        <v>236</v>
      </c>
      <c r="B959" s="17">
        <v>910</v>
      </c>
      <c r="C959" s="21" t="s">
        <v>169</v>
      </c>
      <c r="D959" s="21" t="s">
        <v>191</v>
      </c>
      <c r="E959" s="21" t="s">
        <v>237</v>
      </c>
      <c r="F959" s="21"/>
      <c r="G959" s="27">
        <f>G960</f>
        <v>32</v>
      </c>
      <c r="H959" s="209"/>
    </row>
    <row r="960" spans="1:10" ht="63" x14ac:dyDescent="0.25">
      <c r="A960" s="33" t="s">
        <v>776</v>
      </c>
      <c r="B960" s="17">
        <v>910</v>
      </c>
      <c r="C960" s="21" t="s">
        <v>169</v>
      </c>
      <c r="D960" s="21" t="s">
        <v>191</v>
      </c>
      <c r="E960" s="21" t="s">
        <v>778</v>
      </c>
      <c r="F960" s="21"/>
      <c r="G960" s="27">
        <f>G961</f>
        <v>32</v>
      </c>
      <c r="H960" s="209"/>
    </row>
    <row r="961" spans="1:12" ht="31.5" x14ac:dyDescent="0.25">
      <c r="A961" s="26" t="s">
        <v>182</v>
      </c>
      <c r="B961" s="17">
        <v>910</v>
      </c>
      <c r="C961" s="21" t="s">
        <v>169</v>
      </c>
      <c r="D961" s="21" t="s">
        <v>191</v>
      </c>
      <c r="E961" s="21" t="s">
        <v>778</v>
      </c>
      <c r="F961" s="21" t="s">
        <v>183</v>
      </c>
      <c r="G961" s="27">
        <f>G962</f>
        <v>32</v>
      </c>
      <c r="H961" s="209"/>
    </row>
    <row r="962" spans="1:12" ht="47.25" x14ac:dyDescent="0.25">
      <c r="A962" s="26" t="s">
        <v>184</v>
      </c>
      <c r="B962" s="17">
        <v>910</v>
      </c>
      <c r="C962" s="21" t="s">
        <v>169</v>
      </c>
      <c r="D962" s="21" t="s">
        <v>191</v>
      </c>
      <c r="E962" s="21" t="s">
        <v>778</v>
      </c>
      <c r="F962" s="21" t="s">
        <v>185</v>
      </c>
      <c r="G962" s="27">
        <v>32</v>
      </c>
      <c r="H962" s="137"/>
    </row>
    <row r="963" spans="1:12" ht="31.5" x14ac:dyDescent="0.25">
      <c r="A963" s="24" t="s">
        <v>633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09"/>
    </row>
    <row r="964" spans="1:12" ht="15.75" x14ac:dyDescent="0.25">
      <c r="A964" s="24" t="s">
        <v>634</v>
      </c>
      <c r="B964" s="20">
        <v>913</v>
      </c>
      <c r="C964" s="25" t="s">
        <v>289</v>
      </c>
      <c r="D964" s="21"/>
      <c r="E964" s="21"/>
      <c r="F964" s="21"/>
      <c r="G964" s="27">
        <f>G965</f>
        <v>6309.8</v>
      </c>
      <c r="H964" s="209"/>
    </row>
    <row r="965" spans="1:12" ht="15.75" x14ac:dyDescent="0.25">
      <c r="A965" s="24" t="s">
        <v>635</v>
      </c>
      <c r="B965" s="20">
        <v>913</v>
      </c>
      <c r="C965" s="25" t="s">
        <v>289</v>
      </c>
      <c r="D965" s="25" t="s">
        <v>264</v>
      </c>
      <c r="E965" s="25"/>
      <c r="F965" s="25"/>
      <c r="G965" s="27">
        <f t="shared" si="160"/>
        <v>6309.8</v>
      </c>
      <c r="H965" s="209"/>
    </row>
    <row r="966" spans="1:12" ht="15.75" x14ac:dyDescent="0.25">
      <c r="A966" s="26" t="s">
        <v>172</v>
      </c>
      <c r="B966" s="17">
        <v>913</v>
      </c>
      <c r="C966" s="21" t="s">
        <v>289</v>
      </c>
      <c r="D966" s="21" t="s">
        <v>264</v>
      </c>
      <c r="E966" s="21" t="s">
        <v>173</v>
      </c>
      <c r="F966" s="21"/>
      <c r="G966" s="27">
        <f>G967</f>
        <v>6309.8</v>
      </c>
      <c r="H966" s="209"/>
    </row>
    <row r="967" spans="1:12" ht="31.5" x14ac:dyDescent="0.25">
      <c r="A967" s="26" t="s">
        <v>636</v>
      </c>
      <c r="B967" s="17">
        <v>913</v>
      </c>
      <c r="C967" s="21" t="s">
        <v>289</v>
      </c>
      <c r="D967" s="21" t="s">
        <v>264</v>
      </c>
      <c r="E967" s="21" t="s">
        <v>637</v>
      </c>
      <c r="F967" s="21"/>
      <c r="G967" s="27">
        <f t="shared" si="160"/>
        <v>6309.8</v>
      </c>
      <c r="H967" s="209"/>
    </row>
    <row r="968" spans="1:12" ht="31.5" x14ac:dyDescent="0.25">
      <c r="A968" s="26" t="s">
        <v>361</v>
      </c>
      <c r="B968" s="17">
        <v>913</v>
      </c>
      <c r="C968" s="21" t="s">
        <v>289</v>
      </c>
      <c r="D968" s="21" t="s">
        <v>264</v>
      </c>
      <c r="E968" s="21" t="s">
        <v>638</v>
      </c>
      <c r="F968" s="21"/>
      <c r="G968" s="27">
        <f>G969+G971+G973</f>
        <v>6309.8</v>
      </c>
      <c r="H968" s="209"/>
    </row>
    <row r="969" spans="1:12" ht="94.5" x14ac:dyDescent="0.25">
      <c r="A969" s="26" t="s">
        <v>178</v>
      </c>
      <c r="B969" s="17">
        <v>913</v>
      </c>
      <c r="C969" s="21" t="s">
        <v>289</v>
      </c>
      <c r="D969" s="21" t="s">
        <v>264</v>
      </c>
      <c r="E969" s="21" t="s">
        <v>638</v>
      </c>
      <c r="F969" s="21" t="s">
        <v>179</v>
      </c>
      <c r="G969" s="27">
        <f t="shared" ref="G969" si="161">G970</f>
        <v>5371.7</v>
      </c>
      <c r="H969" s="209"/>
    </row>
    <row r="970" spans="1:12" ht="31.5" x14ac:dyDescent="0.25">
      <c r="A970" s="26" t="s">
        <v>259</v>
      </c>
      <c r="B970" s="17">
        <v>913</v>
      </c>
      <c r="C970" s="21" t="s">
        <v>289</v>
      </c>
      <c r="D970" s="21" t="s">
        <v>264</v>
      </c>
      <c r="E970" s="21" t="s">
        <v>638</v>
      </c>
      <c r="F970" s="21" t="s">
        <v>260</v>
      </c>
      <c r="G970" s="28">
        <v>5371.7</v>
      </c>
      <c r="H970" s="209"/>
    </row>
    <row r="971" spans="1:12" ht="31.5" x14ac:dyDescent="0.25">
      <c r="A971" s="26" t="s">
        <v>182</v>
      </c>
      <c r="B971" s="17">
        <v>913</v>
      </c>
      <c r="C971" s="21" t="s">
        <v>289</v>
      </c>
      <c r="D971" s="21" t="s">
        <v>264</v>
      </c>
      <c r="E971" s="21" t="s">
        <v>638</v>
      </c>
      <c r="F971" s="21" t="s">
        <v>183</v>
      </c>
      <c r="G971" s="27">
        <f t="shared" ref="G971" si="162">G972</f>
        <v>928.1</v>
      </c>
      <c r="H971" s="209"/>
    </row>
    <row r="972" spans="1:12" ht="47.25" x14ac:dyDescent="0.25">
      <c r="A972" s="26" t="s">
        <v>184</v>
      </c>
      <c r="B972" s="17">
        <v>913</v>
      </c>
      <c r="C972" s="21" t="s">
        <v>289</v>
      </c>
      <c r="D972" s="21" t="s">
        <v>264</v>
      </c>
      <c r="E972" s="21" t="s">
        <v>638</v>
      </c>
      <c r="F972" s="21" t="s">
        <v>185</v>
      </c>
      <c r="G972" s="28">
        <f>898.3+28.1+1.7</f>
        <v>928.1</v>
      </c>
      <c r="H972" s="132"/>
      <c r="I972" s="153"/>
    </row>
    <row r="973" spans="1:12" ht="15.75" x14ac:dyDescent="0.25">
      <c r="A973" s="26" t="s">
        <v>186</v>
      </c>
      <c r="B973" s="17">
        <v>913</v>
      </c>
      <c r="C973" s="21" t="s">
        <v>289</v>
      </c>
      <c r="D973" s="21" t="s">
        <v>264</v>
      </c>
      <c r="E973" s="21" t="s">
        <v>638</v>
      </c>
      <c r="F973" s="21" t="s">
        <v>196</v>
      </c>
      <c r="G973" s="27">
        <f t="shared" ref="G973" si="163">G974</f>
        <v>10</v>
      </c>
      <c r="H973" s="209"/>
    </row>
    <row r="974" spans="1:12" ht="15.75" x14ac:dyDescent="0.25">
      <c r="A974" s="26" t="s">
        <v>620</v>
      </c>
      <c r="B974" s="17">
        <v>913</v>
      </c>
      <c r="C974" s="21" t="s">
        <v>289</v>
      </c>
      <c r="D974" s="21" t="s">
        <v>264</v>
      </c>
      <c r="E974" s="21" t="s">
        <v>638</v>
      </c>
      <c r="F974" s="21" t="s">
        <v>189</v>
      </c>
      <c r="G974" s="27">
        <v>10</v>
      </c>
      <c r="H974" s="209"/>
    </row>
    <row r="975" spans="1:12" ht="18.75" x14ac:dyDescent="0.3">
      <c r="A975" s="50" t="s">
        <v>639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09"/>
      <c r="L975" s="142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40"/>
    </row>
    <row r="977" spans="1:12" ht="18.75" x14ac:dyDescent="0.3">
      <c r="A977" s="52"/>
      <c r="B977" s="52"/>
      <c r="C977" s="53"/>
      <c r="D977" s="53"/>
      <c r="E977" s="53"/>
      <c r="F977" s="128" t="s">
        <v>640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8" t="s">
        <v>641</v>
      </c>
      <c r="G978" s="54">
        <f>G98+G180+G186+G208+G214+G261+G273+G338+G444+G480+G494+G527+G581+G640+G694+G787+G827+G879+G623+G959</f>
        <v>204531.10000000003</v>
      </c>
      <c r="I978" s="144"/>
    </row>
    <row r="979" spans="1:12" ht="15.75" x14ac:dyDescent="0.25">
      <c r="A979" s="52"/>
      <c r="B979" s="52"/>
      <c r="C979" s="53"/>
      <c r="D979" s="55"/>
      <c r="E979" s="55"/>
      <c r="F979" s="55"/>
      <c r="G979" s="129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1"/>
      <c r="I981" s="145">
        <f>'прил.№2 Рд,пр'!D13</f>
        <v>118780.09999999998</v>
      </c>
      <c r="L981" s="131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1"/>
      <c r="I982" s="145">
        <v>0</v>
      </c>
      <c r="L982" s="131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1"/>
      <c r="I983" s="145">
        <f>'прил.№2 Рд,пр'!D22</f>
        <v>7209.4000000000005</v>
      </c>
      <c r="L983" s="131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1"/>
      <c r="I984" s="145">
        <f>'прил.№2 Рд,пр'!D24</f>
        <v>20153.2</v>
      </c>
      <c r="L984" s="131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1"/>
      <c r="I985" s="145">
        <f>'прил.№2 Рд,пр'!D29</f>
        <v>109165.59999999999</v>
      </c>
      <c r="L985" s="131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1"/>
      <c r="I986" s="145">
        <f>'прил.№2 Рд,пр'!D34</f>
        <v>290484.59999999998</v>
      </c>
      <c r="L986" s="131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1"/>
      <c r="I987" s="145">
        <f>'прил.№2 Рд,пр'!D40</f>
        <v>61699.8</v>
      </c>
      <c r="L987" s="131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1"/>
      <c r="I988" s="145">
        <f>'прил.№2 Рд,пр'!D43</f>
        <v>16937</v>
      </c>
      <c r="L988" s="131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1"/>
      <c r="I989" s="145">
        <f>'прил.№2 Рд,пр'!D48</f>
        <v>34702.699999999997</v>
      </c>
      <c r="L989" s="131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1"/>
      <c r="I990" s="145">
        <f>'прил.№2 Рд,пр'!D51</f>
        <v>6309.8</v>
      </c>
      <c r="L990" s="131"/>
    </row>
    <row r="991" spans="1:12" ht="15.75" x14ac:dyDescent="0.25">
      <c r="A991" s="52"/>
      <c r="B991" s="52"/>
      <c r="C991" s="57"/>
      <c r="D991" s="55"/>
      <c r="E991" s="55"/>
      <c r="F991" s="55"/>
      <c r="G991" s="130">
        <f>SUM(G981:G990)</f>
        <v>665442.19000000018</v>
      </c>
      <c r="H991" s="131"/>
      <c r="I991" s="145">
        <f>'прил.№2 Рд,пр'!D53</f>
        <v>665442.19999999995</v>
      </c>
      <c r="L991" s="131"/>
    </row>
    <row r="992" spans="1:12" x14ac:dyDescent="0.25">
      <c r="G992" s="131"/>
      <c r="H992" s="131"/>
      <c r="I992" s="145"/>
    </row>
    <row r="993" spans="4:9" x14ac:dyDescent="0.25">
      <c r="D993" s="1" t="s">
        <v>642</v>
      </c>
      <c r="E993" s="1">
        <v>50</v>
      </c>
      <c r="G993" s="131">
        <f>G778</f>
        <v>15124.1</v>
      </c>
      <c r="H993" s="131"/>
      <c r="I993" s="145"/>
    </row>
    <row r="994" spans="4:9" x14ac:dyDescent="0.25">
      <c r="E994" s="1">
        <v>51</v>
      </c>
      <c r="G994" s="131">
        <f>G390</f>
        <v>3693</v>
      </c>
      <c r="H994" s="131"/>
      <c r="I994" s="145"/>
    </row>
    <row r="995" spans="4:9" x14ac:dyDescent="0.25">
      <c r="E995" s="1">
        <v>52</v>
      </c>
      <c r="G995" s="131">
        <f>G508+G547+G634+G613</f>
        <v>89244.700000000012</v>
      </c>
      <c r="H995" s="131"/>
      <c r="I995" s="145"/>
    </row>
    <row r="996" spans="4:9" x14ac:dyDescent="0.25">
      <c r="E996" s="1">
        <v>53</v>
      </c>
      <c r="G996" s="131">
        <f>G57</f>
        <v>250</v>
      </c>
      <c r="H996" s="131"/>
      <c r="I996" s="145"/>
    </row>
    <row r="997" spans="4:9" x14ac:dyDescent="0.25">
      <c r="E997" s="1">
        <v>54</v>
      </c>
      <c r="G997" s="131">
        <f>G61+G954</f>
        <v>654</v>
      </c>
      <c r="H997" s="131"/>
      <c r="I997" s="145"/>
    </row>
    <row r="998" spans="4:9" x14ac:dyDescent="0.25">
      <c r="E998" s="1">
        <v>55</v>
      </c>
      <c r="G998" s="131">
        <f>G203</f>
        <v>10</v>
      </c>
      <c r="H998" s="131"/>
      <c r="I998" s="145"/>
    </row>
    <row r="999" spans="4:9" x14ac:dyDescent="0.25">
      <c r="E999" s="1">
        <v>56</v>
      </c>
      <c r="G999" s="131">
        <f>G73</f>
        <v>80</v>
      </c>
      <c r="H999" s="131"/>
      <c r="I999" s="145"/>
    </row>
    <row r="1000" spans="4:9" x14ac:dyDescent="0.25">
      <c r="E1000" s="1">
        <v>57</v>
      </c>
      <c r="G1000" s="131">
        <f>G726+G706+G676</f>
        <v>36478.9</v>
      </c>
      <c r="H1000" s="131"/>
      <c r="I1000" s="145"/>
    </row>
    <row r="1001" spans="4:9" x14ac:dyDescent="0.25">
      <c r="E1001" s="1">
        <v>58</v>
      </c>
      <c r="G1001" s="131">
        <f>G279+G237</f>
        <v>58528.700000000004</v>
      </c>
      <c r="H1001" s="131"/>
      <c r="I1001" s="145"/>
    </row>
    <row r="1002" spans="4:9" x14ac:dyDescent="0.25">
      <c r="E1002" s="1">
        <v>59</v>
      </c>
      <c r="G1002" s="131">
        <f>G333</f>
        <v>200</v>
      </c>
      <c r="H1002" s="131"/>
      <c r="I1002" s="145"/>
    </row>
    <row r="1003" spans="4:9" x14ac:dyDescent="0.25">
      <c r="E1003" s="1">
        <v>60</v>
      </c>
      <c r="G1003" s="131">
        <f>G848</f>
        <v>12375.499999999998</v>
      </c>
      <c r="H1003" s="131"/>
      <c r="I1003" s="145"/>
    </row>
    <row r="1004" spans="4:9" x14ac:dyDescent="0.25">
      <c r="E1004" s="1">
        <v>61</v>
      </c>
      <c r="G1004" s="131">
        <f>G86</f>
        <v>120</v>
      </c>
      <c r="H1004" s="131"/>
      <c r="I1004" s="145"/>
    </row>
    <row r="1005" spans="4:9" x14ac:dyDescent="0.25">
      <c r="E1005" s="1">
        <v>62</v>
      </c>
      <c r="G1005" s="131">
        <f>G801</f>
        <v>5567.9000000000005</v>
      </c>
      <c r="H1005" s="131"/>
      <c r="I1005" s="145"/>
    </row>
    <row r="1006" spans="4:9" x14ac:dyDescent="0.25">
      <c r="E1006" s="1">
        <v>63</v>
      </c>
      <c r="G1006" s="131">
        <f>G359+G646</f>
        <v>145</v>
      </c>
      <c r="H1006" s="131"/>
      <c r="I1006" s="145"/>
    </row>
    <row r="1007" spans="4:9" x14ac:dyDescent="0.25">
      <c r="E1007" s="1">
        <v>64</v>
      </c>
      <c r="G1007" s="131">
        <f>G90+G369</f>
        <v>34</v>
      </c>
      <c r="H1007" s="131"/>
      <c r="I1007" s="145"/>
    </row>
    <row r="1008" spans="4:9" x14ac:dyDescent="0.25">
      <c r="E1008" s="1">
        <v>65</v>
      </c>
      <c r="G1008" s="131">
        <f>G874</f>
        <v>600</v>
      </c>
      <c r="H1008" s="131"/>
      <c r="I1008" s="145"/>
    </row>
    <row r="1009" spans="7:9" x14ac:dyDescent="0.25">
      <c r="G1009" s="131">
        <f>SUM(G993:G1008)</f>
        <v>223105.80000000002</v>
      </c>
      <c r="H1009" s="131"/>
      <c r="I1009" s="145"/>
    </row>
    <row r="1010" spans="7:9" x14ac:dyDescent="0.25">
      <c r="G1010" s="131"/>
      <c r="H1010" s="131"/>
      <c r="I1010" s="145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5"/>
  <sheetViews>
    <sheetView zoomScale="75" zoomScaleNormal="75" workbookViewId="0">
      <selection activeCell="M1" sqref="M1:M5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0.85546875" style="1" hidden="1" customWidth="1"/>
    <col min="8" max="8" width="11.28515625" hidden="1" customWidth="1"/>
    <col min="9" max="9" width="11.5703125" style="133" hidden="1" customWidth="1"/>
    <col min="10" max="10" width="10" hidden="1" customWidth="1"/>
    <col min="11" max="11" width="10.140625" hidden="1" customWidth="1"/>
    <col min="12" max="14" width="12.42578125" style="1" customWidth="1"/>
  </cols>
  <sheetData>
    <row r="1" spans="1:14" ht="18.75" x14ac:dyDescent="0.3">
      <c r="M1" s="345" t="s">
        <v>159</v>
      </c>
      <c r="N1" s="275"/>
    </row>
    <row r="2" spans="1:14" ht="18.75" x14ac:dyDescent="0.3">
      <c r="M2" s="345" t="s">
        <v>1050</v>
      </c>
      <c r="N2" s="275"/>
    </row>
    <row r="3" spans="1:14" ht="18.75" x14ac:dyDescent="0.3">
      <c r="D3" s="1"/>
      <c r="F3" s="59"/>
      <c r="M3" s="345" t="s">
        <v>1052</v>
      </c>
      <c r="N3" s="275"/>
    </row>
    <row r="4" spans="1:14" ht="16.5" x14ac:dyDescent="0.25">
      <c r="D4" s="1"/>
      <c r="F4" s="59"/>
      <c r="M4" s="345" t="s">
        <v>1051</v>
      </c>
      <c r="N4" s="316"/>
    </row>
    <row r="5" spans="1:14" ht="16.5" x14ac:dyDescent="0.25">
      <c r="D5" s="1"/>
      <c r="F5" s="59"/>
      <c r="M5" s="345" t="s">
        <v>1053</v>
      </c>
      <c r="N5" s="316"/>
    </row>
    <row r="6" spans="1:14" ht="18.75" x14ac:dyDescent="0.3">
      <c r="D6" s="1"/>
      <c r="E6" s="1"/>
      <c r="F6" s="73"/>
      <c r="G6" s="74"/>
      <c r="L6" s="275"/>
      <c r="M6" s="275"/>
      <c r="N6" s="275"/>
    </row>
    <row r="7" spans="1:14" ht="38.25" customHeight="1" x14ac:dyDescent="0.25">
      <c r="A7" s="338" t="s">
        <v>1029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</row>
    <row r="8" spans="1:14" ht="16.5" x14ac:dyDescent="0.25">
      <c r="A8" s="289"/>
      <c r="B8" s="149"/>
      <c r="C8" s="149"/>
      <c r="D8" s="75"/>
      <c r="E8" s="75"/>
      <c r="F8" s="289"/>
      <c r="G8" s="147"/>
    </row>
    <row r="9" spans="1:14" ht="15.75" x14ac:dyDescent="0.25">
      <c r="A9" s="73"/>
      <c r="B9" s="73"/>
      <c r="C9" s="73"/>
      <c r="D9" s="73"/>
      <c r="E9" s="76"/>
      <c r="F9" s="76"/>
      <c r="G9" s="77" t="s">
        <v>1</v>
      </c>
      <c r="L9" s="265"/>
      <c r="M9" s="265"/>
      <c r="N9" s="265"/>
    </row>
    <row r="10" spans="1:14" ht="78.75" x14ac:dyDescent="0.25">
      <c r="A10" s="78" t="s">
        <v>645</v>
      </c>
      <c r="B10" s="78" t="s">
        <v>694</v>
      </c>
      <c r="C10" s="78" t="s">
        <v>695</v>
      </c>
      <c r="D10" s="78" t="s">
        <v>696</v>
      </c>
      <c r="E10" s="78" t="s">
        <v>697</v>
      </c>
      <c r="F10" s="78" t="s">
        <v>698</v>
      </c>
      <c r="G10" s="6" t="s">
        <v>4</v>
      </c>
      <c r="H10" s="215" t="s">
        <v>860</v>
      </c>
      <c r="I10" s="216" t="s">
        <v>871</v>
      </c>
      <c r="J10" s="216" t="s">
        <v>872</v>
      </c>
      <c r="K10" s="216" t="s">
        <v>873</v>
      </c>
      <c r="L10" s="315" t="s">
        <v>1027</v>
      </c>
      <c r="M10" s="315" t="s">
        <v>1028</v>
      </c>
      <c r="N10" s="315" t="s">
        <v>1026</v>
      </c>
    </row>
    <row r="11" spans="1:14" ht="15.75" x14ac:dyDescent="0.25">
      <c r="A11" s="78">
        <v>1</v>
      </c>
      <c r="B11" s="78">
        <v>2</v>
      </c>
      <c r="C11" s="78">
        <v>3</v>
      </c>
      <c r="D11" s="78">
        <v>4</v>
      </c>
      <c r="E11" s="78">
        <v>5</v>
      </c>
      <c r="F11" s="78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7</v>
      </c>
      <c r="M11" s="6">
        <v>8</v>
      </c>
      <c r="N11" s="6">
        <v>9</v>
      </c>
    </row>
    <row r="12" spans="1:14" ht="47.25" x14ac:dyDescent="0.25">
      <c r="A12" s="64" t="s">
        <v>989</v>
      </c>
      <c r="B12" s="8" t="s">
        <v>562</v>
      </c>
      <c r="C12" s="8"/>
      <c r="D12" s="8"/>
      <c r="E12" s="8"/>
      <c r="F12" s="8"/>
      <c r="G12" s="4">
        <f>G15</f>
        <v>15124.1</v>
      </c>
      <c r="H12" s="4">
        <f t="shared" ref="H12:L12" si="0">H15</f>
        <v>15124.1</v>
      </c>
      <c r="I12" s="4">
        <f t="shared" si="0"/>
        <v>15124.1</v>
      </c>
      <c r="J12" s="4">
        <f t="shared" si="0"/>
        <v>15124.1</v>
      </c>
      <c r="K12" s="4">
        <f t="shared" si="0"/>
        <v>15124.1</v>
      </c>
      <c r="L12" s="4">
        <f t="shared" si="0"/>
        <v>6895.3</v>
      </c>
      <c r="M12" s="4">
        <f t="shared" ref="M12" si="1">M15</f>
        <v>3675.9</v>
      </c>
      <c r="N12" s="4">
        <f>M12/L12*100</f>
        <v>53.310225805983791</v>
      </c>
    </row>
    <row r="13" spans="1:14" ht="15.75" x14ac:dyDescent="0.25">
      <c r="A13" s="31" t="s">
        <v>283</v>
      </c>
      <c r="B13" s="42" t="s">
        <v>562</v>
      </c>
      <c r="C13" s="42" t="s">
        <v>201</v>
      </c>
      <c r="D13" s="42"/>
      <c r="E13" s="42"/>
      <c r="F13" s="42"/>
      <c r="G13" s="7">
        <f>G14</f>
        <v>15124.1</v>
      </c>
      <c r="H13" s="7">
        <f t="shared" ref="H13:M14" si="2">H14</f>
        <v>15124.1</v>
      </c>
      <c r="I13" s="7">
        <f t="shared" si="2"/>
        <v>15124.1</v>
      </c>
      <c r="J13" s="7">
        <f t="shared" si="2"/>
        <v>15124.1</v>
      </c>
      <c r="K13" s="7">
        <f t="shared" si="2"/>
        <v>15124.1</v>
      </c>
      <c r="L13" s="7">
        <f t="shared" si="2"/>
        <v>6895.3</v>
      </c>
      <c r="M13" s="7">
        <f t="shared" si="2"/>
        <v>3675.9</v>
      </c>
      <c r="N13" s="7">
        <f t="shared" ref="N13:N76" si="3">M13/L13*100</f>
        <v>53.310225805983791</v>
      </c>
    </row>
    <row r="14" spans="1:14" ht="15.75" x14ac:dyDescent="0.25">
      <c r="A14" s="31" t="s">
        <v>560</v>
      </c>
      <c r="B14" s="42" t="s">
        <v>562</v>
      </c>
      <c r="C14" s="42" t="s">
        <v>201</v>
      </c>
      <c r="D14" s="42" t="s">
        <v>270</v>
      </c>
      <c r="E14" s="42"/>
      <c r="F14" s="42"/>
      <c r="G14" s="7">
        <f>G15</f>
        <v>15124.1</v>
      </c>
      <c r="H14" s="7">
        <f t="shared" si="2"/>
        <v>15124.1</v>
      </c>
      <c r="I14" s="7">
        <f t="shared" si="2"/>
        <v>15124.1</v>
      </c>
      <c r="J14" s="7">
        <f t="shared" si="2"/>
        <v>15124.1</v>
      </c>
      <c r="K14" s="7">
        <f t="shared" si="2"/>
        <v>15124.1</v>
      </c>
      <c r="L14" s="7">
        <f t="shared" si="2"/>
        <v>6895.3</v>
      </c>
      <c r="M14" s="7">
        <f t="shared" si="2"/>
        <v>3675.9</v>
      </c>
      <c r="N14" s="7">
        <f t="shared" si="3"/>
        <v>53.310225805983791</v>
      </c>
    </row>
    <row r="15" spans="1:14" ht="15.75" x14ac:dyDescent="0.25">
      <c r="A15" s="31" t="s">
        <v>563</v>
      </c>
      <c r="B15" s="42" t="s">
        <v>564</v>
      </c>
      <c r="C15" s="42" t="s">
        <v>201</v>
      </c>
      <c r="D15" s="42" t="s">
        <v>270</v>
      </c>
      <c r="E15" s="42"/>
      <c r="F15" s="42"/>
      <c r="G15" s="7">
        <f>G16+G18</f>
        <v>15124.1</v>
      </c>
      <c r="H15" s="7">
        <f t="shared" ref="H15:L15" si="4">H16+H18</f>
        <v>15124.1</v>
      </c>
      <c r="I15" s="7">
        <f t="shared" si="4"/>
        <v>15124.1</v>
      </c>
      <c r="J15" s="7">
        <f t="shared" si="4"/>
        <v>15124.1</v>
      </c>
      <c r="K15" s="7">
        <f t="shared" si="4"/>
        <v>15124.1</v>
      </c>
      <c r="L15" s="7">
        <f t="shared" si="4"/>
        <v>6895.3</v>
      </c>
      <c r="M15" s="7">
        <f t="shared" ref="M15" si="5">M16+M18</f>
        <v>3675.9</v>
      </c>
      <c r="N15" s="7">
        <f t="shared" si="3"/>
        <v>53.310225805983791</v>
      </c>
    </row>
    <row r="16" spans="1:14" ht="31.5" x14ac:dyDescent="0.25">
      <c r="A16" s="31" t="s">
        <v>182</v>
      </c>
      <c r="B16" s="42" t="s">
        <v>564</v>
      </c>
      <c r="C16" s="42" t="s">
        <v>201</v>
      </c>
      <c r="D16" s="42" t="s">
        <v>270</v>
      </c>
      <c r="E16" s="42" t="s">
        <v>183</v>
      </c>
      <c r="F16" s="42"/>
      <c r="G16" s="7">
        <f>G17</f>
        <v>15108.1</v>
      </c>
      <c r="H16" s="7">
        <f t="shared" ref="H16:M16" si="6">H17</f>
        <v>15108.1</v>
      </c>
      <c r="I16" s="7">
        <f t="shared" si="6"/>
        <v>15108.1</v>
      </c>
      <c r="J16" s="7">
        <f t="shared" si="6"/>
        <v>15108.1</v>
      </c>
      <c r="K16" s="7">
        <f t="shared" si="6"/>
        <v>15108.1</v>
      </c>
      <c r="L16" s="7">
        <f t="shared" si="6"/>
        <v>6879.3</v>
      </c>
      <c r="M16" s="7">
        <f t="shared" si="6"/>
        <v>3675.9</v>
      </c>
      <c r="N16" s="7">
        <f t="shared" si="3"/>
        <v>53.434215690549912</v>
      </c>
    </row>
    <row r="17" spans="1:14" ht="31.5" x14ac:dyDescent="0.25">
      <c r="A17" s="31" t="s">
        <v>184</v>
      </c>
      <c r="B17" s="42" t="s">
        <v>564</v>
      </c>
      <c r="C17" s="42" t="s">
        <v>201</v>
      </c>
      <c r="D17" s="42" t="s">
        <v>270</v>
      </c>
      <c r="E17" s="42" t="s">
        <v>185</v>
      </c>
      <c r="F17" s="42"/>
      <c r="G17" s="7">
        <f>'Прил.№4 ведомств.'!G905</f>
        <v>15108.1</v>
      </c>
      <c r="H17" s="7">
        <f>'Прил.№4 ведомств.'!I905</f>
        <v>15108.1</v>
      </c>
      <c r="I17" s="7">
        <f>'Прил.№4 ведомств.'!J905</f>
        <v>15108.1</v>
      </c>
      <c r="J17" s="7">
        <f>'Прил.№4 ведомств.'!K905</f>
        <v>15108.1</v>
      </c>
      <c r="K17" s="7">
        <f>'Прил.№4 ведомств.'!L905</f>
        <v>15108.1</v>
      </c>
      <c r="L17" s="7">
        <f>'Прил.№4 ведомств.'!M905</f>
        <v>6879.3</v>
      </c>
      <c r="M17" s="7">
        <f>'Прил.№4 ведомств.'!N905</f>
        <v>3675.9</v>
      </c>
      <c r="N17" s="7">
        <f t="shared" si="3"/>
        <v>53.434215690549912</v>
      </c>
    </row>
    <row r="18" spans="1:14" ht="15.75" x14ac:dyDescent="0.25">
      <c r="A18" s="26" t="s">
        <v>186</v>
      </c>
      <c r="B18" s="42" t="s">
        <v>564</v>
      </c>
      <c r="C18" s="42" t="s">
        <v>201</v>
      </c>
      <c r="D18" s="42" t="s">
        <v>270</v>
      </c>
      <c r="E18" s="42" t="s">
        <v>196</v>
      </c>
      <c r="F18" s="42"/>
      <c r="G18" s="7">
        <f>G19</f>
        <v>16</v>
      </c>
      <c r="H18" s="7">
        <f t="shared" ref="H18:M18" si="7">H19</f>
        <v>16</v>
      </c>
      <c r="I18" s="7">
        <f t="shared" si="7"/>
        <v>16</v>
      </c>
      <c r="J18" s="7">
        <f t="shared" si="7"/>
        <v>16</v>
      </c>
      <c r="K18" s="7">
        <f t="shared" si="7"/>
        <v>16</v>
      </c>
      <c r="L18" s="7">
        <f t="shared" si="7"/>
        <v>16</v>
      </c>
      <c r="M18" s="7">
        <f t="shared" si="7"/>
        <v>0</v>
      </c>
      <c r="N18" s="7">
        <f t="shared" si="3"/>
        <v>0</v>
      </c>
    </row>
    <row r="19" spans="1:14" ht="15.75" x14ac:dyDescent="0.25">
      <c r="A19" s="26" t="s">
        <v>188</v>
      </c>
      <c r="B19" s="42" t="s">
        <v>564</v>
      </c>
      <c r="C19" s="42" t="s">
        <v>201</v>
      </c>
      <c r="D19" s="42" t="s">
        <v>270</v>
      </c>
      <c r="E19" s="42" t="s">
        <v>189</v>
      </c>
      <c r="F19" s="42"/>
      <c r="G19" s="7">
        <f>'Прил.№4 ведомств.'!G907</f>
        <v>16</v>
      </c>
      <c r="H19" s="7">
        <f>'Прил.№4 ведомств.'!I907</f>
        <v>16</v>
      </c>
      <c r="I19" s="7">
        <f>'Прил.№4 ведомств.'!J907</f>
        <v>16</v>
      </c>
      <c r="J19" s="7">
        <f>'Прил.№4 ведомств.'!K907</f>
        <v>16</v>
      </c>
      <c r="K19" s="7">
        <f>'Прил.№4 ведомств.'!L907</f>
        <v>16</v>
      </c>
      <c r="L19" s="7">
        <f>'Прил.№4 ведомств.'!M907</f>
        <v>16</v>
      </c>
      <c r="M19" s="7">
        <f>'Прил.№4 ведомств.'!N907</f>
        <v>0</v>
      </c>
      <c r="N19" s="7">
        <f t="shared" si="3"/>
        <v>0</v>
      </c>
    </row>
    <row r="20" spans="1:14" ht="31.5" x14ac:dyDescent="0.25">
      <c r="A20" s="47" t="s">
        <v>700</v>
      </c>
      <c r="B20" s="42" t="s">
        <v>562</v>
      </c>
      <c r="C20" s="42" t="s">
        <v>201</v>
      </c>
      <c r="D20" s="42" t="s">
        <v>270</v>
      </c>
      <c r="E20" s="42"/>
      <c r="F20" s="42" t="s">
        <v>701</v>
      </c>
      <c r="G20" s="7">
        <f>G15</f>
        <v>15124.1</v>
      </c>
      <c r="H20" s="7">
        <f t="shared" ref="H20:L20" si="8">H15</f>
        <v>15124.1</v>
      </c>
      <c r="I20" s="7">
        <f t="shared" si="8"/>
        <v>15124.1</v>
      </c>
      <c r="J20" s="7">
        <f t="shared" si="8"/>
        <v>15124.1</v>
      </c>
      <c r="K20" s="7">
        <f t="shared" si="8"/>
        <v>15124.1</v>
      </c>
      <c r="L20" s="7">
        <f t="shared" si="8"/>
        <v>6895.3</v>
      </c>
      <c r="M20" s="7">
        <f t="shared" ref="M20" si="9">M15</f>
        <v>3675.9</v>
      </c>
      <c r="N20" s="7">
        <f t="shared" si="3"/>
        <v>53.310225805983791</v>
      </c>
    </row>
    <row r="21" spans="1:14" ht="47.25" x14ac:dyDescent="0.25">
      <c r="A21" s="64" t="s">
        <v>394</v>
      </c>
      <c r="B21" s="8" t="s">
        <v>395</v>
      </c>
      <c r="C21" s="8"/>
      <c r="D21" s="8"/>
      <c r="E21" s="8"/>
      <c r="F21" s="8"/>
      <c r="G21" s="68">
        <f t="shared" ref="G21:L21" si="10">G22+G37+G44+G51+G60+G67+G74+G100</f>
        <v>3693</v>
      </c>
      <c r="H21" s="68">
        <f t="shared" si="10"/>
        <v>3693</v>
      </c>
      <c r="I21" s="68">
        <f t="shared" si="10"/>
        <v>5185</v>
      </c>
      <c r="J21" s="68">
        <f t="shared" si="10"/>
        <v>5300</v>
      </c>
      <c r="K21" s="68">
        <f t="shared" si="10"/>
        <v>5345</v>
      </c>
      <c r="L21" s="68">
        <f t="shared" si="10"/>
        <v>3753</v>
      </c>
      <c r="M21" s="68">
        <f t="shared" ref="M21" si="11">M22+M37+M44+M51+M60+M67+M74+M100</f>
        <v>2032.3</v>
      </c>
      <c r="N21" s="4">
        <f t="shared" si="3"/>
        <v>54.151345590194509</v>
      </c>
    </row>
    <row r="22" spans="1:14" ht="31.5" x14ac:dyDescent="0.25">
      <c r="A22" s="64" t="s">
        <v>702</v>
      </c>
      <c r="B22" s="8" t="s">
        <v>397</v>
      </c>
      <c r="C22" s="8"/>
      <c r="D22" s="8"/>
      <c r="E22" s="8"/>
      <c r="F22" s="8"/>
      <c r="G22" s="68">
        <f>G23</f>
        <v>935</v>
      </c>
      <c r="H22" s="68">
        <f t="shared" ref="H22:M23" si="12">H23</f>
        <v>935</v>
      </c>
      <c r="I22" s="68">
        <f t="shared" si="12"/>
        <v>985</v>
      </c>
      <c r="J22" s="68">
        <f t="shared" si="12"/>
        <v>1020</v>
      </c>
      <c r="K22" s="68">
        <f t="shared" si="12"/>
        <v>1035</v>
      </c>
      <c r="L22" s="68">
        <f t="shared" si="12"/>
        <v>1000</v>
      </c>
      <c r="M22" s="68">
        <f t="shared" si="12"/>
        <v>597.90000000000009</v>
      </c>
      <c r="N22" s="4">
        <f t="shared" si="3"/>
        <v>59.790000000000006</v>
      </c>
    </row>
    <row r="23" spans="1:14" ht="15.75" x14ac:dyDescent="0.25">
      <c r="A23" s="47" t="s">
        <v>294</v>
      </c>
      <c r="B23" s="42" t="s">
        <v>397</v>
      </c>
      <c r="C23" s="42" t="s">
        <v>295</v>
      </c>
      <c r="D23" s="42"/>
      <c r="E23" s="42"/>
      <c r="F23" s="42"/>
      <c r="G23" s="11">
        <f>G24</f>
        <v>935</v>
      </c>
      <c r="H23" s="11">
        <f t="shared" si="12"/>
        <v>935</v>
      </c>
      <c r="I23" s="11">
        <f t="shared" si="12"/>
        <v>985</v>
      </c>
      <c r="J23" s="11">
        <f t="shared" si="12"/>
        <v>1020</v>
      </c>
      <c r="K23" s="11">
        <f t="shared" si="12"/>
        <v>1035</v>
      </c>
      <c r="L23" s="11">
        <f t="shared" si="12"/>
        <v>1000</v>
      </c>
      <c r="M23" s="11">
        <f t="shared" si="12"/>
        <v>597.90000000000009</v>
      </c>
      <c r="N23" s="7">
        <f t="shared" si="3"/>
        <v>59.790000000000006</v>
      </c>
    </row>
    <row r="24" spans="1:14" ht="15.75" x14ac:dyDescent="0.25">
      <c r="A24" s="47" t="s">
        <v>303</v>
      </c>
      <c r="B24" s="42" t="s">
        <v>397</v>
      </c>
      <c r="C24" s="42" t="s">
        <v>295</v>
      </c>
      <c r="D24" s="42" t="s">
        <v>266</v>
      </c>
      <c r="E24" s="42"/>
      <c r="F24" s="42"/>
      <c r="G24" s="11">
        <f>G25+G33</f>
        <v>935</v>
      </c>
      <c r="H24" s="11">
        <f t="shared" ref="H24:L24" si="13">H25+H33</f>
        <v>935</v>
      </c>
      <c r="I24" s="11">
        <f t="shared" si="13"/>
        <v>985</v>
      </c>
      <c r="J24" s="11">
        <f t="shared" si="13"/>
        <v>1020</v>
      </c>
      <c r="K24" s="11">
        <f t="shared" si="13"/>
        <v>1035</v>
      </c>
      <c r="L24" s="11">
        <f t="shared" si="13"/>
        <v>1000</v>
      </c>
      <c r="M24" s="11">
        <f t="shared" ref="M24" si="14">M25+M33</f>
        <v>597.90000000000009</v>
      </c>
      <c r="N24" s="7">
        <f t="shared" si="3"/>
        <v>59.790000000000006</v>
      </c>
    </row>
    <row r="25" spans="1:14" ht="31.5" x14ac:dyDescent="0.25">
      <c r="A25" s="31" t="s">
        <v>208</v>
      </c>
      <c r="B25" s="21" t="s">
        <v>398</v>
      </c>
      <c r="C25" s="42" t="s">
        <v>295</v>
      </c>
      <c r="D25" s="42" t="s">
        <v>266</v>
      </c>
      <c r="E25" s="42"/>
      <c r="F25" s="42"/>
      <c r="G25" s="11">
        <f>G28+G31</f>
        <v>666.4</v>
      </c>
      <c r="H25" s="11">
        <f t="shared" ref="H25:K25" si="15">H28+H31</f>
        <v>666.4</v>
      </c>
      <c r="I25" s="11">
        <f t="shared" si="15"/>
        <v>716.4</v>
      </c>
      <c r="J25" s="11">
        <f t="shared" si="15"/>
        <v>751.4</v>
      </c>
      <c r="K25" s="11">
        <f t="shared" si="15"/>
        <v>766.4</v>
      </c>
      <c r="L25" s="11">
        <f>L28+L31+L26</f>
        <v>731.4</v>
      </c>
      <c r="M25" s="11">
        <f t="shared" ref="M25" si="16">M28+M31+M26</f>
        <v>329.3</v>
      </c>
      <c r="N25" s="7">
        <f t="shared" si="3"/>
        <v>45.023243095433415</v>
      </c>
    </row>
    <row r="26" spans="1:14" ht="78.75" x14ac:dyDescent="0.25">
      <c r="A26" s="26" t="s">
        <v>178</v>
      </c>
      <c r="B26" s="21" t="s">
        <v>398</v>
      </c>
      <c r="C26" s="42" t="s">
        <v>295</v>
      </c>
      <c r="D26" s="42" t="s">
        <v>266</v>
      </c>
      <c r="E26" s="42" t="s">
        <v>179</v>
      </c>
      <c r="F26" s="42"/>
      <c r="G26" s="11">
        <f>G27</f>
        <v>0</v>
      </c>
      <c r="H26" s="11">
        <f t="shared" ref="H26:M26" si="17">H27</f>
        <v>0</v>
      </c>
      <c r="I26" s="11">
        <f t="shared" si="17"/>
        <v>0</v>
      </c>
      <c r="J26" s="11">
        <f t="shared" si="17"/>
        <v>0</v>
      </c>
      <c r="K26" s="11">
        <f t="shared" si="17"/>
        <v>0</v>
      </c>
      <c r="L26" s="11">
        <f t="shared" si="17"/>
        <v>40</v>
      </c>
      <c r="M26" s="11">
        <f t="shared" si="17"/>
        <v>5</v>
      </c>
      <c r="N26" s="7">
        <f t="shared" si="3"/>
        <v>12.5</v>
      </c>
    </row>
    <row r="27" spans="1:14" ht="15.75" x14ac:dyDescent="0.25">
      <c r="A27" s="26" t="s">
        <v>393</v>
      </c>
      <c r="B27" s="21" t="s">
        <v>398</v>
      </c>
      <c r="C27" s="42" t="s">
        <v>295</v>
      </c>
      <c r="D27" s="42" t="s">
        <v>266</v>
      </c>
      <c r="E27" s="42" t="s">
        <v>260</v>
      </c>
      <c r="F27" s="42"/>
      <c r="G27" s="11"/>
      <c r="H27" s="11"/>
      <c r="I27" s="11"/>
      <c r="J27" s="11"/>
      <c r="K27" s="11"/>
      <c r="L27" s="11">
        <f>'Прил.№4 ведомств.'!M459</f>
        <v>40</v>
      </c>
      <c r="M27" s="11">
        <f>'Прил.№4 ведомств.'!N459</f>
        <v>5</v>
      </c>
      <c r="N27" s="7">
        <f t="shared" si="3"/>
        <v>12.5</v>
      </c>
    </row>
    <row r="28" spans="1:14" ht="31.5" x14ac:dyDescent="0.25">
      <c r="A28" s="31" t="s">
        <v>182</v>
      </c>
      <c r="B28" s="21" t="s">
        <v>398</v>
      </c>
      <c r="C28" s="42" t="s">
        <v>295</v>
      </c>
      <c r="D28" s="42" t="s">
        <v>266</v>
      </c>
      <c r="E28" s="42" t="s">
        <v>183</v>
      </c>
      <c r="F28" s="42"/>
      <c r="G28" s="11">
        <f>G29</f>
        <v>641.4</v>
      </c>
      <c r="H28" s="11">
        <f t="shared" ref="H28:M28" si="18">H29</f>
        <v>641.4</v>
      </c>
      <c r="I28" s="11">
        <f t="shared" si="18"/>
        <v>641.4</v>
      </c>
      <c r="J28" s="11">
        <f t="shared" si="18"/>
        <v>641.4</v>
      </c>
      <c r="K28" s="11">
        <f t="shared" si="18"/>
        <v>641.4</v>
      </c>
      <c r="L28" s="11">
        <f t="shared" si="18"/>
        <v>666.4</v>
      </c>
      <c r="M28" s="11">
        <f t="shared" si="18"/>
        <v>299.3</v>
      </c>
      <c r="N28" s="7">
        <f t="shared" si="3"/>
        <v>44.91296518607443</v>
      </c>
    </row>
    <row r="29" spans="1:14" ht="31.5" x14ac:dyDescent="0.25">
      <c r="A29" s="31" t="s">
        <v>184</v>
      </c>
      <c r="B29" s="21" t="s">
        <v>398</v>
      </c>
      <c r="C29" s="42" t="s">
        <v>295</v>
      </c>
      <c r="D29" s="42" t="s">
        <v>266</v>
      </c>
      <c r="E29" s="42" t="s">
        <v>185</v>
      </c>
      <c r="F29" s="42"/>
      <c r="G29" s="7">
        <f>'Прил.№4 ведомств.'!G461</f>
        <v>641.4</v>
      </c>
      <c r="H29" s="7">
        <f>'Прил.№4 ведомств.'!I461</f>
        <v>641.4</v>
      </c>
      <c r="I29" s="7">
        <f>'Прил.№4 ведомств.'!J461</f>
        <v>641.4</v>
      </c>
      <c r="J29" s="7">
        <f>'Прил.№4 ведомств.'!K461</f>
        <v>641.4</v>
      </c>
      <c r="K29" s="7">
        <f>'Прил.№4 ведомств.'!L461</f>
        <v>641.4</v>
      </c>
      <c r="L29" s="7">
        <f>'Прил.№4 ведомств.'!M461</f>
        <v>666.4</v>
      </c>
      <c r="M29" s="7">
        <f>'Прил.№4 ведомств.'!N461</f>
        <v>299.3</v>
      </c>
      <c r="N29" s="7">
        <f t="shared" si="3"/>
        <v>44.91296518607443</v>
      </c>
    </row>
    <row r="30" spans="1:14" ht="15.75" hidden="1" x14ac:dyDescent="0.25">
      <c r="A30" s="31"/>
      <c r="B30" s="42"/>
      <c r="C30" s="42"/>
      <c r="D30" s="42"/>
      <c r="E30" s="42"/>
      <c r="F30" s="42"/>
      <c r="G30" s="7"/>
      <c r="H30" s="7"/>
      <c r="I30" s="7"/>
      <c r="J30" s="7"/>
      <c r="K30" s="7"/>
      <c r="L30" s="7"/>
      <c r="M30" s="7"/>
      <c r="N30" s="7" t="e">
        <f t="shared" si="3"/>
        <v>#DIV/0!</v>
      </c>
    </row>
    <row r="31" spans="1:14" ht="15.75" x14ac:dyDescent="0.25">
      <c r="A31" s="26" t="s">
        <v>299</v>
      </c>
      <c r="B31" s="21" t="s">
        <v>398</v>
      </c>
      <c r="C31" s="42" t="s">
        <v>295</v>
      </c>
      <c r="D31" s="42" t="s">
        <v>266</v>
      </c>
      <c r="E31" s="21" t="s">
        <v>300</v>
      </c>
      <c r="F31" s="42"/>
      <c r="G31" s="7">
        <f>G32</f>
        <v>25</v>
      </c>
      <c r="H31" s="7">
        <f t="shared" ref="H31:M31" si="19">H32</f>
        <v>25</v>
      </c>
      <c r="I31" s="7">
        <f t="shared" si="19"/>
        <v>75</v>
      </c>
      <c r="J31" s="7">
        <f t="shared" si="19"/>
        <v>110</v>
      </c>
      <c r="K31" s="7">
        <f t="shared" si="19"/>
        <v>125</v>
      </c>
      <c r="L31" s="7">
        <f t="shared" si="19"/>
        <v>25</v>
      </c>
      <c r="M31" s="7">
        <f t="shared" si="19"/>
        <v>25</v>
      </c>
      <c r="N31" s="7">
        <f t="shared" si="3"/>
        <v>100</v>
      </c>
    </row>
    <row r="32" spans="1:14" ht="31.5" x14ac:dyDescent="0.25">
      <c r="A32" s="26" t="s">
        <v>399</v>
      </c>
      <c r="B32" s="21" t="s">
        <v>398</v>
      </c>
      <c r="C32" s="42" t="s">
        <v>295</v>
      </c>
      <c r="D32" s="42" t="s">
        <v>266</v>
      </c>
      <c r="E32" s="21" t="s">
        <v>400</v>
      </c>
      <c r="F32" s="42"/>
      <c r="G32" s="7">
        <f>'Прил.№4 ведомств.'!G463</f>
        <v>25</v>
      </c>
      <c r="H32" s="7">
        <f>'Прил.№4 ведомств.'!I463</f>
        <v>25</v>
      </c>
      <c r="I32" s="7">
        <f>'Прил.№4 ведомств.'!J463</f>
        <v>75</v>
      </c>
      <c r="J32" s="7">
        <f>'Прил.№4 ведомств.'!K463</f>
        <v>110</v>
      </c>
      <c r="K32" s="7">
        <f>'Прил.№4 ведомств.'!L463</f>
        <v>125</v>
      </c>
      <c r="L32" s="7">
        <f>'Прил.№4 ведомств.'!M463</f>
        <v>25</v>
      </c>
      <c r="M32" s="7">
        <f>'Прил.№4 ведомств.'!N463</f>
        <v>25</v>
      </c>
      <c r="N32" s="7">
        <f t="shared" si="3"/>
        <v>100</v>
      </c>
    </row>
    <row r="33" spans="1:14" ht="31.5" x14ac:dyDescent="0.25">
      <c r="A33" s="26" t="s">
        <v>401</v>
      </c>
      <c r="B33" s="21" t="s">
        <v>402</v>
      </c>
      <c r="C33" s="42" t="s">
        <v>295</v>
      </c>
      <c r="D33" s="42" t="s">
        <v>266</v>
      </c>
      <c r="E33" s="42"/>
      <c r="F33" s="42"/>
      <c r="G33" s="11">
        <f>G34</f>
        <v>268.60000000000002</v>
      </c>
      <c r="H33" s="11">
        <f t="shared" ref="H33:M34" si="20">H34</f>
        <v>268.60000000000002</v>
      </c>
      <c r="I33" s="11">
        <f t="shared" si="20"/>
        <v>268.60000000000002</v>
      </c>
      <c r="J33" s="11">
        <f t="shared" si="20"/>
        <v>268.60000000000002</v>
      </c>
      <c r="K33" s="11">
        <f t="shared" si="20"/>
        <v>268.60000000000002</v>
      </c>
      <c r="L33" s="11">
        <f t="shared" si="20"/>
        <v>268.60000000000002</v>
      </c>
      <c r="M33" s="11">
        <f t="shared" si="20"/>
        <v>268.60000000000002</v>
      </c>
      <c r="N33" s="7">
        <f t="shared" si="3"/>
        <v>100</v>
      </c>
    </row>
    <row r="34" spans="1:14" ht="31.5" x14ac:dyDescent="0.25">
      <c r="A34" s="26" t="s">
        <v>323</v>
      </c>
      <c r="B34" s="21" t="s">
        <v>402</v>
      </c>
      <c r="C34" s="42" t="s">
        <v>295</v>
      </c>
      <c r="D34" s="42" t="s">
        <v>266</v>
      </c>
      <c r="E34" s="42" t="s">
        <v>324</v>
      </c>
      <c r="F34" s="42"/>
      <c r="G34" s="11">
        <f>G35</f>
        <v>268.60000000000002</v>
      </c>
      <c r="H34" s="11">
        <f t="shared" si="20"/>
        <v>268.60000000000002</v>
      </c>
      <c r="I34" s="11">
        <f t="shared" si="20"/>
        <v>268.60000000000002</v>
      </c>
      <c r="J34" s="11">
        <f t="shared" si="20"/>
        <v>268.60000000000002</v>
      </c>
      <c r="K34" s="11">
        <f t="shared" si="20"/>
        <v>268.60000000000002</v>
      </c>
      <c r="L34" s="11">
        <f t="shared" si="20"/>
        <v>268.60000000000002</v>
      </c>
      <c r="M34" s="11">
        <f t="shared" si="20"/>
        <v>268.60000000000002</v>
      </c>
      <c r="N34" s="7">
        <f t="shared" si="3"/>
        <v>100</v>
      </c>
    </row>
    <row r="35" spans="1:14" ht="15.75" x14ac:dyDescent="0.25">
      <c r="A35" s="26" t="s">
        <v>325</v>
      </c>
      <c r="B35" s="21" t="s">
        <v>402</v>
      </c>
      <c r="C35" s="42" t="s">
        <v>295</v>
      </c>
      <c r="D35" s="42" t="s">
        <v>266</v>
      </c>
      <c r="E35" s="42" t="s">
        <v>326</v>
      </c>
      <c r="F35" s="42"/>
      <c r="G35" s="11">
        <f>'Прил.№4 ведомств.'!G466</f>
        <v>268.60000000000002</v>
      </c>
      <c r="H35" s="11">
        <f>'Прил.№4 ведомств.'!I466</f>
        <v>268.60000000000002</v>
      </c>
      <c r="I35" s="11">
        <f>'Прил.№4 ведомств.'!J466</f>
        <v>268.60000000000002</v>
      </c>
      <c r="J35" s="11">
        <f>'Прил.№4 ведомств.'!K466</f>
        <v>268.60000000000002</v>
      </c>
      <c r="K35" s="11">
        <f>'Прил.№4 ведомств.'!L466</f>
        <v>268.60000000000002</v>
      </c>
      <c r="L35" s="11">
        <f>'Прил.№4 ведомств.'!M466</f>
        <v>268.60000000000002</v>
      </c>
      <c r="M35" s="11">
        <f>'Прил.№4 ведомств.'!N466</f>
        <v>268.60000000000002</v>
      </c>
      <c r="N35" s="7">
        <f t="shared" si="3"/>
        <v>100</v>
      </c>
    </row>
    <row r="36" spans="1:14" ht="47.25" x14ac:dyDescent="0.25">
      <c r="A36" s="47" t="s">
        <v>312</v>
      </c>
      <c r="B36" s="21" t="s">
        <v>397</v>
      </c>
      <c r="C36" s="42" t="s">
        <v>295</v>
      </c>
      <c r="D36" s="42" t="s">
        <v>266</v>
      </c>
      <c r="E36" s="42"/>
      <c r="F36" s="42" t="s">
        <v>704</v>
      </c>
      <c r="G36" s="7">
        <f>G22</f>
        <v>935</v>
      </c>
      <c r="H36" s="7">
        <f t="shared" ref="H36:L36" si="21">H22</f>
        <v>935</v>
      </c>
      <c r="I36" s="7">
        <f t="shared" si="21"/>
        <v>985</v>
      </c>
      <c r="J36" s="7">
        <f t="shared" si="21"/>
        <v>1020</v>
      </c>
      <c r="K36" s="7">
        <f t="shared" si="21"/>
        <v>1035</v>
      </c>
      <c r="L36" s="7">
        <f t="shared" si="21"/>
        <v>1000</v>
      </c>
      <c r="M36" s="7">
        <f t="shared" ref="M36" si="22">M22</f>
        <v>597.90000000000009</v>
      </c>
      <c r="N36" s="7">
        <f t="shared" si="3"/>
        <v>59.790000000000006</v>
      </c>
    </row>
    <row r="37" spans="1:14" ht="31.5" x14ac:dyDescent="0.25">
      <c r="A37" s="64" t="s">
        <v>705</v>
      </c>
      <c r="B37" s="8" t="s">
        <v>404</v>
      </c>
      <c r="C37" s="8"/>
      <c r="D37" s="8"/>
      <c r="E37" s="8"/>
      <c r="F37" s="8"/>
      <c r="G37" s="68">
        <f>G38</f>
        <v>63</v>
      </c>
      <c r="H37" s="68">
        <f t="shared" ref="H37:M41" si="23">H38</f>
        <v>63</v>
      </c>
      <c r="I37" s="68">
        <f t="shared" si="23"/>
        <v>63</v>
      </c>
      <c r="J37" s="68">
        <f t="shared" si="23"/>
        <v>63</v>
      </c>
      <c r="K37" s="68">
        <f t="shared" si="23"/>
        <v>63</v>
      </c>
      <c r="L37" s="68">
        <f t="shared" si="23"/>
        <v>148.4</v>
      </c>
      <c r="M37" s="68">
        <f t="shared" si="23"/>
        <v>26.9</v>
      </c>
      <c r="N37" s="4">
        <f t="shared" si="3"/>
        <v>18.126684636118597</v>
      </c>
    </row>
    <row r="38" spans="1:14" ht="15.75" x14ac:dyDescent="0.25">
      <c r="A38" s="47" t="s">
        <v>294</v>
      </c>
      <c r="B38" s="42" t="s">
        <v>404</v>
      </c>
      <c r="C38" s="42" t="s">
        <v>295</v>
      </c>
      <c r="D38" s="42"/>
      <c r="E38" s="42"/>
      <c r="F38" s="42"/>
      <c r="G38" s="11">
        <f>G39</f>
        <v>63</v>
      </c>
      <c r="H38" s="11">
        <f t="shared" si="23"/>
        <v>63</v>
      </c>
      <c r="I38" s="11">
        <f t="shared" si="23"/>
        <v>63</v>
      </c>
      <c r="J38" s="11">
        <f t="shared" si="23"/>
        <v>63</v>
      </c>
      <c r="K38" s="11">
        <f t="shared" si="23"/>
        <v>63</v>
      </c>
      <c r="L38" s="11">
        <f t="shared" si="23"/>
        <v>148.4</v>
      </c>
      <c r="M38" s="11">
        <f t="shared" si="23"/>
        <v>26.9</v>
      </c>
      <c r="N38" s="7">
        <f t="shared" si="3"/>
        <v>18.126684636118597</v>
      </c>
    </row>
    <row r="39" spans="1:14" ht="15.75" x14ac:dyDescent="0.25">
      <c r="A39" s="47" t="s">
        <v>303</v>
      </c>
      <c r="B39" s="42" t="s">
        <v>404</v>
      </c>
      <c r="C39" s="42" t="s">
        <v>295</v>
      </c>
      <c r="D39" s="42" t="s">
        <v>266</v>
      </c>
      <c r="E39" s="42"/>
      <c r="F39" s="42"/>
      <c r="G39" s="11">
        <f>G40</f>
        <v>63</v>
      </c>
      <c r="H39" s="11">
        <f t="shared" si="23"/>
        <v>63</v>
      </c>
      <c r="I39" s="11">
        <f t="shared" si="23"/>
        <v>63</v>
      </c>
      <c r="J39" s="11">
        <f t="shared" si="23"/>
        <v>63</v>
      </c>
      <c r="K39" s="11">
        <f t="shared" si="23"/>
        <v>63</v>
      </c>
      <c r="L39" s="11">
        <f t="shared" si="23"/>
        <v>148.4</v>
      </c>
      <c r="M39" s="11">
        <f t="shared" si="23"/>
        <v>26.9</v>
      </c>
      <c r="N39" s="7">
        <f t="shared" si="3"/>
        <v>18.126684636118597</v>
      </c>
    </row>
    <row r="40" spans="1:14" ht="15.75" x14ac:dyDescent="0.25">
      <c r="A40" s="26" t="s">
        <v>686</v>
      </c>
      <c r="B40" s="21" t="s">
        <v>687</v>
      </c>
      <c r="C40" s="42" t="s">
        <v>295</v>
      </c>
      <c r="D40" s="42" t="s">
        <v>266</v>
      </c>
      <c r="E40" s="42"/>
      <c r="F40" s="42"/>
      <c r="G40" s="11">
        <f>G41</f>
        <v>63</v>
      </c>
      <c r="H40" s="11">
        <f t="shared" si="23"/>
        <v>63</v>
      </c>
      <c r="I40" s="11">
        <f t="shared" si="23"/>
        <v>63</v>
      </c>
      <c r="J40" s="11">
        <f t="shared" si="23"/>
        <v>63</v>
      </c>
      <c r="K40" s="11">
        <f t="shared" si="23"/>
        <v>63</v>
      </c>
      <c r="L40" s="11">
        <f t="shared" si="23"/>
        <v>148.4</v>
      </c>
      <c r="M40" s="11">
        <f t="shared" si="23"/>
        <v>26.9</v>
      </c>
      <c r="N40" s="7">
        <f t="shared" si="3"/>
        <v>18.126684636118597</v>
      </c>
    </row>
    <row r="41" spans="1:14" ht="15.75" x14ac:dyDescent="0.25">
      <c r="A41" s="31" t="s">
        <v>299</v>
      </c>
      <c r="B41" s="21" t="s">
        <v>687</v>
      </c>
      <c r="C41" s="42" t="s">
        <v>295</v>
      </c>
      <c r="D41" s="42" t="s">
        <v>266</v>
      </c>
      <c r="E41" s="42" t="s">
        <v>300</v>
      </c>
      <c r="F41" s="42"/>
      <c r="G41" s="11">
        <f>G42</f>
        <v>63</v>
      </c>
      <c r="H41" s="11">
        <f t="shared" si="23"/>
        <v>63</v>
      </c>
      <c r="I41" s="11">
        <f t="shared" si="23"/>
        <v>63</v>
      </c>
      <c r="J41" s="11">
        <f t="shared" si="23"/>
        <v>63</v>
      </c>
      <c r="K41" s="11">
        <f t="shared" si="23"/>
        <v>63</v>
      </c>
      <c r="L41" s="11">
        <f t="shared" si="23"/>
        <v>148.4</v>
      </c>
      <c r="M41" s="11">
        <f t="shared" si="23"/>
        <v>26.9</v>
      </c>
      <c r="N41" s="7">
        <f t="shared" si="3"/>
        <v>18.126684636118597</v>
      </c>
    </row>
    <row r="42" spans="1:14" ht="31.5" x14ac:dyDescent="0.25">
      <c r="A42" s="31" t="s">
        <v>301</v>
      </c>
      <c r="B42" s="21" t="s">
        <v>687</v>
      </c>
      <c r="C42" s="42" t="s">
        <v>295</v>
      </c>
      <c r="D42" s="42" t="s">
        <v>266</v>
      </c>
      <c r="E42" s="42" t="s">
        <v>302</v>
      </c>
      <c r="F42" s="42"/>
      <c r="G42" s="11">
        <f>'Прил.№4 ведомств.'!G470</f>
        <v>63</v>
      </c>
      <c r="H42" s="11">
        <f>'Прил.№4 ведомств.'!I470</f>
        <v>63</v>
      </c>
      <c r="I42" s="11">
        <f>'Прил.№4 ведомств.'!J470</f>
        <v>63</v>
      </c>
      <c r="J42" s="11">
        <f>'Прил.№4 ведомств.'!K470</f>
        <v>63</v>
      </c>
      <c r="K42" s="11">
        <f>'Прил.№4 ведомств.'!L470</f>
        <v>63</v>
      </c>
      <c r="L42" s="11">
        <f>'Прил.№4 ведомств.'!M470</f>
        <v>148.4</v>
      </c>
      <c r="M42" s="11">
        <f>'Прил.№4 ведомств.'!N470</f>
        <v>26.9</v>
      </c>
      <c r="N42" s="7">
        <f t="shared" si="3"/>
        <v>18.126684636118597</v>
      </c>
    </row>
    <row r="43" spans="1:14" ht="47.25" x14ac:dyDescent="0.25">
      <c r="A43" s="47" t="s">
        <v>312</v>
      </c>
      <c r="B43" s="21" t="s">
        <v>404</v>
      </c>
      <c r="C43" s="42" t="s">
        <v>295</v>
      </c>
      <c r="D43" s="42" t="s">
        <v>266</v>
      </c>
      <c r="E43" s="42"/>
      <c r="F43" s="42" t="s">
        <v>704</v>
      </c>
      <c r="G43" s="11">
        <f>G37</f>
        <v>63</v>
      </c>
      <c r="H43" s="11">
        <f t="shared" ref="H43:L43" si="24">H37</f>
        <v>63</v>
      </c>
      <c r="I43" s="11">
        <f t="shared" si="24"/>
        <v>63</v>
      </c>
      <c r="J43" s="11">
        <f t="shared" si="24"/>
        <v>63</v>
      </c>
      <c r="K43" s="11">
        <f t="shared" si="24"/>
        <v>63</v>
      </c>
      <c r="L43" s="11">
        <f t="shared" si="24"/>
        <v>148.4</v>
      </c>
      <c r="M43" s="11">
        <f t="shared" ref="M43" si="25">M37</f>
        <v>26.9</v>
      </c>
      <c r="N43" s="7">
        <f t="shared" si="3"/>
        <v>18.126684636118597</v>
      </c>
    </row>
    <row r="44" spans="1:14" ht="31.5" x14ac:dyDescent="0.25">
      <c r="A44" s="64" t="s">
        <v>706</v>
      </c>
      <c r="B44" s="8" t="s">
        <v>407</v>
      </c>
      <c r="C44" s="8"/>
      <c r="D44" s="8"/>
      <c r="E44" s="8"/>
      <c r="F44" s="8"/>
      <c r="G44" s="68">
        <f>G45</f>
        <v>420</v>
      </c>
      <c r="H44" s="68">
        <f t="shared" ref="H44:M48" si="26">H45</f>
        <v>420</v>
      </c>
      <c r="I44" s="68">
        <f t="shared" si="26"/>
        <v>420</v>
      </c>
      <c r="J44" s="68">
        <f t="shared" si="26"/>
        <v>420</v>
      </c>
      <c r="K44" s="68">
        <f t="shared" si="26"/>
        <v>420</v>
      </c>
      <c r="L44" s="68">
        <f t="shared" si="26"/>
        <v>420</v>
      </c>
      <c r="M44" s="68">
        <f t="shared" si="26"/>
        <v>260</v>
      </c>
      <c r="N44" s="4">
        <f t="shared" si="3"/>
        <v>61.904761904761905</v>
      </c>
    </row>
    <row r="45" spans="1:14" ht="15.75" x14ac:dyDescent="0.25">
      <c r="A45" s="47" t="s">
        <v>294</v>
      </c>
      <c r="B45" s="42" t="s">
        <v>407</v>
      </c>
      <c r="C45" s="42" t="s">
        <v>295</v>
      </c>
      <c r="D45" s="42"/>
      <c r="E45" s="42"/>
      <c r="F45" s="42"/>
      <c r="G45" s="11">
        <f>G46</f>
        <v>420</v>
      </c>
      <c r="H45" s="11">
        <f t="shared" si="26"/>
        <v>420</v>
      </c>
      <c r="I45" s="11">
        <f t="shared" si="26"/>
        <v>420</v>
      </c>
      <c r="J45" s="11">
        <f t="shared" si="26"/>
        <v>420</v>
      </c>
      <c r="K45" s="11">
        <f t="shared" si="26"/>
        <v>420</v>
      </c>
      <c r="L45" s="11">
        <f t="shared" si="26"/>
        <v>420</v>
      </c>
      <c r="M45" s="11">
        <f t="shared" si="26"/>
        <v>260</v>
      </c>
      <c r="N45" s="7">
        <f t="shared" si="3"/>
        <v>61.904761904761905</v>
      </c>
    </row>
    <row r="46" spans="1:14" ht="15.75" x14ac:dyDescent="0.25">
      <c r="A46" s="47" t="s">
        <v>303</v>
      </c>
      <c r="B46" s="42" t="s">
        <v>407</v>
      </c>
      <c r="C46" s="42" t="s">
        <v>295</v>
      </c>
      <c r="D46" s="42" t="s">
        <v>266</v>
      </c>
      <c r="E46" s="42"/>
      <c r="F46" s="42"/>
      <c r="G46" s="11">
        <f>G47</f>
        <v>420</v>
      </c>
      <c r="H46" s="11">
        <f t="shared" si="26"/>
        <v>420</v>
      </c>
      <c r="I46" s="11">
        <f t="shared" si="26"/>
        <v>420</v>
      </c>
      <c r="J46" s="11">
        <f t="shared" si="26"/>
        <v>420</v>
      </c>
      <c r="K46" s="11">
        <f t="shared" si="26"/>
        <v>420</v>
      </c>
      <c r="L46" s="11">
        <f t="shared" si="26"/>
        <v>420</v>
      </c>
      <c r="M46" s="11">
        <f t="shared" si="26"/>
        <v>260</v>
      </c>
      <c r="N46" s="7">
        <f t="shared" si="3"/>
        <v>61.904761904761905</v>
      </c>
    </row>
    <row r="47" spans="1:14" ht="31.5" x14ac:dyDescent="0.25">
      <c r="A47" s="31" t="s">
        <v>208</v>
      </c>
      <c r="B47" s="42" t="s">
        <v>408</v>
      </c>
      <c r="C47" s="42" t="s">
        <v>295</v>
      </c>
      <c r="D47" s="42" t="s">
        <v>266</v>
      </c>
      <c r="E47" s="42"/>
      <c r="F47" s="42"/>
      <c r="G47" s="11">
        <f>G48</f>
        <v>420</v>
      </c>
      <c r="H47" s="11">
        <f t="shared" si="26"/>
        <v>420</v>
      </c>
      <c r="I47" s="11">
        <f t="shared" si="26"/>
        <v>420</v>
      </c>
      <c r="J47" s="11">
        <f t="shared" si="26"/>
        <v>420</v>
      </c>
      <c r="K47" s="11">
        <f t="shared" si="26"/>
        <v>420</v>
      </c>
      <c r="L47" s="11">
        <f t="shared" si="26"/>
        <v>420</v>
      </c>
      <c r="M47" s="11">
        <f t="shared" si="26"/>
        <v>260</v>
      </c>
      <c r="N47" s="7">
        <f t="shared" si="3"/>
        <v>61.904761904761905</v>
      </c>
    </row>
    <row r="48" spans="1:14" ht="15.75" x14ac:dyDescent="0.25">
      <c r="A48" s="31" t="s">
        <v>299</v>
      </c>
      <c r="B48" s="42" t="s">
        <v>408</v>
      </c>
      <c r="C48" s="42" t="s">
        <v>295</v>
      </c>
      <c r="D48" s="42" t="s">
        <v>266</v>
      </c>
      <c r="E48" s="42" t="s">
        <v>300</v>
      </c>
      <c r="F48" s="42"/>
      <c r="G48" s="11">
        <f>G49</f>
        <v>420</v>
      </c>
      <c r="H48" s="11">
        <f t="shared" si="26"/>
        <v>420</v>
      </c>
      <c r="I48" s="11">
        <f t="shared" si="26"/>
        <v>420</v>
      </c>
      <c r="J48" s="11">
        <f t="shared" si="26"/>
        <v>420</v>
      </c>
      <c r="K48" s="11">
        <f t="shared" si="26"/>
        <v>420</v>
      </c>
      <c r="L48" s="11">
        <f t="shared" si="26"/>
        <v>420</v>
      </c>
      <c r="M48" s="11">
        <f t="shared" si="26"/>
        <v>260</v>
      </c>
      <c r="N48" s="7">
        <f t="shared" si="3"/>
        <v>61.904761904761905</v>
      </c>
    </row>
    <row r="49" spans="1:14" ht="31.5" x14ac:dyDescent="0.25">
      <c r="A49" s="31" t="s">
        <v>399</v>
      </c>
      <c r="B49" s="42" t="s">
        <v>408</v>
      </c>
      <c r="C49" s="42" t="s">
        <v>295</v>
      </c>
      <c r="D49" s="42" t="s">
        <v>266</v>
      </c>
      <c r="E49" s="42" t="s">
        <v>400</v>
      </c>
      <c r="F49" s="42"/>
      <c r="G49" s="11">
        <f>'Прил.№4 ведомств.'!G474</f>
        <v>420</v>
      </c>
      <c r="H49" s="11">
        <f>'Прил.№4 ведомств.'!I474</f>
        <v>420</v>
      </c>
      <c r="I49" s="11">
        <f>'Прил.№4 ведомств.'!J474</f>
        <v>420</v>
      </c>
      <c r="J49" s="11">
        <f>'Прил.№4 ведомств.'!K474</f>
        <v>420</v>
      </c>
      <c r="K49" s="11">
        <f>'Прил.№4 ведомств.'!L474</f>
        <v>420</v>
      </c>
      <c r="L49" s="11">
        <f>'Прил.№4 ведомств.'!M474</f>
        <v>420</v>
      </c>
      <c r="M49" s="11">
        <f>'Прил.№4 ведомств.'!N474</f>
        <v>260</v>
      </c>
      <c r="N49" s="7">
        <f t="shared" si="3"/>
        <v>61.904761904761905</v>
      </c>
    </row>
    <row r="50" spans="1:14" ht="47.25" x14ac:dyDescent="0.25">
      <c r="A50" s="47" t="s">
        <v>312</v>
      </c>
      <c r="B50" s="42" t="s">
        <v>407</v>
      </c>
      <c r="C50" s="42" t="s">
        <v>295</v>
      </c>
      <c r="D50" s="42" t="s">
        <v>266</v>
      </c>
      <c r="E50" s="42"/>
      <c r="F50" s="42" t="s">
        <v>704</v>
      </c>
      <c r="G50" s="11">
        <f>G44</f>
        <v>420</v>
      </c>
      <c r="H50" s="11">
        <f t="shared" ref="H50:L50" si="27">H44</f>
        <v>420</v>
      </c>
      <c r="I50" s="11">
        <f t="shared" si="27"/>
        <v>420</v>
      </c>
      <c r="J50" s="11">
        <f t="shared" si="27"/>
        <v>420</v>
      </c>
      <c r="K50" s="11">
        <f t="shared" si="27"/>
        <v>420</v>
      </c>
      <c r="L50" s="11">
        <f t="shared" si="27"/>
        <v>420</v>
      </c>
      <c r="M50" s="11">
        <f t="shared" ref="M50" si="28">M44</f>
        <v>260</v>
      </c>
      <c r="N50" s="7">
        <f t="shared" si="3"/>
        <v>61.904761904761905</v>
      </c>
    </row>
    <row r="51" spans="1:14" ht="15.75" x14ac:dyDescent="0.25">
      <c r="A51" s="64" t="s">
        <v>708</v>
      </c>
      <c r="B51" s="8" t="s">
        <v>410</v>
      </c>
      <c r="C51" s="8"/>
      <c r="D51" s="8"/>
      <c r="E51" s="8"/>
      <c r="F51" s="8"/>
      <c r="G51" s="68">
        <f>G52</f>
        <v>1595</v>
      </c>
      <c r="H51" s="68">
        <f t="shared" ref="H51:M53" si="29">H52</f>
        <v>1595</v>
      </c>
      <c r="I51" s="68">
        <f t="shared" si="29"/>
        <v>1595</v>
      </c>
      <c r="J51" s="68">
        <f t="shared" si="29"/>
        <v>1595</v>
      </c>
      <c r="K51" s="68">
        <f t="shared" si="29"/>
        <v>1595</v>
      </c>
      <c r="L51" s="68">
        <f t="shared" si="29"/>
        <v>1504.6</v>
      </c>
      <c r="M51" s="68">
        <f t="shared" si="29"/>
        <v>773.3</v>
      </c>
      <c r="N51" s="4">
        <f t="shared" si="3"/>
        <v>51.395719792635916</v>
      </c>
    </row>
    <row r="52" spans="1:14" ht="15.75" x14ac:dyDescent="0.25">
      <c r="A52" s="47" t="s">
        <v>294</v>
      </c>
      <c r="B52" s="42" t="s">
        <v>410</v>
      </c>
      <c r="C52" s="42" t="s">
        <v>295</v>
      </c>
      <c r="D52" s="42"/>
      <c r="E52" s="42"/>
      <c r="F52" s="42"/>
      <c r="G52" s="11">
        <f>G53</f>
        <v>1595</v>
      </c>
      <c r="H52" s="11">
        <f t="shared" si="29"/>
        <v>1595</v>
      </c>
      <c r="I52" s="11">
        <f t="shared" si="29"/>
        <v>1595</v>
      </c>
      <c r="J52" s="11">
        <f t="shared" si="29"/>
        <v>1595</v>
      </c>
      <c r="K52" s="11">
        <f t="shared" si="29"/>
        <v>1595</v>
      </c>
      <c r="L52" s="11">
        <f t="shared" si="29"/>
        <v>1504.6</v>
      </c>
      <c r="M52" s="11">
        <f t="shared" si="29"/>
        <v>773.3</v>
      </c>
      <c r="N52" s="7">
        <f t="shared" si="3"/>
        <v>51.395719792635916</v>
      </c>
    </row>
    <row r="53" spans="1:14" ht="15.75" x14ac:dyDescent="0.25">
      <c r="A53" s="47" t="s">
        <v>303</v>
      </c>
      <c r="B53" s="42" t="s">
        <v>410</v>
      </c>
      <c r="C53" s="42" t="s">
        <v>295</v>
      </c>
      <c r="D53" s="42" t="s">
        <v>266</v>
      </c>
      <c r="E53" s="42"/>
      <c r="F53" s="42"/>
      <c r="G53" s="11">
        <f>G54</f>
        <v>1595</v>
      </c>
      <c r="H53" s="11">
        <f t="shared" si="29"/>
        <v>1595</v>
      </c>
      <c r="I53" s="11">
        <f t="shared" si="29"/>
        <v>1595</v>
      </c>
      <c r="J53" s="11">
        <f t="shared" si="29"/>
        <v>1595</v>
      </c>
      <c r="K53" s="11">
        <f t="shared" si="29"/>
        <v>1595</v>
      </c>
      <c r="L53" s="11">
        <f t="shared" si="29"/>
        <v>1504.6</v>
      </c>
      <c r="M53" s="11">
        <f t="shared" si="29"/>
        <v>773.3</v>
      </c>
      <c r="N53" s="7">
        <f t="shared" si="3"/>
        <v>51.395719792635916</v>
      </c>
    </row>
    <row r="54" spans="1:14" ht="31.5" x14ac:dyDescent="0.25">
      <c r="A54" s="31" t="s">
        <v>208</v>
      </c>
      <c r="B54" s="42" t="s">
        <v>411</v>
      </c>
      <c r="C54" s="42" t="s">
        <v>295</v>
      </c>
      <c r="D54" s="42" t="s">
        <v>266</v>
      </c>
      <c r="E54" s="42"/>
      <c r="F54" s="42"/>
      <c r="G54" s="11">
        <f>G55+G57</f>
        <v>1595</v>
      </c>
      <c r="H54" s="11">
        <f t="shared" ref="H54:L54" si="30">H55+H57</f>
        <v>1595</v>
      </c>
      <c r="I54" s="11">
        <f t="shared" si="30"/>
        <v>1595</v>
      </c>
      <c r="J54" s="11">
        <f t="shared" si="30"/>
        <v>1595</v>
      </c>
      <c r="K54" s="11">
        <f t="shared" si="30"/>
        <v>1595</v>
      </c>
      <c r="L54" s="11">
        <f t="shared" si="30"/>
        <v>1504.6</v>
      </c>
      <c r="M54" s="11">
        <f t="shared" ref="M54" si="31">M55+M57</f>
        <v>773.3</v>
      </c>
      <c r="N54" s="7">
        <f t="shared" si="3"/>
        <v>51.395719792635916</v>
      </c>
    </row>
    <row r="55" spans="1:14" ht="31.5" x14ac:dyDescent="0.25">
      <c r="A55" s="31" t="s">
        <v>182</v>
      </c>
      <c r="B55" s="42" t="s">
        <v>411</v>
      </c>
      <c r="C55" s="42" t="s">
        <v>295</v>
      </c>
      <c r="D55" s="42" t="s">
        <v>266</v>
      </c>
      <c r="E55" s="42" t="s">
        <v>183</v>
      </c>
      <c r="F55" s="42"/>
      <c r="G55" s="11">
        <f>G56</f>
        <v>547</v>
      </c>
      <c r="H55" s="11">
        <f t="shared" ref="H55:M55" si="32">H56</f>
        <v>547</v>
      </c>
      <c r="I55" s="11">
        <f t="shared" si="32"/>
        <v>547</v>
      </c>
      <c r="J55" s="11">
        <f t="shared" si="32"/>
        <v>547</v>
      </c>
      <c r="K55" s="11">
        <f t="shared" si="32"/>
        <v>547</v>
      </c>
      <c r="L55" s="11">
        <f t="shared" si="32"/>
        <v>456.6</v>
      </c>
      <c r="M55" s="11">
        <f t="shared" si="32"/>
        <v>9</v>
      </c>
      <c r="N55" s="7">
        <f t="shared" si="3"/>
        <v>1.971090670170828</v>
      </c>
    </row>
    <row r="56" spans="1:14" ht="31.5" x14ac:dyDescent="0.25">
      <c r="A56" s="31" t="s">
        <v>184</v>
      </c>
      <c r="B56" s="42" t="s">
        <v>411</v>
      </c>
      <c r="C56" s="42" t="s">
        <v>295</v>
      </c>
      <c r="D56" s="42" t="s">
        <v>266</v>
      </c>
      <c r="E56" s="42" t="s">
        <v>185</v>
      </c>
      <c r="F56" s="42"/>
      <c r="G56" s="11">
        <f>'Прил.№4 ведомств.'!G478</f>
        <v>547</v>
      </c>
      <c r="H56" s="11">
        <f>'Прил.№4 ведомств.'!I478</f>
        <v>547</v>
      </c>
      <c r="I56" s="11">
        <f>'Прил.№4 ведомств.'!J478</f>
        <v>547</v>
      </c>
      <c r="J56" s="11">
        <f>'Прил.№4 ведомств.'!K478</f>
        <v>547</v>
      </c>
      <c r="K56" s="11">
        <f>'Прил.№4 ведомств.'!L478</f>
        <v>547</v>
      </c>
      <c r="L56" s="11">
        <f>'Прил.№4 ведомств.'!M478</f>
        <v>456.6</v>
      </c>
      <c r="M56" s="11">
        <f>'Прил.№4 ведомств.'!N478</f>
        <v>9</v>
      </c>
      <c r="N56" s="7">
        <f t="shared" si="3"/>
        <v>1.971090670170828</v>
      </c>
    </row>
    <row r="57" spans="1:14" ht="15.75" x14ac:dyDescent="0.25">
      <c r="A57" s="31" t="s">
        <v>299</v>
      </c>
      <c r="B57" s="42" t="s">
        <v>411</v>
      </c>
      <c r="C57" s="42" t="s">
        <v>295</v>
      </c>
      <c r="D57" s="42" t="s">
        <v>266</v>
      </c>
      <c r="E57" s="42" t="s">
        <v>300</v>
      </c>
      <c r="F57" s="42"/>
      <c r="G57" s="11">
        <f>G58</f>
        <v>1048</v>
      </c>
      <c r="H57" s="11">
        <f t="shared" ref="H57:M57" si="33">H58</f>
        <v>1048</v>
      </c>
      <c r="I57" s="11">
        <f t="shared" si="33"/>
        <v>1048</v>
      </c>
      <c r="J57" s="11">
        <f t="shared" si="33"/>
        <v>1048</v>
      </c>
      <c r="K57" s="11">
        <f t="shared" si="33"/>
        <v>1048</v>
      </c>
      <c r="L57" s="11">
        <f t="shared" si="33"/>
        <v>1048</v>
      </c>
      <c r="M57" s="11">
        <f t="shared" si="33"/>
        <v>764.3</v>
      </c>
      <c r="N57" s="7">
        <f t="shared" si="3"/>
        <v>72.929389312977094</v>
      </c>
    </row>
    <row r="58" spans="1:14" ht="31.5" x14ac:dyDescent="0.25">
      <c r="A58" s="31" t="s">
        <v>399</v>
      </c>
      <c r="B58" s="42" t="s">
        <v>411</v>
      </c>
      <c r="C58" s="42" t="s">
        <v>295</v>
      </c>
      <c r="D58" s="42" t="s">
        <v>266</v>
      </c>
      <c r="E58" s="42" t="s">
        <v>400</v>
      </c>
      <c r="F58" s="42"/>
      <c r="G58" s="11">
        <f>'Прил.№4 ведомств.'!G480</f>
        <v>1048</v>
      </c>
      <c r="H58" s="11">
        <f>'Прил.№4 ведомств.'!I480</f>
        <v>1048</v>
      </c>
      <c r="I58" s="11">
        <f>'Прил.№4 ведомств.'!J480</f>
        <v>1048</v>
      </c>
      <c r="J58" s="11">
        <f>'Прил.№4 ведомств.'!K480</f>
        <v>1048</v>
      </c>
      <c r="K58" s="11">
        <f>'Прил.№4 ведомств.'!L480</f>
        <v>1048</v>
      </c>
      <c r="L58" s="11">
        <f>'Прил.№4 ведомств.'!M480</f>
        <v>1048</v>
      </c>
      <c r="M58" s="11">
        <f>'Прил.№4 ведомств.'!N480</f>
        <v>764.3</v>
      </c>
      <c r="N58" s="7">
        <f t="shared" si="3"/>
        <v>72.929389312977094</v>
      </c>
    </row>
    <row r="59" spans="1:14" ht="47.25" x14ac:dyDescent="0.25">
      <c r="A59" s="47" t="s">
        <v>312</v>
      </c>
      <c r="B59" s="42" t="s">
        <v>410</v>
      </c>
      <c r="C59" s="42" t="s">
        <v>295</v>
      </c>
      <c r="D59" s="42" t="s">
        <v>266</v>
      </c>
      <c r="E59" s="42"/>
      <c r="F59" s="42" t="s">
        <v>704</v>
      </c>
      <c r="G59" s="11">
        <f t="shared" ref="G59:L59" si="34">G51</f>
        <v>1595</v>
      </c>
      <c r="H59" s="11">
        <f t="shared" si="34"/>
        <v>1595</v>
      </c>
      <c r="I59" s="11">
        <f t="shared" si="34"/>
        <v>1595</v>
      </c>
      <c r="J59" s="11">
        <f t="shared" si="34"/>
        <v>1595</v>
      </c>
      <c r="K59" s="11">
        <f t="shared" si="34"/>
        <v>1595</v>
      </c>
      <c r="L59" s="11">
        <f t="shared" si="34"/>
        <v>1504.6</v>
      </c>
      <c r="M59" s="11">
        <f t="shared" ref="M59" si="35">M51</f>
        <v>773.3</v>
      </c>
      <c r="N59" s="7">
        <f t="shared" si="3"/>
        <v>51.395719792635916</v>
      </c>
    </row>
    <row r="60" spans="1:14" ht="31.5" x14ac:dyDescent="0.25">
      <c r="A60" s="64" t="s">
        <v>710</v>
      </c>
      <c r="B60" s="8" t="s">
        <v>413</v>
      </c>
      <c r="C60" s="8"/>
      <c r="D60" s="8"/>
      <c r="E60" s="8"/>
      <c r="F60" s="8"/>
      <c r="G60" s="68">
        <f>G61</f>
        <v>335</v>
      </c>
      <c r="H60" s="68">
        <f t="shared" ref="H60:M64" si="36">H61</f>
        <v>335</v>
      </c>
      <c r="I60" s="68">
        <f t="shared" si="36"/>
        <v>1882</v>
      </c>
      <c r="J60" s="68">
        <f t="shared" si="36"/>
        <v>1962</v>
      </c>
      <c r="K60" s="68">
        <f t="shared" si="36"/>
        <v>1992</v>
      </c>
      <c r="L60" s="68">
        <f t="shared" si="36"/>
        <v>250</v>
      </c>
      <c r="M60" s="68">
        <f t="shared" si="36"/>
        <v>199.9</v>
      </c>
      <c r="N60" s="4">
        <f t="shared" si="3"/>
        <v>79.959999999999994</v>
      </c>
    </row>
    <row r="61" spans="1:14" ht="15.75" x14ac:dyDescent="0.25">
      <c r="A61" s="47" t="s">
        <v>294</v>
      </c>
      <c r="B61" s="42" t="s">
        <v>413</v>
      </c>
      <c r="C61" s="42" t="s">
        <v>295</v>
      </c>
      <c r="D61" s="42"/>
      <c r="E61" s="42"/>
      <c r="F61" s="42"/>
      <c r="G61" s="11">
        <f>G62</f>
        <v>335</v>
      </c>
      <c r="H61" s="11">
        <f t="shared" si="36"/>
        <v>335</v>
      </c>
      <c r="I61" s="11">
        <f t="shared" si="36"/>
        <v>1882</v>
      </c>
      <c r="J61" s="11">
        <f t="shared" si="36"/>
        <v>1962</v>
      </c>
      <c r="K61" s="11">
        <f t="shared" si="36"/>
        <v>1992</v>
      </c>
      <c r="L61" s="11">
        <f t="shared" si="36"/>
        <v>250</v>
      </c>
      <c r="M61" s="11">
        <f t="shared" si="36"/>
        <v>199.9</v>
      </c>
      <c r="N61" s="7">
        <f t="shared" si="3"/>
        <v>79.959999999999994</v>
      </c>
    </row>
    <row r="62" spans="1:14" ht="21.75" customHeight="1" x14ac:dyDescent="0.25">
      <c r="A62" s="47" t="s">
        <v>303</v>
      </c>
      <c r="B62" s="42" t="s">
        <v>413</v>
      </c>
      <c r="C62" s="42" t="s">
        <v>295</v>
      </c>
      <c r="D62" s="42" t="s">
        <v>266</v>
      </c>
      <c r="E62" s="42"/>
      <c r="F62" s="42"/>
      <c r="G62" s="11">
        <f>G63</f>
        <v>335</v>
      </c>
      <c r="H62" s="11">
        <f t="shared" si="36"/>
        <v>335</v>
      </c>
      <c r="I62" s="11">
        <f t="shared" si="36"/>
        <v>1882</v>
      </c>
      <c r="J62" s="11">
        <f t="shared" si="36"/>
        <v>1962</v>
      </c>
      <c r="K62" s="11">
        <f t="shared" si="36"/>
        <v>1992</v>
      </c>
      <c r="L62" s="11">
        <f t="shared" si="36"/>
        <v>250</v>
      </c>
      <c r="M62" s="11">
        <f t="shared" si="36"/>
        <v>199.9</v>
      </c>
      <c r="N62" s="7">
        <f t="shared" si="3"/>
        <v>79.959999999999994</v>
      </c>
    </row>
    <row r="63" spans="1:14" ht="31.5" x14ac:dyDescent="0.25">
      <c r="A63" s="31" t="s">
        <v>208</v>
      </c>
      <c r="B63" s="42" t="s">
        <v>414</v>
      </c>
      <c r="C63" s="42" t="s">
        <v>295</v>
      </c>
      <c r="D63" s="42" t="s">
        <v>266</v>
      </c>
      <c r="E63" s="42"/>
      <c r="F63" s="42"/>
      <c r="G63" s="11">
        <f>G64</f>
        <v>335</v>
      </c>
      <c r="H63" s="11">
        <f t="shared" si="36"/>
        <v>335</v>
      </c>
      <c r="I63" s="11">
        <f t="shared" si="36"/>
        <v>1882</v>
      </c>
      <c r="J63" s="11">
        <f t="shared" si="36"/>
        <v>1962</v>
      </c>
      <c r="K63" s="11">
        <f t="shared" si="36"/>
        <v>1992</v>
      </c>
      <c r="L63" s="11">
        <f t="shared" si="36"/>
        <v>250</v>
      </c>
      <c r="M63" s="11">
        <f t="shared" si="36"/>
        <v>199.9</v>
      </c>
      <c r="N63" s="7">
        <f t="shared" si="3"/>
        <v>79.959999999999994</v>
      </c>
    </row>
    <row r="64" spans="1:14" ht="15.75" x14ac:dyDescent="0.25">
      <c r="A64" s="31" t="s">
        <v>299</v>
      </c>
      <c r="B64" s="42" t="s">
        <v>414</v>
      </c>
      <c r="C64" s="42" t="s">
        <v>295</v>
      </c>
      <c r="D64" s="42" t="s">
        <v>266</v>
      </c>
      <c r="E64" s="42" t="s">
        <v>300</v>
      </c>
      <c r="F64" s="42"/>
      <c r="G64" s="11">
        <f>G65</f>
        <v>335</v>
      </c>
      <c r="H64" s="11">
        <f t="shared" si="36"/>
        <v>335</v>
      </c>
      <c r="I64" s="11">
        <f t="shared" si="36"/>
        <v>1882</v>
      </c>
      <c r="J64" s="11">
        <f t="shared" si="36"/>
        <v>1962</v>
      </c>
      <c r="K64" s="11">
        <f t="shared" si="36"/>
        <v>1992</v>
      </c>
      <c r="L64" s="11">
        <f t="shared" si="36"/>
        <v>250</v>
      </c>
      <c r="M64" s="11">
        <f t="shared" si="36"/>
        <v>199.9</v>
      </c>
      <c r="N64" s="7">
        <f t="shared" si="3"/>
        <v>79.959999999999994</v>
      </c>
    </row>
    <row r="65" spans="1:14" ht="31.5" x14ac:dyDescent="0.25">
      <c r="A65" s="31" t="s">
        <v>399</v>
      </c>
      <c r="B65" s="42" t="s">
        <v>414</v>
      </c>
      <c r="C65" s="42" t="s">
        <v>295</v>
      </c>
      <c r="D65" s="42" t="s">
        <v>266</v>
      </c>
      <c r="E65" s="42" t="s">
        <v>400</v>
      </c>
      <c r="F65" s="42"/>
      <c r="G65" s="11">
        <f>'Прил.№4 ведомств.'!G484</f>
        <v>335</v>
      </c>
      <c r="H65" s="11">
        <f>'Прил.№4 ведомств.'!I484</f>
        <v>335</v>
      </c>
      <c r="I65" s="11">
        <f>'Прил.№4 ведомств.'!J484</f>
        <v>1882</v>
      </c>
      <c r="J65" s="11">
        <f>'Прил.№4 ведомств.'!K484</f>
        <v>1962</v>
      </c>
      <c r="K65" s="11">
        <f>'Прил.№4 ведомств.'!L484</f>
        <v>1992</v>
      </c>
      <c r="L65" s="11">
        <f>'Прил.№4 ведомств.'!M484</f>
        <v>250</v>
      </c>
      <c r="M65" s="11">
        <f>'Прил.№4 ведомств.'!N484</f>
        <v>199.9</v>
      </c>
      <c r="N65" s="7">
        <f t="shared" si="3"/>
        <v>79.959999999999994</v>
      </c>
    </row>
    <row r="66" spans="1:14" ht="47.25" x14ac:dyDescent="0.25">
      <c r="A66" s="47" t="s">
        <v>312</v>
      </c>
      <c r="B66" s="42" t="s">
        <v>413</v>
      </c>
      <c r="C66" s="42" t="s">
        <v>295</v>
      </c>
      <c r="D66" s="42" t="s">
        <v>266</v>
      </c>
      <c r="E66" s="42"/>
      <c r="F66" s="42" t="s">
        <v>704</v>
      </c>
      <c r="G66" s="11">
        <f>G60</f>
        <v>335</v>
      </c>
      <c r="H66" s="11">
        <f t="shared" ref="H66:L66" si="37">H60</f>
        <v>335</v>
      </c>
      <c r="I66" s="11">
        <f t="shared" si="37"/>
        <v>1882</v>
      </c>
      <c r="J66" s="11">
        <f t="shared" si="37"/>
        <v>1962</v>
      </c>
      <c r="K66" s="11">
        <f t="shared" si="37"/>
        <v>1992</v>
      </c>
      <c r="L66" s="11">
        <f t="shared" si="37"/>
        <v>250</v>
      </c>
      <c r="M66" s="11">
        <f t="shared" ref="M66" si="38">M60</f>
        <v>199.9</v>
      </c>
      <c r="N66" s="7">
        <f t="shared" si="3"/>
        <v>79.959999999999994</v>
      </c>
    </row>
    <row r="67" spans="1:14" ht="47.25" x14ac:dyDescent="0.25">
      <c r="A67" s="64" t="s">
        <v>415</v>
      </c>
      <c r="B67" s="8" t="s">
        <v>416</v>
      </c>
      <c r="C67" s="8"/>
      <c r="D67" s="8"/>
      <c r="E67" s="8"/>
      <c r="F67" s="8"/>
      <c r="G67" s="68">
        <f>G68</f>
        <v>210</v>
      </c>
      <c r="H67" s="68">
        <f t="shared" ref="H67:M71" si="39">H68</f>
        <v>210</v>
      </c>
      <c r="I67" s="68">
        <f t="shared" si="39"/>
        <v>210</v>
      </c>
      <c r="J67" s="68">
        <f t="shared" si="39"/>
        <v>210</v>
      </c>
      <c r="K67" s="68">
        <f t="shared" si="39"/>
        <v>210</v>
      </c>
      <c r="L67" s="68">
        <f t="shared" si="39"/>
        <v>210</v>
      </c>
      <c r="M67" s="68">
        <f t="shared" si="39"/>
        <v>68</v>
      </c>
      <c r="N67" s="4">
        <f t="shared" si="3"/>
        <v>32.38095238095238</v>
      </c>
    </row>
    <row r="68" spans="1:14" ht="15.75" x14ac:dyDescent="0.25">
      <c r="A68" s="47" t="s">
        <v>294</v>
      </c>
      <c r="B68" s="42" t="s">
        <v>416</v>
      </c>
      <c r="C68" s="42" t="s">
        <v>295</v>
      </c>
      <c r="D68" s="42"/>
      <c r="E68" s="42"/>
      <c r="F68" s="42"/>
      <c r="G68" s="11">
        <f>G69</f>
        <v>210</v>
      </c>
      <c r="H68" s="11">
        <f t="shared" si="39"/>
        <v>210</v>
      </c>
      <c r="I68" s="11">
        <f t="shared" si="39"/>
        <v>210</v>
      </c>
      <c r="J68" s="11">
        <f t="shared" si="39"/>
        <v>210</v>
      </c>
      <c r="K68" s="11">
        <f t="shared" si="39"/>
        <v>210</v>
      </c>
      <c r="L68" s="11">
        <f t="shared" si="39"/>
        <v>210</v>
      </c>
      <c r="M68" s="11">
        <f t="shared" si="39"/>
        <v>68</v>
      </c>
      <c r="N68" s="7">
        <f t="shared" si="3"/>
        <v>32.38095238095238</v>
      </c>
    </row>
    <row r="69" spans="1:14" ht="15.75" x14ac:dyDescent="0.25">
      <c r="A69" s="47" t="s">
        <v>303</v>
      </c>
      <c r="B69" s="42" t="s">
        <v>416</v>
      </c>
      <c r="C69" s="42" t="s">
        <v>295</v>
      </c>
      <c r="D69" s="42" t="s">
        <v>266</v>
      </c>
      <c r="E69" s="42"/>
      <c r="F69" s="42"/>
      <c r="G69" s="11">
        <f>G70</f>
        <v>210</v>
      </c>
      <c r="H69" s="11">
        <f t="shared" si="39"/>
        <v>210</v>
      </c>
      <c r="I69" s="11">
        <f t="shared" si="39"/>
        <v>210</v>
      </c>
      <c r="J69" s="11">
        <f t="shared" si="39"/>
        <v>210</v>
      </c>
      <c r="K69" s="11">
        <f t="shared" si="39"/>
        <v>210</v>
      </c>
      <c r="L69" s="11">
        <f t="shared" si="39"/>
        <v>210</v>
      </c>
      <c r="M69" s="11">
        <f t="shared" si="39"/>
        <v>68</v>
      </c>
      <c r="N69" s="7">
        <f t="shared" si="3"/>
        <v>32.38095238095238</v>
      </c>
    </row>
    <row r="70" spans="1:14" ht="42.75" customHeight="1" x14ac:dyDescent="0.25">
      <c r="A70" s="31" t="s">
        <v>208</v>
      </c>
      <c r="B70" s="42" t="s">
        <v>417</v>
      </c>
      <c r="C70" s="42" t="s">
        <v>295</v>
      </c>
      <c r="D70" s="42" t="s">
        <v>266</v>
      </c>
      <c r="E70" s="42"/>
      <c r="F70" s="42"/>
      <c r="G70" s="11">
        <f>G71</f>
        <v>210</v>
      </c>
      <c r="H70" s="11">
        <f t="shared" si="39"/>
        <v>210</v>
      </c>
      <c r="I70" s="11">
        <f t="shared" si="39"/>
        <v>210</v>
      </c>
      <c r="J70" s="11">
        <f t="shared" si="39"/>
        <v>210</v>
      </c>
      <c r="K70" s="11">
        <f t="shared" si="39"/>
        <v>210</v>
      </c>
      <c r="L70" s="11">
        <f t="shared" si="39"/>
        <v>210</v>
      </c>
      <c r="M70" s="11">
        <f t="shared" si="39"/>
        <v>68</v>
      </c>
      <c r="N70" s="7">
        <f t="shared" si="3"/>
        <v>32.38095238095238</v>
      </c>
    </row>
    <row r="71" spans="1:14" ht="31.5" x14ac:dyDescent="0.25">
      <c r="A71" s="31" t="s">
        <v>182</v>
      </c>
      <c r="B71" s="42" t="s">
        <v>417</v>
      </c>
      <c r="C71" s="42" t="s">
        <v>295</v>
      </c>
      <c r="D71" s="42" t="s">
        <v>266</v>
      </c>
      <c r="E71" s="42" t="s">
        <v>183</v>
      </c>
      <c r="F71" s="42"/>
      <c r="G71" s="11">
        <f>G72</f>
        <v>210</v>
      </c>
      <c r="H71" s="11">
        <f t="shared" si="39"/>
        <v>210</v>
      </c>
      <c r="I71" s="11">
        <f t="shared" si="39"/>
        <v>210</v>
      </c>
      <c r="J71" s="11">
        <f t="shared" si="39"/>
        <v>210</v>
      </c>
      <c r="K71" s="11">
        <f t="shared" si="39"/>
        <v>210</v>
      </c>
      <c r="L71" s="11">
        <f t="shared" si="39"/>
        <v>210</v>
      </c>
      <c r="M71" s="11">
        <f t="shared" si="39"/>
        <v>68</v>
      </c>
      <c r="N71" s="7">
        <f t="shared" si="3"/>
        <v>32.38095238095238</v>
      </c>
    </row>
    <row r="72" spans="1:14" ht="31.5" x14ac:dyDescent="0.25">
      <c r="A72" s="31" t="s">
        <v>184</v>
      </c>
      <c r="B72" s="42" t="s">
        <v>417</v>
      </c>
      <c r="C72" s="42" t="s">
        <v>295</v>
      </c>
      <c r="D72" s="42" t="s">
        <v>266</v>
      </c>
      <c r="E72" s="42" t="s">
        <v>185</v>
      </c>
      <c r="F72" s="42"/>
      <c r="G72" s="11">
        <f>'Прил.№4 ведомств.'!G488</f>
        <v>210</v>
      </c>
      <c r="H72" s="11">
        <f>'Прил.№4 ведомств.'!I488</f>
        <v>210</v>
      </c>
      <c r="I72" s="11">
        <f>'Прил.№4 ведомств.'!J488</f>
        <v>210</v>
      </c>
      <c r="J72" s="11">
        <f>'Прил.№4 ведомств.'!K488</f>
        <v>210</v>
      </c>
      <c r="K72" s="11">
        <f>'Прил.№4 ведомств.'!L488</f>
        <v>210</v>
      </c>
      <c r="L72" s="11">
        <f>'Прил.№4 ведомств.'!M488</f>
        <v>210</v>
      </c>
      <c r="M72" s="11">
        <f>'Прил.№4 ведомств.'!N488</f>
        <v>68</v>
      </c>
      <c r="N72" s="7">
        <f t="shared" si="3"/>
        <v>32.38095238095238</v>
      </c>
    </row>
    <row r="73" spans="1:14" ht="47.25" x14ac:dyDescent="0.25">
      <c r="A73" s="47" t="s">
        <v>312</v>
      </c>
      <c r="B73" s="42" t="s">
        <v>416</v>
      </c>
      <c r="C73" s="42" t="s">
        <v>295</v>
      </c>
      <c r="D73" s="42" t="s">
        <v>266</v>
      </c>
      <c r="E73" s="42"/>
      <c r="F73" s="42" t="s">
        <v>704</v>
      </c>
      <c r="G73" s="11">
        <f>G67</f>
        <v>210</v>
      </c>
      <c r="H73" s="11">
        <f t="shared" ref="H73:L73" si="40">H67</f>
        <v>210</v>
      </c>
      <c r="I73" s="11">
        <f t="shared" si="40"/>
        <v>210</v>
      </c>
      <c r="J73" s="11">
        <f t="shared" si="40"/>
        <v>210</v>
      </c>
      <c r="K73" s="11">
        <f t="shared" si="40"/>
        <v>210</v>
      </c>
      <c r="L73" s="11">
        <f t="shared" si="40"/>
        <v>210</v>
      </c>
      <c r="M73" s="11">
        <f t="shared" ref="M73" si="41">M67</f>
        <v>68</v>
      </c>
      <c r="N73" s="7">
        <f t="shared" si="3"/>
        <v>32.38095238095238</v>
      </c>
    </row>
    <row r="74" spans="1:14" ht="47.25" x14ac:dyDescent="0.25">
      <c r="A74" s="43" t="s">
        <v>418</v>
      </c>
      <c r="B74" s="8" t="s">
        <v>419</v>
      </c>
      <c r="C74" s="8"/>
      <c r="D74" s="8"/>
      <c r="E74" s="8"/>
      <c r="F74" s="8"/>
      <c r="G74" s="68">
        <f>G75</f>
        <v>30</v>
      </c>
      <c r="H74" s="68">
        <f t="shared" ref="H74:M75" si="42">H75</f>
        <v>30</v>
      </c>
      <c r="I74" s="68">
        <f t="shared" si="42"/>
        <v>30</v>
      </c>
      <c r="J74" s="68">
        <f t="shared" si="42"/>
        <v>30</v>
      </c>
      <c r="K74" s="68">
        <f t="shared" si="42"/>
        <v>30</v>
      </c>
      <c r="L74" s="68">
        <f t="shared" si="42"/>
        <v>20</v>
      </c>
      <c r="M74" s="68">
        <f t="shared" si="42"/>
        <v>0</v>
      </c>
      <c r="N74" s="4">
        <f t="shared" si="3"/>
        <v>0</v>
      </c>
    </row>
    <row r="75" spans="1:14" ht="15.75" x14ac:dyDescent="0.25">
      <c r="A75" s="47" t="s">
        <v>294</v>
      </c>
      <c r="B75" s="42" t="s">
        <v>419</v>
      </c>
      <c r="C75" s="42" t="s">
        <v>295</v>
      </c>
      <c r="D75" s="42"/>
      <c r="E75" s="42"/>
      <c r="F75" s="42"/>
      <c r="G75" s="11">
        <f>G76</f>
        <v>30</v>
      </c>
      <c r="H75" s="11">
        <f t="shared" si="42"/>
        <v>30</v>
      </c>
      <c r="I75" s="11">
        <f t="shared" si="42"/>
        <v>30</v>
      </c>
      <c r="J75" s="11">
        <f t="shared" si="42"/>
        <v>30</v>
      </c>
      <c r="K75" s="11">
        <f t="shared" si="42"/>
        <v>30</v>
      </c>
      <c r="L75" s="11">
        <f t="shared" si="42"/>
        <v>20</v>
      </c>
      <c r="M75" s="11">
        <f t="shared" si="42"/>
        <v>0</v>
      </c>
      <c r="N75" s="7">
        <f t="shared" si="3"/>
        <v>0</v>
      </c>
    </row>
    <row r="76" spans="1:14" ht="15.75" x14ac:dyDescent="0.25">
      <c r="A76" s="47" t="s">
        <v>303</v>
      </c>
      <c r="B76" s="42" t="s">
        <v>419</v>
      </c>
      <c r="C76" s="42" t="s">
        <v>295</v>
      </c>
      <c r="D76" s="42" t="s">
        <v>266</v>
      </c>
      <c r="E76" s="42"/>
      <c r="F76" s="42"/>
      <c r="G76" s="11">
        <f>G77+G95+G86+G90+G82</f>
        <v>30</v>
      </c>
      <c r="H76" s="11">
        <f t="shared" ref="H76:L76" si="43">H77+H95+H86+H90+H82</f>
        <v>30</v>
      </c>
      <c r="I76" s="11">
        <f t="shared" si="43"/>
        <v>30</v>
      </c>
      <c r="J76" s="11">
        <f t="shared" si="43"/>
        <v>30</v>
      </c>
      <c r="K76" s="11">
        <f t="shared" si="43"/>
        <v>30</v>
      </c>
      <c r="L76" s="11">
        <f t="shared" si="43"/>
        <v>20</v>
      </c>
      <c r="M76" s="11">
        <f t="shared" ref="M76" si="44">M77+M95+M86+M90+M82</f>
        <v>0</v>
      </c>
      <c r="N76" s="7">
        <f t="shared" si="3"/>
        <v>0</v>
      </c>
    </row>
    <row r="77" spans="1:14" ht="45" customHeight="1" x14ac:dyDescent="0.25">
      <c r="A77" s="31" t="s">
        <v>208</v>
      </c>
      <c r="B77" s="42" t="s">
        <v>421</v>
      </c>
      <c r="C77" s="42" t="s">
        <v>295</v>
      </c>
      <c r="D77" s="42" t="s">
        <v>266</v>
      </c>
      <c r="E77" s="42"/>
      <c r="F77" s="42"/>
      <c r="G77" s="11">
        <f>G80+G78</f>
        <v>20</v>
      </c>
      <c r="H77" s="11">
        <f t="shared" ref="H77:L77" si="45">H80+H78</f>
        <v>20</v>
      </c>
      <c r="I77" s="11">
        <f t="shared" si="45"/>
        <v>20</v>
      </c>
      <c r="J77" s="11">
        <f t="shared" si="45"/>
        <v>20</v>
      </c>
      <c r="K77" s="11">
        <f t="shared" si="45"/>
        <v>20</v>
      </c>
      <c r="L77" s="11">
        <f t="shared" si="45"/>
        <v>10</v>
      </c>
      <c r="M77" s="11">
        <f t="shared" ref="M77" si="46">M80+M78</f>
        <v>0</v>
      </c>
      <c r="N77" s="7">
        <f t="shared" ref="N77:N140" si="47">M77/L77*100</f>
        <v>0</v>
      </c>
    </row>
    <row r="78" spans="1:14" ht="31.5" hidden="1" x14ac:dyDescent="0.25">
      <c r="A78" s="31" t="s">
        <v>182</v>
      </c>
      <c r="B78" s="42" t="s">
        <v>419</v>
      </c>
      <c r="C78" s="42" t="s">
        <v>295</v>
      </c>
      <c r="D78" s="42" t="s">
        <v>266</v>
      </c>
      <c r="E78" s="42" t="s">
        <v>183</v>
      </c>
      <c r="F78" s="42"/>
      <c r="G78" s="11">
        <f>G79</f>
        <v>0</v>
      </c>
      <c r="H78" s="11">
        <f t="shared" ref="H78:M78" si="48">H79</f>
        <v>0</v>
      </c>
      <c r="I78" s="11">
        <f t="shared" si="48"/>
        <v>0</v>
      </c>
      <c r="J78" s="11">
        <f t="shared" si="48"/>
        <v>0</v>
      </c>
      <c r="K78" s="11">
        <f t="shared" si="48"/>
        <v>0</v>
      </c>
      <c r="L78" s="11">
        <f t="shared" si="48"/>
        <v>0</v>
      </c>
      <c r="M78" s="11">
        <f t="shared" si="48"/>
        <v>0</v>
      </c>
      <c r="N78" s="7" t="e">
        <f t="shared" si="47"/>
        <v>#DIV/0!</v>
      </c>
    </row>
    <row r="79" spans="1:14" ht="31.5" hidden="1" x14ac:dyDescent="0.25">
      <c r="A79" s="31" t="s">
        <v>184</v>
      </c>
      <c r="B79" s="42" t="s">
        <v>419</v>
      </c>
      <c r="C79" s="42" t="s">
        <v>295</v>
      </c>
      <c r="D79" s="42" t="s">
        <v>266</v>
      </c>
      <c r="E79" s="42" t="s">
        <v>185</v>
      </c>
      <c r="F79" s="42"/>
      <c r="G79" s="11"/>
      <c r="H79" s="11"/>
      <c r="I79" s="11"/>
      <c r="J79" s="11"/>
      <c r="K79" s="11"/>
      <c r="L79" s="11"/>
      <c r="M79" s="11"/>
      <c r="N79" s="7" t="e">
        <f t="shared" si="47"/>
        <v>#DIV/0!</v>
      </c>
    </row>
    <row r="80" spans="1:14" ht="31.5" x14ac:dyDescent="0.25">
      <c r="A80" s="26" t="s">
        <v>323</v>
      </c>
      <c r="B80" s="42" t="s">
        <v>421</v>
      </c>
      <c r="C80" s="42" t="s">
        <v>295</v>
      </c>
      <c r="D80" s="42" t="s">
        <v>266</v>
      </c>
      <c r="E80" s="42" t="s">
        <v>324</v>
      </c>
      <c r="F80" s="42"/>
      <c r="G80" s="11">
        <f>G81</f>
        <v>20</v>
      </c>
      <c r="H80" s="11">
        <f t="shared" ref="H80:M80" si="49">H81</f>
        <v>20</v>
      </c>
      <c r="I80" s="11">
        <f t="shared" si="49"/>
        <v>20</v>
      </c>
      <c r="J80" s="11">
        <f t="shared" si="49"/>
        <v>20</v>
      </c>
      <c r="K80" s="11">
        <f t="shared" si="49"/>
        <v>20</v>
      </c>
      <c r="L80" s="11">
        <f t="shared" si="49"/>
        <v>10</v>
      </c>
      <c r="M80" s="11">
        <f t="shared" si="49"/>
        <v>0</v>
      </c>
      <c r="N80" s="7">
        <f t="shared" si="47"/>
        <v>0</v>
      </c>
    </row>
    <row r="81" spans="1:14" ht="72.75" customHeight="1" x14ac:dyDescent="0.25">
      <c r="A81" s="26" t="s">
        <v>422</v>
      </c>
      <c r="B81" s="42" t="s">
        <v>421</v>
      </c>
      <c r="C81" s="42" t="s">
        <v>295</v>
      </c>
      <c r="D81" s="42" t="s">
        <v>266</v>
      </c>
      <c r="E81" s="42" t="s">
        <v>423</v>
      </c>
      <c r="F81" s="42"/>
      <c r="G81" s="11">
        <f>'Прил.№4 ведомств.'!G492</f>
        <v>20</v>
      </c>
      <c r="H81" s="11">
        <f>'Прил.№4 ведомств.'!I492</f>
        <v>20</v>
      </c>
      <c r="I81" s="11">
        <f>'Прил.№4 ведомств.'!J492</f>
        <v>20</v>
      </c>
      <c r="J81" s="11">
        <f>'Прил.№4 ведомств.'!K492</f>
        <v>20</v>
      </c>
      <c r="K81" s="11">
        <f>'Прил.№4 ведомств.'!L492</f>
        <v>20</v>
      </c>
      <c r="L81" s="11">
        <f>'Прил.№4 ведомств.'!M492</f>
        <v>10</v>
      </c>
      <c r="M81" s="11">
        <f>'Прил.№4 ведомств.'!N492</f>
        <v>0</v>
      </c>
      <c r="N81" s="7">
        <f t="shared" si="47"/>
        <v>0</v>
      </c>
    </row>
    <row r="82" spans="1:14" ht="47.25" x14ac:dyDescent="0.25">
      <c r="A82" s="26" t="s">
        <v>426</v>
      </c>
      <c r="B82" s="21" t="s">
        <v>427</v>
      </c>
      <c r="C82" s="42" t="s">
        <v>295</v>
      </c>
      <c r="D82" s="42" t="s">
        <v>266</v>
      </c>
      <c r="E82" s="42"/>
      <c r="F82" s="42"/>
      <c r="G82" s="11">
        <f>G83</f>
        <v>10</v>
      </c>
      <c r="H82" s="11">
        <f t="shared" ref="H82:M83" si="50">H83</f>
        <v>10</v>
      </c>
      <c r="I82" s="11">
        <f t="shared" si="50"/>
        <v>10</v>
      </c>
      <c r="J82" s="11">
        <f t="shared" si="50"/>
        <v>10</v>
      </c>
      <c r="K82" s="11">
        <f t="shared" si="50"/>
        <v>10</v>
      </c>
      <c r="L82" s="11">
        <f t="shared" si="50"/>
        <v>10</v>
      </c>
      <c r="M82" s="11">
        <f t="shared" si="50"/>
        <v>0</v>
      </c>
      <c r="N82" s="7">
        <f t="shared" si="47"/>
        <v>0</v>
      </c>
    </row>
    <row r="83" spans="1:14" ht="15.75" x14ac:dyDescent="0.25">
      <c r="A83" s="26" t="s">
        <v>299</v>
      </c>
      <c r="B83" s="21" t="s">
        <v>427</v>
      </c>
      <c r="C83" s="42" t="s">
        <v>295</v>
      </c>
      <c r="D83" s="42" t="s">
        <v>266</v>
      </c>
      <c r="E83" s="42" t="s">
        <v>300</v>
      </c>
      <c r="F83" s="42"/>
      <c r="G83" s="11">
        <f>G84</f>
        <v>10</v>
      </c>
      <c r="H83" s="11">
        <f t="shared" si="50"/>
        <v>10</v>
      </c>
      <c r="I83" s="11">
        <f t="shared" si="50"/>
        <v>10</v>
      </c>
      <c r="J83" s="11">
        <f t="shared" si="50"/>
        <v>10</v>
      </c>
      <c r="K83" s="11">
        <f t="shared" si="50"/>
        <v>10</v>
      </c>
      <c r="L83" s="11">
        <f t="shared" si="50"/>
        <v>10</v>
      </c>
      <c r="M83" s="11">
        <f t="shared" si="50"/>
        <v>0</v>
      </c>
      <c r="N83" s="7">
        <f t="shared" si="47"/>
        <v>0</v>
      </c>
    </row>
    <row r="84" spans="1:14" ht="31.5" x14ac:dyDescent="0.25">
      <c r="A84" s="26" t="s">
        <v>301</v>
      </c>
      <c r="B84" s="21" t="s">
        <v>427</v>
      </c>
      <c r="C84" s="42" t="s">
        <v>295</v>
      </c>
      <c r="D84" s="42" t="s">
        <v>266</v>
      </c>
      <c r="E84" s="42" t="s">
        <v>302</v>
      </c>
      <c r="F84" s="42"/>
      <c r="G84" s="11">
        <f>'Прил.№4 ведомств.'!G501</f>
        <v>10</v>
      </c>
      <c r="H84" s="11">
        <f>'Прил.№4 ведомств.'!I501</f>
        <v>10</v>
      </c>
      <c r="I84" s="11">
        <f>'Прил.№4 ведомств.'!J501</f>
        <v>10</v>
      </c>
      <c r="J84" s="11">
        <f>'Прил.№4 ведомств.'!K501</f>
        <v>10</v>
      </c>
      <c r="K84" s="11">
        <f>'Прил.№4 ведомств.'!L501</f>
        <v>10</v>
      </c>
      <c r="L84" s="11">
        <f>'Прил.№4 ведомств.'!M501</f>
        <v>10</v>
      </c>
      <c r="M84" s="11">
        <f>'Прил.№4 ведомств.'!N501</f>
        <v>0</v>
      </c>
      <c r="N84" s="7">
        <f t="shared" si="47"/>
        <v>0</v>
      </c>
    </row>
    <row r="85" spans="1:14" ht="47.25" x14ac:dyDescent="0.25">
      <c r="A85" s="47" t="s">
        <v>312</v>
      </c>
      <c r="B85" s="21" t="s">
        <v>419</v>
      </c>
      <c r="C85" s="42" t="s">
        <v>295</v>
      </c>
      <c r="D85" s="42" t="s">
        <v>266</v>
      </c>
      <c r="E85" s="42"/>
      <c r="F85" s="10" t="s">
        <v>704</v>
      </c>
      <c r="G85" s="11">
        <f>G74</f>
        <v>30</v>
      </c>
      <c r="H85" s="11">
        <f t="shared" ref="H85:L85" si="51">H74</f>
        <v>30</v>
      </c>
      <c r="I85" s="11">
        <f t="shared" si="51"/>
        <v>30</v>
      </c>
      <c r="J85" s="11">
        <f t="shared" si="51"/>
        <v>30</v>
      </c>
      <c r="K85" s="11">
        <f t="shared" si="51"/>
        <v>30</v>
      </c>
      <c r="L85" s="11">
        <f t="shared" si="51"/>
        <v>20</v>
      </c>
      <c r="M85" s="11">
        <f t="shared" ref="M85" si="52">M74</f>
        <v>0</v>
      </c>
      <c r="N85" s="7">
        <f t="shared" si="47"/>
        <v>0</v>
      </c>
    </row>
    <row r="86" spans="1:14" ht="110.25" hidden="1" x14ac:dyDescent="0.25">
      <c r="A86" s="26" t="s">
        <v>424</v>
      </c>
      <c r="B86" s="21" t="s">
        <v>425</v>
      </c>
      <c r="C86" s="42" t="s">
        <v>295</v>
      </c>
      <c r="D86" s="42" t="s">
        <v>266</v>
      </c>
      <c r="E86" s="42"/>
      <c r="F86" s="10"/>
      <c r="G86" s="11">
        <f>G87</f>
        <v>0</v>
      </c>
      <c r="H86" s="11">
        <f t="shared" ref="H86:M87" si="53">H87</f>
        <v>0</v>
      </c>
      <c r="I86" s="11">
        <f t="shared" si="53"/>
        <v>0</v>
      </c>
      <c r="J86" s="11">
        <f t="shared" si="53"/>
        <v>0</v>
      </c>
      <c r="K86" s="11">
        <f t="shared" si="53"/>
        <v>0</v>
      </c>
      <c r="L86" s="11">
        <f t="shared" si="53"/>
        <v>0</v>
      </c>
      <c r="M86" s="11">
        <f t="shared" si="53"/>
        <v>0</v>
      </c>
      <c r="N86" s="4" t="e">
        <f t="shared" si="47"/>
        <v>#DIV/0!</v>
      </c>
    </row>
    <row r="87" spans="1:14" ht="15.75" hidden="1" x14ac:dyDescent="0.25">
      <c r="A87" s="26" t="s">
        <v>186</v>
      </c>
      <c r="B87" s="21" t="s">
        <v>425</v>
      </c>
      <c r="C87" s="42" t="s">
        <v>295</v>
      </c>
      <c r="D87" s="42" t="s">
        <v>266</v>
      </c>
      <c r="E87" s="42" t="s">
        <v>196</v>
      </c>
      <c r="F87" s="10"/>
      <c r="G87" s="11">
        <f>G88</f>
        <v>0</v>
      </c>
      <c r="H87" s="11">
        <f t="shared" si="53"/>
        <v>0</v>
      </c>
      <c r="I87" s="11">
        <f t="shared" si="53"/>
        <v>0</v>
      </c>
      <c r="J87" s="11">
        <f t="shared" si="53"/>
        <v>0</v>
      </c>
      <c r="K87" s="11">
        <f t="shared" si="53"/>
        <v>0</v>
      </c>
      <c r="L87" s="11">
        <f t="shared" si="53"/>
        <v>0</v>
      </c>
      <c r="M87" s="11">
        <f t="shared" si="53"/>
        <v>0</v>
      </c>
      <c r="N87" s="4" t="e">
        <f t="shared" si="47"/>
        <v>#DIV/0!</v>
      </c>
    </row>
    <row r="88" spans="1:14" ht="47.25" hidden="1" x14ac:dyDescent="0.25">
      <c r="A88" s="26" t="s">
        <v>235</v>
      </c>
      <c r="B88" s="21" t="s">
        <v>425</v>
      </c>
      <c r="C88" s="42" t="s">
        <v>295</v>
      </c>
      <c r="D88" s="42" t="s">
        <v>266</v>
      </c>
      <c r="E88" s="42" t="s">
        <v>211</v>
      </c>
      <c r="F88" s="10"/>
      <c r="G88" s="11"/>
      <c r="H88" s="11"/>
      <c r="I88" s="11"/>
      <c r="J88" s="11"/>
      <c r="K88" s="11"/>
      <c r="L88" s="11"/>
      <c r="M88" s="11"/>
      <c r="N88" s="4" t="e">
        <f t="shared" si="47"/>
        <v>#DIV/0!</v>
      </c>
    </row>
    <row r="89" spans="1:14" ht="47.25" hidden="1" x14ac:dyDescent="0.25">
      <c r="A89" s="47" t="s">
        <v>312</v>
      </c>
      <c r="B89" s="21" t="s">
        <v>425</v>
      </c>
      <c r="C89" s="42" t="s">
        <v>295</v>
      </c>
      <c r="D89" s="42" t="s">
        <v>266</v>
      </c>
      <c r="E89" s="42"/>
      <c r="F89" s="10" t="s">
        <v>704</v>
      </c>
      <c r="G89" s="11">
        <f>G88</f>
        <v>0</v>
      </c>
      <c r="H89" s="11">
        <f t="shared" ref="H89:L89" si="54">H88</f>
        <v>0</v>
      </c>
      <c r="I89" s="11">
        <f t="shared" si="54"/>
        <v>0</v>
      </c>
      <c r="J89" s="11">
        <f t="shared" si="54"/>
        <v>0</v>
      </c>
      <c r="K89" s="11">
        <f t="shared" si="54"/>
        <v>0</v>
      </c>
      <c r="L89" s="11">
        <f t="shared" si="54"/>
        <v>0</v>
      </c>
      <c r="M89" s="11">
        <f t="shared" ref="M89" si="55">M88</f>
        <v>0</v>
      </c>
      <c r="N89" s="4" t="e">
        <f t="shared" si="47"/>
        <v>#DIV/0!</v>
      </c>
    </row>
    <row r="90" spans="1:14" ht="47.25" hidden="1" x14ac:dyDescent="0.25">
      <c r="A90" s="26" t="s">
        <v>426</v>
      </c>
      <c r="B90" s="21" t="s">
        <v>427</v>
      </c>
      <c r="C90" s="42" t="s">
        <v>295</v>
      </c>
      <c r="D90" s="42" t="s">
        <v>266</v>
      </c>
      <c r="E90" s="42"/>
      <c r="F90" s="10"/>
      <c r="G90" s="11">
        <f>G91</f>
        <v>0</v>
      </c>
      <c r="H90" s="11">
        <f t="shared" ref="H90:M91" si="56">H91</f>
        <v>0</v>
      </c>
      <c r="I90" s="11">
        <f t="shared" si="56"/>
        <v>0</v>
      </c>
      <c r="J90" s="11">
        <f t="shared" si="56"/>
        <v>0</v>
      </c>
      <c r="K90" s="11">
        <f t="shared" si="56"/>
        <v>0</v>
      </c>
      <c r="L90" s="11">
        <f t="shared" si="56"/>
        <v>0</v>
      </c>
      <c r="M90" s="11">
        <f t="shared" si="56"/>
        <v>0</v>
      </c>
      <c r="N90" s="4" t="e">
        <f t="shared" si="47"/>
        <v>#DIV/0!</v>
      </c>
    </row>
    <row r="91" spans="1:14" ht="15.75" hidden="1" x14ac:dyDescent="0.25">
      <c r="A91" s="31" t="s">
        <v>299</v>
      </c>
      <c r="B91" s="21" t="s">
        <v>427</v>
      </c>
      <c r="C91" s="42" t="s">
        <v>295</v>
      </c>
      <c r="D91" s="42" t="s">
        <v>266</v>
      </c>
      <c r="E91" s="42" t="s">
        <v>300</v>
      </c>
      <c r="F91" s="10"/>
      <c r="G91" s="11">
        <f>G92</f>
        <v>0</v>
      </c>
      <c r="H91" s="11">
        <f t="shared" si="56"/>
        <v>0</v>
      </c>
      <c r="I91" s="11">
        <f t="shared" si="56"/>
        <v>0</v>
      </c>
      <c r="J91" s="11">
        <f t="shared" si="56"/>
        <v>0</v>
      </c>
      <c r="K91" s="11">
        <f t="shared" si="56"/>
        <v>0</v>
      </c>
      <c r="L91" s="11">
        <f t="shared" si="56"/>
        <v>0</v>
      </c>
      <c r="M91" s="11">
        <f t="shared" si="56"/>
        <v>0</v>
      </c>
      <c r="N91" s="4" t="e">
        <f t="shared" si="47"/>
        <v>#DIV/0!</v>
      </c>
    </row>
    <row r="92" spans="1:14" ht="31.5" hidden="1" x14ac:dyDescent="0.25">
      <c r="A92" s="31" t="s">
        <v>301</v>
      </c>
      <c r="B92" s="21" t="s">
        <v>427</v>
      </c>
      <c r="C92" s="42" t="s">
        <v>295</v>
      </c>
      <c r="D92" s="42" t="s">
        <v>266</v>
      </c>
      <c r="E92" s="42" t="s">
        <v>302</v>
      </c>
      <c r="F92" s="10"/>
      <c r="G92" s="11"/>
      <c r="H92" s="11"/>
      <c r="I92" s="11"/>
      <c r="J92" s="11"/>
      <c r="K92" s="11"/>
      <c r="L92" s="11"/>
      <c r="M92" s="11"/>
      <c r="N92" s="4" t="e">
        <f t="shared" si="47"/>
        <v>#DIV/0!</v>
      </c>
    </row>
    <row r="93" spans="1:14" ht="47.25" hidden="1" x14ac:dyDescent="0.25">
      <c r="A93" s="47" t="s">
        <v>312</v>
      </c>
      <c r="B93" s="21" t="s">
        <v>427</v>
      </c>
      <c r="C93" s="42" t="s">
        <v>295</v>
      </c>
      <c r="D93" s="42" t="s">
        <v>266</v>
      </c>
      <c r="E93" s="42"/>
      <c r="F93" s="10" t="s">
        <v>704</v>
      </c>
      <c r="G93" s="11">
        <f>G90</f>
        <v>0</v>
      </c>
      <c r="H93" s="11">
        <f t="shared" ref="H93:L93" si="57">H90</f>
        <v>0</v>
      </c>
      <c r="I93" s="11">
        <f t="shared" si="57"/>
        <v>0</v>
      </c>
      <c r="J93" s="11">
        <f t="shared" si="57"/>
        <v>0</v>
      </c>
      <c r="K93" s="11">
        <f t="shared" si="57"/>
        <v>0</v>
      </c>
      <c r="L93" s="11">
        <f t="shared" si="57"/>
        <v>0</v>
      </c>
      <c r="M93" s="11">
        <f t="shared" ref="M93" si="58">M90</f>
        <v>0</v>
      </c>
      <c r="N93" s="4" t="e">
        <f t="shared" si="47"/>
        <v>#DIV/0!</v>
      </c>
    </row>
    <row r="94" spans="1:14" ht="31.5" hidden="1" x14ac:dyDescent="0.25">
      <c r="A94" s="31" t="s">
        <v>428</v>
      </c>
      <c r="B94" s="21" t="s">
        <v>429</v>
      </c>
      <c r="C94" s="42" t="s">
        <v>295</v>
      </c>
      <c r="D94" s="42" t="s">
        <v>266</v>
      </c>
      <c r="E94" s="42"/>
      <c r="F94" s="42"/>
      <c r="G94" s="11">
        <f>G95</f>
        <v>0</v>
      </c>
      <c r="H94" s="11">
        <f t="shared" ref="H94:M95" si="59">H95</f>
        <v>0</v>
      </c>
      <c r="I94" s="11">
        <f t="shared" si="59"/>
        <v>0</v>
      </c>
      <c r="J94" s="11">
        <f t="shared" si="59"/>
        <v>0</v>
      </c>
      <c r="K94" s="11">
        <f t="shared" si="59"/>
        <v>0</v>
      </c>
      <c r="L94" s="11">
        <f t="shared" si="59"/>
        <v>0</v>
      </c>
      <c r="M94" s="11">
        <f t="shared" si="59"/>
        <v>0</v>
      </c>
      <c r="N94" s="4" t="e">
        <f t="shared" si="47"/>
        <v>#DIV/0!</v>
      </c>
    </row>
    <row r="95" spans="1:14" ht="31.5" hidden="1" x14ac:dyDescent="0.25">
      <c r="A95" s="31" t="s">
        <v>182</v>
      </c>
      <c r="B95" s="21" t="s">
        <v>429</v>
      </c>
      <c r="C95" s="42" t="s">
        <v>295</v>
      </c>
      <c r="D95" s="42" t="s">
        <v>266</v>
      </c>
      <c r="E95" s="42" t="s">
        <v>183</v>
      </c>
      <c r="F95" s="42"/>
      <c r="G95" s="11">
        <f>G96</f>
        <v>0</v>
      </c>
      <c r="H95" s="11">
        <f t="shared" si="59"/>
        <v>0</v>
      </c>
      <c r="I95" s="11">
        <f t="shared" si="59"/>
        <v>0</v>
      </c>
      <c r="J95" s="11">
        <f t="shared" si="59"/>
        <v>0</v>
      </c>
      <c r="K95" s="11">
        <f t="shared" si="59"/>
        <v>0</v>
      </c>
      <c r="L95" s="11">
        <f t="shared" si="59"/>
        <v>0</v>
      </c>
      <c r="M95" s="11">
        <f t="shared" si="59"/>
        <v>0</v>
      </c>
      <c r="N95" s="4" t="e">
        <f t="shared" si="47"/>
        <v>#DIV/0!</v>
      </c>
    </row>
    <row r="96" spans="1:14" ht="31.5" hidden="1" x14ac:dyDescent="0.25">
      <c r="A96" s="31" t="s">
        <v>184</v>
      </c>
      <c r="B96" s="21" t="s">
        <v>429</v>
      </c>
      <c r="C96" s="42" t="s">
        <v>295</v>
      </c>
      <c r="D96" s="42" t="s">
        <v>266</v>
      </c>
      <c r="E96" s="42" t="s">
        <v>185</v>
      </c>
      <c r="F96" s="42"/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4" t="e">
        <f t="shared" si="47"/>
        <v>#DIV/0!</v>
      </c>
    </row>
    <row r="97" spans="1:14" ht="15.75" hidden="1" x14ac:dyDescent="0.25">
      <c r="A97" s="31" t="s">
        <v>186</v>
      </c>
      <c r="B97" s="21" t="s">
        <v>429</v>
      </c>
      <c r="C97" s="42" t="s">
        <v>295</v>
      </c>
      <c r="D97" s="42" t="s">
        <v>266</v>
      </c>
      <c r="E97" s="42" t="s">
        <v>196</v>
      </c>
      <c r="F97" s="42"/>
      <c r="G97" s="11"/>
      <c r="H97" s="11"/>
      <c r="I97" s="11"/>
      <c r="J97" s="11"/>
      <c r="K97" s="11"/>
      <c r="L97" s="11"/>
      <c r="M97" s="11"/>
      <c r="N97" s="4" t="e">
        <f t="shared" si="47"/>
        <v>#DIV/0!</v>
      </c>
    </row>
    <row r="98" spans="1:14" ht="47.25" hidden="1" x14ac:dyDescent="0.25">
      <c r="A98" s="31" t="s">
        <v>235</v>
      </c>
      <c r="B98" s="21" t="s">
        <v>429</v>
      </c>
      <c r="C98" s="42" t="s">
        <v>295</v>
      </c>
      <c r="D98" s="42" t="s">
        <v>266</v>
      </c>
      <c r="E98" s="42" t="s">
        <v>211</v>
      </c>
      <c r="F98" s="42"/>
      <c r="G98" s="11"/>
      <c r="H98" s="11"/>
      <c r="I98" s="11"/>
      <c r="J98" s="11"/>
      <c r="K98" s="11"/>
      <c r="L98" s="11"/>
      <c r="M98" s="11"/>
      <c r="N98" s="4" t="e">
        <f t="shared" si="47"/>
        <v>#DIV/0!</v>
      </c>
    </row>
    <row r="99" spans="1:14" ht="47.25" hidden="1" x14ac:dyDescent="0.25">
      <c r="A99" s="47" t="s">
        <v>312</v>
      </c>
      <c r="B99" s="21" t="s">
        <v>429</v>
      </c>
      <c r="C99" s="42" t="s">
        <v>295</v>
      </c>
      <c r="D99" s="42" t="s">
        <v>266</v>
      </c>
      <c r="E99" s="42"/>
      <c r="F99" s="10" t="s">
        <v>704</v>
      </c>
      <c r="G99" s="11">
        <f>G94</f>
        <v>0</v>
      </c>
      <c r="H99" s="11">
        <f t="shared" ref="H99:L99" si="60">H94</f>
        <v>0</v>
      </c>
      <c r="I99" s="11">
        <f t="shared" si="60"/>
        <v>0</v>
      </c>
      <c r="J99" s="11">
        <f t="shared" si="60"/>
        <v>0</v>
      </c>
      <c r="K99" s="11">
        <f t="shared" si="60"/>
        <v>0</v>
      </c>
      <c r="L99" s="11">
        <f t="shared" si="60"/>
        <v>0</v>
      </c>
      <c r="M99" s="11">
        <f t="shared" ref="M99" si="61">M94</f>
        <v>0</v>
      </c>
      <c r="N99" s="4" t="e">
        <f t="shared" si="47"/>
        <v>#DIV/0!</v>
      </c>
    </row>
    <row r="100" spans="1:14" ht="94.5" x14ac:dyDescent="0.25">
      <c r="A100" s="43" t="s">
        <v>431</v>
      </c>
      <c r="B100" s="8" t="s">
        <v>432</v>
      </c>
      <c r="C100" s="8"/>
      <c r="D100" s="8"/>
      <c r="E100" s="8"/>
      <c r="F100" s="9"/>
      <c r="G100" s="68">
        <f>G101</f>
        <v>105</v>
      </c>
      <c r="H100" s="68">
        <f t="shared" ref="H100:M104" si="62">H101</f>
        <v>105</v>
      </c>
      <c r="I100" s="68">
        <f t="shared" si="62"/>
        <v>0</v>
      </c>
      <c r="J100" s="68">
        <f t="shared" si="62"/>
        <v>0</v>
      </c>
      <c r="K100" s="68">
        <f t="shared" si="62"/>
        <v>0</v>
      </c>
      <c r="L100" s="68">
        <f t="shared" si="62"/>
        <v>200</v>
      </c>
      <c r="M100" s="68">
        <f t="shared" si="62"/>
        <v>106.3</v>
      </c>
      <c r="N100" s="4">
        <f t="shared" si="47"/>
        <v>53.15</v>
      </c>
    </row>
    <row r="101" spans="1:14" ht="15.75" x14ac:dyDescent="0.25">
      <c r="A101" s="47" t="s">
        <v>294</v>
      </c>
      <c r="B101" s="42" t="s">
        <v>432</v>
      </c>
      <c r="C101" s="42" t="s">
        <v>295</v>
      </c>
      <c r="D101" s="42"/>
      <c r="E101" s="42"/>
      <c r="F101" s="10"/>
      <c r="G101" s="11">
        <f>G102</f>
        <v>105</v>
      </c>
      <c r="H101" s="11">
        <f t="shared" si="62"/>
        <v>105</v>
      </c>
      <c r="I101" s="11">
        <f t="shared" si="62"/>
        <v>0</v>
      </c>
      <c r="J101" s="11">
        <f t="shared" si="62"/>
        <v>0</v>
      </c>
      <c r="K101" s="11">
        <f t="shared" si="62"/>
        <v>0</v>
      </c>
      <c r="L101" s="11">
        <f t="shared" si="62"/>
        <v>200</v>
      </c>
      <c r="M101" s="11">
        <f t="shared" si="62"/>
        <v>106.3</v>
      </c>
      <c r="N101" s="7">
        <f t="shared" si="47"/>
        <v>53.15</v>
      </c>
    </row>
    <row r="102" spans="1:14" ht="24.75" customHeight="1" x14ac:dyDescent="0.25">
      <c r="A102" s="47" t="s">
        <v>303</v>
      </c>
      <c r="B102" s="42" t="s">
        <v>432</v>
      </c>
      <c r="C102" s="42" t="s">
        <v>295</v>
      </c>
      <c r="D102" s="42" t="s">
        <v>266</v>
      </c>
      <c r="E102" s="42"/>
      <c r="F102" s="10"/>
      <c r="G102" s="11">
        <f>G103</f>
        <v>105</v>
      </c>
      <c r="H102" s="11">
        <f t="shared" si="62"/>
        <v>105</v>
      </c>
      <c r="I102" s="11">
        <f t="shared" si="62"/>
        <v>0</v>
      </c>
      <c r="J102" s="11">
        <f t="shared" si="62"/>
        <v>0</v>
      </c>
      <c r="K102" s="11">
        <f t="shared" si="62"/>
        <v>0</v>
      </c>
      <c r="L102" s="11">
        <f t="shared" si="62"/>
        <v>200</v>
      </c>
      <c r="M102" s="11">
        <f t="shared" si="62"/>
        <v>106.3</v>
      </c>
      <c r="N102" s="7">
        <f t="shared" si="47"/>
        <v>53.15</v>
      </c>
    </row>
    <row r="103" spans="1:14" ht="31.5" x14ac:dyDescent="0.25">
      <c r="A103" s="31" t="s">
        <v>208</v>
      </c>
      <c r="B103" s="42" t="s">
        <v>433</v>
      </c>
      <c r="C103" s="42" t="s">
        <v>295</v>
      </c>
      <c r="D103" s="42" t="s">
        <v>266</v>
      </c>
      <c r="E103" s="42"/>
      <c r="F103" s="10"/>
      <c r="G103" s="11">
        <f>G104</f>
        <v>105</v>
      </c>
      <c r="H103" s="11">
        <f t="shared" si="62"/>
        <v>105</v>
      </c>
      <c r="I103" s="11">
        <f t="shared" si="62"/>
        <v>0</v>
      </c>
      <c r="J103" s="11">
        <f t="shared" si="62"/>
        <v>0</v>
      </c>
      <c r="K103" s="11">
        <f t="shared" si="62"/>
        <v>0</v>
      </c>
      <c r="L103" s="11">
        <f t="shared" si="62"/>
        <v>200</v>
      </c>
      <c r="M103" s="11">
        <f t="shared" si="62"/>
        <v>106.3</v>
      </c>
      <c r="N103" s="7">
        <f t="shared" si="47"/>
        <v>53.15</v>
      </c>
    </row>
    <row r="104" spans="1:14" ht="31.5" x14ac:dyDescent="0.25">
      <c r="A104" s="31" t="s">
        <v>182</v>
      </c>
      <c r="B104" s="42" t="s">
        <v>433</v>
      </c>
      <c r="C104" s="42" t="s">
        <v>295</v>
      </c>
      <c r="D104" s="42" t="s">
        <v>266</v>
      </c>
      <c r="E104" s="42" t="s">
        <v>183</v>
      </c>
      <c r="F104" s="10"/>
      <c r="G104" s="11">
        <f>G105</f>
        <v>105</v>
      </c>
      <c r="H104" s="11">
        <f t="shared" si="62"/>
        <v>105</v>
      </c>
      <c r="I104" s="11">
        <f t="shared" si="62"/>
        <v>0</v>
      </c>
      <c r="J104" s="11">
        <f t="shared" si="62"/>
        <v>0</v>
      </c>
      <c r="K104" s="11">
        <f t="shared" si="62"/>
        <v>0</v>
      </c>
      <c r="L104" s="11">
        <f t="shared" si="62"/>
        <v>200</v>
      </c>
      <c r="M104" s="11">
        <f t="shared" si="62"/>
        <v>106.3</v>
      </c>
      <c r="N104" s="7">
        <f t="shared" si="47"/>
        <v>53.15</v>
      </c>
    </row>
    <row r="105" spans="1:14" ht="31.5" x14ac:dyDescent="0.25">
      <c r="A105" s="31" t="s">
        <v>184</v>
      </c>
      <c r="B105" s="42" t="s">
        <v>433</v>
      </c>
      <c r="C105" s="42" t="s">
        <v>295</v>
      </c>
      <c r="D105" s="42" t="s">
        <v>266</v>
      </c>
      <c r="E105" s="42" t="s">
        <v>185</v>
      </c>
      <c r="F105" s="10"/>
      <c r="G105" s="11">
        <f>'Прил.№4 ведомств.'!G510</f>
        <v>105</v>
      </c>
      <c r="H105" s="11">
        <f>'Прил.№4 ведомств.'!I510</f>
        <v>105</v>
      </c>
      <c r="I105" s="11">
        <f>'Прил.№4 ведомств.'!J510</f>
        <v>0</v>
      </c>
      <c r="J105" s="11">
        <f>'Прил.№4 ведомств.'!K510</f>
        <v>0</v>
      </c>
      <c r="K105" s="11">
        <f>'Прил.№4 ведомств.'!L510</f>
        <v>0</v>
      </c>
      <c r="L105" s="11">
        <f>'Прил.№4 ведомств.'!M510</f>
        <v>200</v>
      </c>
      <c r="M105" s="11">
        <f>'Прил.№4 ведомств.'!N510</f>
        <v>106.3</v>
      </c>
      <c r="N105" s="7">
        <f t="shared" si="47"/>
        <v>53.15</v>
      </c>
    </row>
    <row r="106" spans="1:14" ht="47.25" x14ac:dyDescent="0.25">
      <c r="A106" s="47" t="s">
        <v>312</v>
      </c>
      <c r="B106" s="42" t="s">
        <v>432</v>
      </c>
      <c r="C106" s="42" t="s">
        <v>295</v>
      </c>
      <c r="D106" s="42" t="s">
        <v>266</v>
      </c>
      <c r="E106" s="42"/>
      <c r="F106" s="10" t="s">
        <v>704</v>
      </c>
      <c r="G106" s="11">
        <f>G100</f>
        <v>105</v>
      </c>
      <c r="H106" s="11">
        <f t="shared" ref="H106:L106" si="63">H100</f>
        <v>105</v>
      </c>
      <c r="I106" s="11">
        <f t="shared" si="63"/>
        <v>0</v>
      </c>
      <c r="J106" s="11">
        <f t="shared" si="63"/>
        <v>0</v>
      </c>
      <c r="K106" s="11">
        <f t="shared" si="63"/>
        <v>0</v>
      </c>
      <c r="L106" s="11">
        <f t="shared" si="63"/>
        <v>200</v>
      </c>
      <c r="M106" s="11">
        <f t="shared" ref="M106" si="64">M100</f>
        <v>106.3</v>
      </c>
      <c r="N106" s="7">
        <f t="shared" si="47"/>
        <v>53.15</v>
      </c>
    </row>
    <row r="107" spans="1:14" ht="47.25" x14ac:dyDescent="0.25">
      <c r="A107" s="64" t="s">
        <v>478</v>
      </c>
      <c r="B107" s="8" t="s">
        <v>458</v>
      </c>
      <c r="C107" s="8"/>
      <c r="D107" s="8"/>
      <c r="E107" s="8"/>
      <c r="F107" s="8"/>
      <c r="G107" s="68" t="e">
        <f t="shared" ref="G107:L107" si="65">G108+G123+G174+G208+G232</f>
        <v>#REF!</v>
      </c>
      <c r="H107" s="68" t="e">
        <f t="shared" si="65"/>
        <v>#REF!</v>
      </c>
      <c r="I107" s="68" t="e">
        <f t="shared" si="65"/>
        <v>#REF!</v>
      </c>
      <c r="J107" s="68" t="e">
        <f t="shared" si="65"/>
        <v>#REF!</v>
      </c>
      <c r="K107" s="68" t="e">
        <f t="shared" si="65"/>
        <v>#REF!</v>
      </c>
      <c r="L107" s="68">
        <f t="shared" si="65"/>
        <v>88877.9</v>
      </c>
      <c r="M107" s="68">
        <f t="shared" ref="M107" si="66">M108+M123+M174+M208+M232</f>
        <v>74416.800000000003</v>
      </c>
      <c r="N107" s="4">
        <f t="shared" si="47"/>
        <v>83.729251028658425</v>
      </c>
    </row>
    <row r="108" spans="1:14" ht="31.5" x14ac:dyDescent="0.25">
      <c r="A108" s="43" t="s">
        <v>459</v>
      </c>
      <c r="B108" s="8" t="s">
        <v>460</v>
      </c>
      <c r="C108" s="8"/>
      <c r="D108" s="8"/>
      <c r="E108" s="8"/>
      <c r="F108" s="8"/>
      <c r="G108" s="68">
        <f>G109</f>
        <v>70853.600000000006</v>
      </c>
      <c r="H108" s="68">
        <f t="shared" ref="H108:M108" si="67">H109</f>
        <v>71469.8</v>
      </c>
      <c r="I108" s="68">
        <f t="shared" si="67"/>
        <v>90165.7</v>
      </c>
      <c r="J108" s="68">
        <f t="shared" si="67"/>
        <v>93224</v>
      </c>
      <c r="K108" s="68">
        <f t="shared" si="67"/>
        <v>95100.6</v>
      </c>
      <c r="L108" s="68">
        <f t="shared" si="67"/>
        <v>67635</v>
      </c>
      <c r="M108" s="68">
        <f t="shared" si="67"/>
        <v>57882.1</v>
      </c>
      <c r="N108" s="4">
        <f t="shared" si="47"/>
        <v>85.580099061136977</v>
      </c>
    </row>
    <row r="109" spans="1:14" ht="15.75" x14ac:dyDescent="0.25">
      <c r="A109" s="31" t="s">
        <v>314</v>
      </c>
      <c r="B109" s="42" t="s">
        <v>460</v>
      </c>
      <c r="C109" s="42" t="s">
        <v>315</v>
      </c>
      <c r="D109" s="42"/>
      <c r="E109" s="42"/>
      <c r="F109" s="42"/>
      <c r="G109" s="11">
        <f>G110+G114+G118</f>
        <v>70853.600000000006</v>
      </c>
      <c r="H109" s="11">
        <f t="shared" ref="H109:L109" si="68">H110+H114+H118</f>
        <v>71469.8</v>
      </c>
      <c r="I109" s="11">
        <f t="shared" si="68"/>
        <v>90165.7</v>
      </c>
      <c r="J109" s="11">
        <f t="shared" si="68"/>
        <v>93224</v>
      </c>
      <c r="K109" s="11">
        <f t="shared" si="68"/>
        <v>95100.6</v>
      </c>
      <c r="L109" s="11">
        <f t="shared" si="68"/>
        <v>67635</v>
      </c>
      <c r="M109" s="11">
        <f t="shared" ref="M109" si="69">M110+M114+M118</f>
        <v>57882.1</v>
      </c>
      <c r="N109" s="7">
        <f t="shared" si="47"/>
        <v>85.580099061136977</v>
      </c>
    </row>
    <row r="110" spans="1:14" ht="15.75" x14ac:dyDescent="0.25">
      <c r="A110" s="47" t="s">
        <v>456</v>
      </c>
      <c r="B110" s="42" t="s">
        <v>460</v>
      </c>
      <c r="C110" s="42" t="s">
        <v>315</v>
      </c>
      <c r="D110" s="42" t="s">
        <v>169</v>
      </c>
      <c r="E110" s="42"/>
      <c r="F110" s="42"/>
      <c r="G110" s="11">
        <f>G111</f>
        <v>15578.400000000001</v>
      </c>
      <c r="H110" s="11">
        <f t="shared" ref="H110:M112" si="70">H111</f>
        <v>16300.2</v>
      </c>
      <c r="I110" s="11">
        <f t="shared" si="70"/>
        <v>35498.199999999997</v>
      </c>
      <c r="J110" s="11">
        <f t="shared" si="70"/>
        <v>36442.5</v>
      </c>
      <c r="K110" s="11">
        <f t="shared" si="70"/>
        <v>37029.5</v>
      </c>
      <c r="L110" s="11">
        <f t="shared" si="70"/>
        <v>15576.6</v>
      </c>
      <c r="M110" s="11">
        <f t="shared" si="70"/>
        <v>13600</v>
      </c>
      <c r="N110" s="7">
        <f t="shared" si="47"/>
        <v>87.310452858775349</v>
      </c>
    </row>
    <row r="111" spans="1:14" ht="31.5" x14ac:dyDescent="0.25">
      <c r="A111" s="31" t="s">
        <v>461</v>
      </c>
      <c r="B111" s="42" t="s">
        <v>462</v>
      </c>
      <c r="C111" s="42" t="s">
        <v>315</v>
      </c>
      <c r="D111" s="42" t="s">
        <v>169</v>
      </c>
      <c r="E111" s="42"/>
      <c r="F111" s="42"/>
      <c r="G111" s="11">
        <f>G112</f>
        <v>15578.400000000001</v>
      </c>
      <c r="H111" s="11">
        <f t="shared" si="70"/>
        <v>16300.2</v>
      </c>
      <c r="I111" s="11">
        <f t="shared" si="70"/>
        <v>35498.199999999997</v>
      </c>
      <c r="J111" s="11">
        <f t="shared" si="70"/>
        <v>36442.5</v>
      </c>
      <c r="K111" s="11">
        <f t="shared" si="70"/>
        <v>37029.5</v>
      </c>
      <c r="L111" s="11">
        <f t="shared" si="70"/>
        <v>15576.6</v>
      </c>
      <c r="M111" s="11">
        <f t="shared" si="70"/>
        <v>13600</v>
      </c>
      <c r="N111" s="7">
        <f t="shared" si="47"/>
        <v>87.310452858775349</v>
      </c>
    </row>
    <row r="112" spans="1:14" ht="31.5" x14ac:dyDescent="0.25">
      <c r="A112" s="31" t="s">
        <v>323</v>
      </c>
      <c r="B112" s="42" t="s">
        <v>462</v>
      </c>
      <c r="C112" s="42" t="s">
        <v>315</v>
      </c>
      <c r="D112" s="42" t="s">
        <v>169</v>
      </c>
      <c r="E112" s="42" t="s">
        <v>324</v>
      </c>
      <c r="F112" s="42"/>
      <c r="G112" s="11">
        <f>G113</f>
        <v>15578.400000000001</v>
      </c>
      <c r="H112" s="11">
        <f t="shared" si="70"/>
        <v>16300.2</v>
      </c>
      <c r="I112" s="11">
        <f t="shared" si="70"/>
        <v>35498.199999999997</v>
      </c>
      <c r="J112" s="11">
        <f t="shared" si="70"/>
        <v>36442.5</v>
      </c>
      <c r="K112" s="11">
        <f t="shared" si="70"/>
        <v>37029.5</v>
      </c>
      <c r="L112" s="11">
        <f t="shared" si="70"/>
        <v>15576.6</v>
      </c>
      <c r="M112" s="11">
        <f t="shared" si="70"/>
        <v>13600</v>
      </c>
      <c r="N112" s="7">
        <f t="shared" si="47"/>
        <v>87.310452858775349</v>
      </c>
    </row>
    <row r="113" spans="1:14" ht="15.75" x14ac:dyDescent="0.25">
      <c r="A113" s="31" t="s">
        <v>325</v>
      </c>
      <c r="B113" s="42" t="s">
        <v>462</v>
      </c>
      <c r="C113" s="42" t="s">
        <v>315</v>
      </c>
      <c r="D113" s="42" t="s">
        <v>169</v>
      </c>
      <c r="E113" s="42" t="s">
        <v>326</v>
      </c>
      <c r="F113" s="42"/>
      <c r="G113" s="7">
        <f>'Прил.№4 ведомств.'!G602</f>
        <v>15578.400000000001</v>
      </c>
      <c r="H113" s="7">
        <f>'Прил.№4 ведомств.'!I602</f>
        <v>16300.2</v>
      </c>
      <c r="I113" s="7">
        <f>'Прил.№4 ведомств.'!J602</f>
        <v>35498.199999999997</v>
      </c>
      <c r="J113" s="7">
        <f>'Прил.№4 ведомств.'!K602</f>
        <v>36442.5</v>
      </c>
      <c r="K113" s="7">
        <f>'Прил.№4 ведомств.'!L602</f>
        <v>37029.5</v>
      </c>
      <c r="L113" s="7">
        <f>'Прил.№4 ведомств.'!M602</f>
        <v>15576.6</v>
      </c>
      <c r="M113" s="7">
        <f>'Прил.№4 ведомств.'!N602</f>
        <v>13600</v>
      </c>
      <c r="N113" s="7">
        <f t="shared" si="47"/>
        <v>87.310452858775349</v>
      </c>
    </row>
    <row r="114" spans="1:14" ht="15.75" x14ac:dyDescent="0.25">
      <c r="A114" s="31" t="s">
        <v>477</v>
      </c>
      <c r="B114" s="42" t="s">
        <v>460</v>
      </c>
      <c r="C114" s="42" t="s">
        <v>315</v>
      </c>
      <c r="D114" s="42" t="s">
        <v>264</v>
      </c>
      <c r="E114" s="42"/>
      <c r="F114" s="42"/>
      <c r="G114" s="11">
        <f>G115</f>
        <v>34151.199999999997</v>
      </c>
      <c r="H114" s="11">
        <f t="shared" ref="H114:M116" si="71">H115</f>
        <v>33366.1</v>
      </c>
      <c r="I114" s="11">
        <f t="shared" si="71"/>
        <v>29080.799999999999</v>
      </c>
      <c r="J114" s="11">
        <f t="shared" si="71"/>
        <v>30905.8</v>
      </c>
      <c r="K114" s="11">
        <f t="shared" si="71"/>
        <v>32021.200000000001</v>
      </c>
      <c r="L114" s="11">
        <f t="shared" si="71"/>
        <v>30890.3</v>
      </c>
      <c r="M114" s="11">
        <f t="shared" si="71"/>
        <v>23114</v>
      </c>
      <c r="N114" s="7">
        <f t="shared" si="47"/>
        <v>74.826078089238365</v>
      </c>
    </row>
    <row r="115" spans="1:14" ht="30.75" customHeight="1" x14ac:dyDescent="0.25">
      <c r="A115" s="31" t="s">
        <v>479</v>
      </c>
      <c r="B115" s="42" t="s">
        <v>480</v>
      </c>
      <c r="C115" s="42" t="s">
        <v>315</v>
      </c>
      <c r="D115" s="42" t="s">
        <v>264</v>
      </c>
      <c r="E115" s="42"/>
      <c r="F115" s="42"/>
      <c r="G115" s="11">
        <f>G116</f>
        <v>34151.199999999997</v>
      </c>
      <c r="H115" s="11">
        <f t="shared" si="71"/>
        <v>33366.1</v>
      </c>
      <c r="I115" s="11">
        <f t="shared" si="71"/>
        <v>29080.799999999999</v>
      </c>
      <c r="J115" s="11">
        <f t="shared" si="71"/>
        <v>30905.8</v>
      </c>
      <c r="K115" s="11">
        <f t="shared" si="71"/>
        <v>32021.200000000001</v>
      </c>
      <c r="L115" s="11">
        <f t="shared" si="71"/>
        <v>30890.3</v>
      </c>
      <c r="M115" s="11">
        <f t="shared" si="71"/>
        <v>23114</v>
      </c>
      <c r="N115" s="7">
        <f t="shared" si="47"/>
        <v>74.826078089238365</v>
      </c>
    </row>
    <row r="116" spans="1:14" ht="37.5" customHeight="1" x14ac:dyDescent="0.25">
      <c r="A116" s="31" t="s">
        <v>323</v>
      </c>
      <c r="B116" s="42" t="s">
        <v>480</v>
      </c>
      <c r="C116" s="42" t="s">
        <v>315</v>
      </c>
      <c r="D116" s="42" t="s">
        <v>264</v>
      </c>
      <c r="E116" s="42" t="s">
        <v>324</v>
      </c>
      <c r="F116" s="42"/>
      <c r="G116" s="11">
        <f>G117</f>
        <v>34151.199999999997</v>
      </c>
      <c r="H116" s="11">
        <f t="shared" si="71"/>
        <v>33366.1</v>
      </c>
      <c r="I116" s="11">
        <f t="shared" si="71"/>
        <v>29080.799999999999</v>
      </c>
      <c r="J116" s="11">
        <f t="shared" si="71"/>
        <v>30905.8</v>
      </c>
      <c r="K116" s="11">
        <f t="shared" si="71"/>
        <v>32021.200000000001</v>
      </c>
      <c r="L116" s="11">
        <f t="shared" si="71"/>
        <v>30890.3</v>
      </c>
      <c r="M116" s="11">
        <f t="shared" si="71"/>
        <v>23114</v>
      </c>
      <c r="N116" s="7">
        <f t="shared" si="47"/>
        <v>74.826078089238365</v>
      </c>
    </row>
    <row r="117" spans="1:14" ht="15.75" x14ac:dyDescent="0.25">
      <c r="A117" s="31" t="s">
        <v>325</v>
      </c>
      <c r="B117" s="42" t="s">
        <v>480</v>
      </c>
      <c r="C117" s="42" t="s">
        <v>315</v>
      </c>
      <c r="D117" s="42" t="s">
        <v>264</v>
      </c>
      <c r="E117" s="42" t="s">
        <v>326</v>
      </c>
      <c r="F117" s="42"/>
      <c r="G117" s="7">
        <f>'Прил.№4 ведомств.'!G653</f>
        <v>34151.199999999997</v>
      </c>
      <c r="H117" s="7">
        <f>'Прил.№4 ведомств.'!I653</f>
        <v>33366.1</v>
      </c>
      <c r="I117" s="7">
        <f>'Прил.№4 ведомств.'!J653</f>
        <v>29080.799999999999</v>
      </c>
      <c r="J117" s="7">
        <f>'Прил.№4 ведомств.'!K653</f>
        <v>30905.8</v>
      </c>
      <c r="K117" s="7">
        <f>'Прил.№4 ведомств.'!L653</f>
        <v>32021.200000000001</v>
      </c>
      <c r="L117" s="7">
        <f>'Прил.№4 ведомств.'!M653</f>
        <v>30890.3</v>
      </c>
      <c r="M117" s="7">
        <f>'Прил.№4 ведомств.'!N653</f>
        <v>23114</v>
      </c>
      <c r="N117" s="7">
        <f t="shared" si="47"/>
        <v>74.826078089238365</v>
      </c>
    </row>
    <row r="118" spans="1:14" ht="15.75" x14ac:dyDescent="0.25">
      <c r="A118" s="31" t="s">
        <v>316</v>
      </c>
      <c r="B118" s="42" t="s">
        <v>460</v>
      </c>
      <c r="C118" s="42" t="s">
        <v>315</v>
      </c>
      <c r="D118" s="42" t="s">
        <v>266</v>
      </c>
      <c r="E118" s="42"/>
      <c r="F118" s="42"/>
      <c r="G118" s="7">
        <f>G119</f>
        <v>21124</v>
      </c>
      <c r="H118" s="7">
        <f t="shared" ref="H118:M120" si="72">H119</f>
        <v>21803.5</v>
      </c>
      <c r="I118" s="7">
        <f t="shared" si="72"/>
        <v>25586.7</v>
      </c>
      <c r="J118" s="7">
        <f t="shared" si="72"/>
        <v>25875.7</v>
      </c>
      <c r="K118" s="7">
        <f t="shared" si="72"/>
        <v>26049.9</v>
      </c>
      <c r="L118" s="7">
        <f t="shared" si="72"/>
        <v>21168.1</v>
      </c>
      <c r="M118" s="7">
        <f t="shared" si="72"/>
        <v>21168.1</v>
      </c>
      <c r="N118" s="7">
        <f t="shared" si="47"/>
        <v>100</v>
      </c>
    </row>
    <row r="119" spans="1:14" ht="47.25" x14ac:dyDescent="0.25">
      <c r="A119" s="31" t="s">
        <v>321</v>
      </c>
      <c r="B119" s="42" t="s">
        <v>481</v>
      </c>
      <c r="C119" s="42" t="s">
        <v>315</v>
      </c>
      <c r="D119" s="42" t="s">
        <v>266</v>
      </c>
      <c r="E119" s="8"/>
      <c r="F119" s="8"/>
      <c r="G119" s="11">
        <f>G120</f>
        <v>21124</v>
      </c>
      <c r="H119" s="11">
        <f t="shared" si="72"/>
        <v>21803.5</v>
      </c>
      <c r="I119" s="11">
        <f t="shared" si="72"/>
        <v>25586.7</v>
      </c>
      <c r="J119" s="11">
        <f t="shared" si="72"/>
        <v>25875.7</v>
      </c>
      <c r="K119" s="11">
        <f t="shared" si="72"/>
        <v>26049.9</v>
      </c>
      <c r="L119" s="11">
        <f t="shared" si="72"/>
        <v>21168.1</v>
      </c>
      <c r="M119" s="11">
        <f t="shared" si="72"/>
        <v>21168.1</v>
      </c>
      <c r="N119" s="7">
        <f t="shared" si="47"/>
        <v>100</v>
      </c>
    </row>
    <row r="120" spans="1:14" ht="31.5" x14ac:dyDescent="0.25">
      <c r="A120" s="31" t="s">
        <v>323</v>
      </c>
      <c r="B120" s="42" t="s">
        <v>481</v>
      </c>
      <c r="C120" s="42" t="s">
        <v>315</v>
      </c>
      <c r="D120" s="42" t="s">
        <v>266</v>
      </c>
      <c r="E120" s="42" t="s">
        <v>324</v>
      </c>
      <c r="F120" s="42"/>
      <c r="G120" s="11">
        <f>G121</f>
        <v>21124</v>
      </c>
      <c r="H120" s="11">
        <f t="shared" si="72"/>
        <v>21803.5</v>
      </c>
      <c r="I120" s="11">
        <f t="shared" si="72"/>
        <v>25586.7</v>
      </c>
      <c r="J120" s="11">
        <f t="shared" si="72"/>
        <v>25875.7</v>
      </c>
      <c r="K120" s="11">
        <f t="shared" si="72"/>
        <v>26049.9</v>
      </c>
      <c r="L120" s="11">
        <f t="shared" si="72"/>
        <v>21168.1</v>
      </c>
      <c r="M120" s="11">
        <f t="shared" si="72"/>
        <v>21168.1</v>
      </c>
      <c r="N120" s="7">
        <f t="shared" si="47"/>
        <v>100</v>
      </c>
    </row>
    <row r="121" spans="1:14" ht="15.75" x14ac:dyDescent="0.25">
      <c r="A121" s="31" t="s">
        <v>325</v>
      </c>
      <c r="B121" s="42" t="s">
        <v>481</v>
      </c>
      <c r="C121" s="42" t="s">
        <v>315</v>
      </c>
      <c r="D121" s="42" t="s">
        <v>266</v>
      </c>
      <c r="E121" s="42" t="s">
        <v>326</v>
      </c>
      <c r="F121" s="42"/>
      <c r="G121" s="7">
        <f>'Прил.№4 ведомств.'!G722</f>
        <v>21124</v>
      </c>
      <c r="H121" s="7">
        <f>'Прил.№4 ведомств.'!I722</f>
        <v>21803.5</v>
      </c>
      <c r="I121" s="7">
        <f>'Прил.№4 ведомств.'!J722</f>
        <v>25586.7</v>
      </c>
      <c r="J121" s="7">
        <f>'Прил.№4 ведомств.'!K722</f>
        <v>25875.7</v>
      </c>
      <c r="K121" s="7">
        <f>'Прил.№4 ведомств.'!L722</f>
        <v>26049.9</v>
      </c>
      <c r="L121" s="7">
        <f>'Прил.№4 ведомств.'!M722</f>
        <v>21168.1</v>
      </c>
      <c r="M121" s="7">
        <f>'Прил.№4 ведомств.'!N722</f>
        <v>21168.1</v>
      </c>
      <c r="N121" s="7">
        <f t="shared" si="47"/>
        <v>100</v>
      </c>
    </row>
    <row r="122" spans="1:14" ht="31.5" x14ac:dyDescent="0.25">
      <c r="A122" s="31" t="s">
        <v>455</v>
      </c>
      <c r="B122" s="42" t="s">
        <v>460</v>
      </c>
      <c r="C122" s="42" t="s">
        <v>315</v>
      </c>
      <c r="D122" s="42" t="s">
        <v>266</v>
      </c>
      <c r="E122" s="42"/>
      <c r="F122" s="42" t="s">
        <v>713</v>
      </c>
      <c r="G122" s="7">
        <f>G108</f>
        <v>70853.600000000006</v>
      </c>
      <c r="H122" s="7">
        <f t="shared" ref="H122:L122" si="73">H108</f>
        <v>71469.8</v>
      </c>
      <c r="I122" s="7">
        <f t="shared" si="73"/>
        <v>90165.7</v>
      </c>
      <c r="J122" s="7">
        <f t="shared" si="73"/>
        <v>93224</v>
      </c>
      <c r="K122" s="7">
        <f t="shared" si="73"/>
        <v>95100.6</v>
      </c>
      <c r="L122" s="7">
        <f t="shared" si="73"/>
        <v>67635</v>
      </c>
      <c r="M122" s="7">
        <f t="shared" ref="M122" si="74">M108</f>
        <v>57882.1</v>
      </c>
      <c r="N122" s="7">
        <f t="shared" si="47"/>
        <v>85.580099061136977</v>
      </c>
    </row>
    <row r="123" spans="1:14" ht="31.5" x14ac:dyDescent="0.25">
      <c r="A123" s="43" t="s">
        <v>463</v>
      </c>
      <c r="B123" s="8" t="s">
        <v>464</v>
      </c>
      <c r="C123" s="8"/>
      <c r="D123" s="8"/>
      <c r="E123" s="8"/>
      <c r="F123" s="8"/>
      <c r="G123" s="68">
        <f>G124</f>
        <v>7875</v>
      </c>
      <c r="H123" s="68">
        <f t="shared" ref="H123:M123" si="75">H124</f>
        <v>7875</v>
      </c>
      <c r="I123" s="68">
        <f t="shared" si="75"/>
        <v>25698.3</v>
      </c>
      <c r="J123" s="68">
        <f t="shared" si="75"/>
        <v>20018.3</v>
      </c>
      <c r="K123" s="68">
        <f t="shared" si="75"/>
        <v>13968.3</v>
      </c>
      <c r="L123" s="68">
        <f t="shared" si="75"/>
        <v>10289.9</v>
      </c>
      <c r="M123" s="68">
        <f t="shared" si="75"/>
        <v>6775</v>
      </c>
      <c r="N123" s="4">
        <f t="shared" si="47"/>
        <v>65.841261819842757</v>
      </c>
    </row>
    <row r="124" spans="1:14" ht="15.75" x14ac:dyDescent="0.25">
      <c r="A124" s="31" t="s">
        <v>314</v>
      </c>
      <c r="B124" s="42" t="s">
        <v>464</v>
      </c>
      <c r="C124" s="42" t="s">
        <v>315</v>
      </c>
      <c r="D124" s="42"/>
      <c r="E124" s="42"/>
      <c r="F124" s="42"/>
      <c r="G124" s="11">
        <f>G125</f>
        <v>7875</v>
      </c>
      <c r="H124" s="11">
        <f t="shared" ref="H124:M124" si="76">H125</f>
        <v>7875</v>
      </c>
      <c r="I124" s="11">
        <f t="shared" si="76"/>
        <v>25698.3</v>
      </c>
      <c r="J124" s="11">
        <f t="shared" si="76"/>
        <v>20018.3</v>
      </c>
      <c r="K124" s="11">
        <f t="shared" si="76"/>
        <v>13968.3</v>
      </c>
      <c r="L124" s="11">
        <f t="shared" si="76"/>
        <v>10289.9</v>
      </c>
      <c r="M124" s="11">
        <f t="shared" si="76"/>
        <v>6775</v>
      </c>
      <c r="N124" s="7">
        <f t="shared" si="47"/>
        <v>65.841261819842757</v>
      </c>
    </row>
    <row r="125" spans="1:14" ht="15.75" x14ac:dyDescent="0.25">
      <c r="A125" s="47" t="s">
        <v>456</v>
      </c>
      <c r="B125" s="42" t="s">
        <v>464</v>
      </c>
      <c r="C125" s="42" t="s">
        <v>315</v>
      </c>
      <c r="D125" s="42" t="s">
        <v>169</v>
      </c>
      <c r="E125" s="42"/>
      <c r="F125" s="42"/>
      <c r="G125" s="11">
        <f>G136+G134+G130+G139+G142+G145</f>
        <v>7875</v>
      </c>
      <c r="H125" s="11">
        <f t="shared" ref="H125:K125" si="77">H136+H134+H130+H139+H142+H145</f>
        <v>7875</v>
      </c>
      <c r="I125" s="11">
        <f t="shared" si="77"/>
        <v>25698.3</v>
      </c>
      <c r="J125" s="11">
        <f t="shared" si="77"/>
        <v>20018.3</v>
      </c>
      <c r="K125" s="11">
        <f t="shared" si="77"/>
        <v>13968.3</v>
      </c>
      <c r="L125" s="11">
        <f>L136+L134+L130+L139+L142+L145+L148</f>
        <v>10289.9</v>
      </c>
      <c r="M125" s="11">
        <f t="shared" ref="M125" si="78">M136+M134+M130+M139+M142+M145+M148</f>
        <v>6775</v>
      </c>
      <c r="N125" s="7">
        <f t="shared" si="47"/>
        <v>65.841261819842757</v>
      </c>
    </row>
    <row r="126" spans="1:14" ht="57.75" hidden="1" customHeight="1" x14ac:dyDescent="0.25">
      <c r="A126" s="31" t="s">
        <v>657</v>
      </c>
      <c r="B126" s="42" t="s">
        <v>658</v>
      </c>
      <c r="C126" s="42" t="s">
        <v>315</v>
      </c>
      <c r="D126" s="42" t="s">
        <v>169</v>
      </c>
      <c r="E126" s="42"/>
      <c r="F126" s="42"/>
      <c r="G126" s="11">
        <f>G127</f>
        <v>0</v>
      </c>
      <c r="H126" s="11">
        <f t="shared" ref="H126:M127" si="79">H127</f>
        <v>0</v>
      </c>
      <c r="I126" s="11">
        <f t="shared" si="79"/>
        <v>0</v>
      </c>
      <c r="J126" s="11">
        <f t="shared" si="79"/>
        <v>0</v>
      </c>
      <c r="K126" s="11">
        <f t="shared" si="79"/>
        <v>0</v>
      </c>
      <c r="L126" s="11">
        <f t="shared" si="79"/>
        <v>0</v>
      </c>
      <c r="M126" s="11">
        <f t="shared" si="79"/>
        <v>0</v>
      </c>
      <c r="N126" s="7" t="e">
        <f t="shared" si="47"/>
        <v>#DIV/0!</v>
      </c>
    </row>
    <row r="127" spans="1:14" ht="31.5" hidden="1" x14ac:dyDescent="0.25">
      <c r="A127" s="31" t="s">
        <v>323</v>
      </c>
      <c r="B127" s="42" t="s">
        <v>658</v>
      </c>
      <c r="C127" s="42" t="s">
        <v>315</v>
      </c>
      <c r="D127" s="42" t="s">
        <v>169</v>
      </c>
      <c r="E127" s="42" t="s">
        <v>324</v>
      </c>
      <c r="F127" s="42"/>
      <c r="G127" s="11">
        <f>G128</f>
        <v>0</v>
      </c>
      <c r="H127" s="11">
        <f t="shared" si="79"/>
        <v>0</v>
      </c>
      <c r="I127" s="11">
        <f t="shared" si="79"/>
        <v>0</v>
      </c>
      <c r="J127" s="11">
        <f t="shared" si="79"/>
        <v>0</v>
      </c>
      <c r="K127" s="11">
        <f t="shared" si="79"/>
        <v>0</v>
      </c>
      <c r="L127" s="11">
        <f t="shared" si="79"/>
        <v>0</v>
      </c>
      <c r="M127" s="11">
        <f t="shared" si="79"/>
        <v>0</v>
      </c>
      <c r="N127" s="7" t="e">
        <f t="shared" si="47"/>
        <v>#DIV/0!</v>
      </c>
    </row>
    <row r="128" spans="1:14" ht="15.75" hidden="1" x14ac:dyDescent="0.25">
      <c r="A128" s="31" t="s">
        <v>325</v>
      </c>
      <c r="B128" s="42" t="s">
        <v>658</v>
      </c>
      <c r="C128" s="42" t="s">
        <v>315</v>
      </c>
      <c r="D128" s="42" t="s">
        <v>169</v>
      </c>
      <c r="E128" s="42" t="s">
        <v>326</v>
      </c>
      <c r="F128" s="42"/>
      <c r="G128" s="11"/>
      <c r="H128" s="11"/>
      <c r="I128" s="11"/>
      <c r="J128" s="11"/>
      <c r="K128" s="11"/>
      <c r="L128" s="11"/>
      <c r="M128" s="11"/>
      <c r="N128" s="7" t="e">
        <f t="shared" si="47"/>
        <v>#DIV/0!</v>
      </c>
    </row>
    <row r="129" spans="1:14" ht="31.5" hidden="1" x14ac:dyDescent="0.25">
      <c r="A129" s="31" t="s">
        <v>455</v>
      </c>
      <c r="B129" s="42" t="s">
        <v>658</v>
      </c>
      <c r="C129" s="42" t="s">
        <v>315</v>
      </c>
      <c r="D129" s="42" t="s">
        <v>169</v>
      </c>
      <c r="E129" s="42"/>
      <c r="F129" s="42" t="s">
        <v>713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7" t="e">
        <f t="shared" si="47"/>
        <v>#DIV/0!</v>
      </c>
    </row>
    <row r="130" spans="1:14" ht="31.5" x14ac:dyDescent="0.25">
      <c r="A130" s="31" t="s">
        <v>329</v>
      </c>
      <c r="B130" s="42" t="s">
        <v>465</v>
      </c>
      <c r="C130" s="42" t="s">
        <v>315</v>
      </c>
      <c r="D130" s="42" t="s">
        <v>169</v>
      </c>
      <c r="E130" s="42"/>
      <c r="F130" s="42"/>
      <c r="G130" s="11">
        <f>G131</f>
        <v>0</v>
      </c>
      <c r="H130" s="11">
        <f t="shared" ref="H130:M131" si="80">H131</f>
        <v>0</v>
      </c>
      <c r="I130" s="11">
        <f t="shared" si="80"/>
        <v>15330</v>
      </c>
      <c r="J130" s="11">
        <f t="shared" si="80"/>
        <v>10100</v>
      </c>
      <c r="K130" s="11">
        <f t="shared" si="80"/>
        <v>3600</v>
      </c>
      <c r="L130" s="11">
        <f t="shared" si="80"/>
        <v>200</v>
      </c>
      <c r="M130" s="11">
        <f t="shared" si="80"/>
        <v>0</v>
      </c>
      <c r="N130" s="7">
        <f t="shared" si="47"/>
        <v>0</v>
      </c>
    </row>
    <row r="131" spans="1:14" ht="31.5" x14ac:dyDescent="0.25">
      <c r="A131" s="31" t="s">
        <v>323</v>
      </c>
      <c r="B131" s="42" t="s">
        <v>465</v>
      </c>
      <c r="C131" s="42" t="s">
        <v>315</v>
      </c>
      <c r="D131" s="42" t="s">
        <v>169</v>
      </c>
      <c r="E131" s="42" t="s">
        <v>324</v>
      </c>
      <c r="F131" s="42"/>
      <c r="G131" s="11">
        <f>G132</f>
        <v>0</v>
      </c>
      <c r="H131" s="11">
        <f t="shared" si="80"/>
        <v>0</v>
      </c>
      <c r="I131" s="11">
        <f t="shared" si="80"/>
        <v>15330</v>
      </c>
      <c r="J131" s="11">
        <f t="shared" si="80"/>
        <v>10100</v>
      </c>
      <c r="K131" s="11">
        <f t="shared" si="80"/>
        <v>3600</v>
      </c>
      <c r="L131" s="11">
        <f t="shared" si="80"/>
        <v>200</v>
      </c>
      <c r="M131" s="11">
        <f t="shared" si="80"/>
        <v>0</v>
      </c>
      <c r="N131" s="7">
        <f t="shared" si="47"/>
        <v>0</v>
      </c>
    </row>
    <row r="132" spans="1:14" ht="15.75" x14ac:dyDescent="0.25">
      <c r="A132" s="31" t="s">
        <v>325</v>
      </c>
      <c r="B132" s="42" t="s">
        <v>465</v>
      </c>
      <c r="C132" s="42" t="s">
        <v>315</v>
      </c>
      <c r="D132" s="42" t="s">
        <v>169</v>
      </c>
      <c r="E132" s="42" t="s">
        <v>326</v>
      </c>
      <c r="F132" s="42"/>
      <c r="G132" s="11">
        <f>'Прил.№4 ведомств.'!G606</f>
        <v>0</v>
      </c>
      <c r="H132" s="11">
        <f>'Прил.№4 ведомств.'!I606</f>
        <v>0</v>
      </c>
      <c r="I132" s="11">
        <f>'Прил.№4 ведомств.'!J606</f>
        <v>15330</v>
      </c>
      <c r="J132" s="11">
        <f>'Прил.№4 ведомств.'!K606</f>
        <v>10100</v>
      </c>
      <c r="K132" s="11">
        <f>'Прил.№4 ведомств.'!L606</f>
        <v>3600</v>
      </c>
      <c r="L132" s="11">
        <f>'Прил.№4 ведомств.'!M606</f>
        <v>200</v>
      </c>
      <c r="M132" s="11">
        <f>'Прил.№4 ведомств.'!N606</f>
        <v>0</v>
      </c>
      <c r="N132" s="7">
        <f t="shared" si="47"/>
        <v>0</v>
      </c>
    </row>
    <row r="133" spans="1:14" ht="31.5" hidden="1" x14ac:dyDescent="0.25">
      <c r="A133" s="31" t="s">
        <v>331</v>
      </c>
      <c r="B133" s="42" t="s">
        <v>466</v>
      </c>
      <c r="C133" s="42" t="s">
        <v>315</v>
      </c>
      <c r="D133" s="42" t="s">
        <v>169</v>
      </c>
      <c r="E133" s="42"/>
      <c r="F133" s="42"/>
      <c r="G133" s="11">
        <f>G134</f>
        <v>1145</v>
      </c>
      <c r="H133" s="11">
        <f t="shared" ref="H133:M134" si="81">H134</f>
        <v>1145</v>
      </c>
      <c r="I133" s="11">
        <f t="shared" si="81"/>
        <v>0</v>
      </c>
      <c r="J133" s="11">
        <f t="shared" si="81"/>
        <v>0</v>
      </c>
      <c r="K133" s="11">
        <f t="shared" si="81"/>
        <v>0</v>
      </c>
      <c r="L133" s="11">
        <f t="shared" si="81"/>
        <v>0</v>
      </c>
      <c r="M133" s="11">
        <f t="shared" si="81"/>
        <v>0</v>
      </c>
      <c r="N133" s="7" t="e">
        <f t="shared" si="47"/>
        <v>#DIV/0!</v>
      </c>
    </row>
    <row r="134" spans="1:14" ht="31.5" hidden="1" x14ac:dyDescent="0.25">
      <c r="A134" s="31" t="s">
        <v>323</v>
      </c>
      <c r="B134" s="42" t="s">
        <v>466</v>
      </c>
      <c r="C134" s="42" t="s">
        <v>315</v>
      </c>
      <c r="D134" s="42" t="s">
        <v>169</v>
      </c>
      <c r="E134" s="42" t="s">
        <v>324</v>
      </c>
      <c r="F134" s="42"/>
      <c r="G134" s="11">
        <f>G135</f>
        <v>1145</v>
      </c>
      <c r="H134" s="11">
        <f t="shared" si="81"/>
        <v>1145</v>
      </c>
      <c r="I134" s="11">
        <f t="shared" si="81"/>
        <v>0</v>
      </c>
      <c r="J134" s="11">
        <f t="shared" si="81"/>
        <v>0</v>
      </c>
      <c r="K134" s="11">
        <f t="shared" si="81"/>
        <v>0</v>
      </c>
      <c r="L134" s="11">
        <f t="shared" si="81"/>
        <v>0</v>
      </c>
      <c r="M134" s="11">
        <f t="shared" si="81"/>
        <v>0</v>
      </c>
      <c r="N134" s="7" t="e">
        <f t="shared" si="47"/>
        <v>#DIV/0!</v>
      </c>
    </row>
    <row r="135" spans="1:14" ht="15.75" hidden="1" x14ac:dyDescent="0.25">
      <c r="A135" s="31" t="s">
        <v>325</v>
      </c>
      <c r="B135" s="42" t="s">
        <v>466</v>
      </c>
      <c r="C135" s="42" t="s">
        <v>315</v>
      </c>
      <c r="D135" s="42" t="s">
        <v>169</v>
      </c>
      <c r="E135" s="42" t="s">
        <v>326</v>
      </c>
      <c r="F135" s="42"/>
      <c r="G135" s="11">
        <f>'Прил.№4 ведомств.'!G609</f>
        <v>1145</v>
      </c>
      <c r="H135" s="11">
        <f>'Прил.№4 ведомств.'!I609</f>
        <v>1145</v>
      </c>
      <c r="I135" s="11">
        <f>'Прил.№4 ведомств.'!J609</f>
        <v>0</v>
      </c>
      <c r="J135" s="11">
        <f>'Прил.№4 ведомств.'!K609</f>
        <v>0</v>
      </c>
      <c r="K135" s="11">
        <f>'Прил.№4 ведомств.'!L609</f>
        <v>0</v>
      </c>
      <c r="L135" s="11">
        <f>'Прил.№4 ведомств.'!M609</f>
        <v>0</v>
      </c>
      <c r="M135" s="11">
        <f>'Прил.№4 ведомств.'!N609</f>
        <v>0</v>
      </c>
      <c r="N135" s="7" t="e">
        <f t="shared" si="47"/>
        <v>#DIV/0!</v>
      </c>
    </row>
    <row r="136" spans="1:14" ht="31.5" x14ac:dyDescent="0.25">
      <c r="A136" s="31" t="s">
        <v>467</v>
      </c>
      <c r="B136" s="42" t="s">
        <v>468</v>
      </c>
      <c r="C136" s="42" t="s">
        <v>315</v>
      </c>
      <c r="D136" s="42" t="s">
        <v>169</v>
      </c>
      <c r="E136" s="42"/>
      <c r="F136" s="42"/>
      <c r="G136" s="11">
        <f>G137</f>
        <v>6730</v>
      </c>
      <c r="H136" s="11">
        <f t="shared" ref="H136:M137" si="82">H137</f>
        <v>6730</v>
      </c>
      <c r="I136" s="11">
        <f t="shared" si="82"/>
        <v>5168.8</v>
      </c>
      <c r="J136" s="11">
        <f t="shared" si="82"/>
        <v>5168.8</v>
      </c>
      <c r="K136" s="11">
        <f t="shared" si="82"/>
        <v>5168.8</v>
      </c>
      <c r="L136" s="11">
        <f t="shared" si="82"/>
        <v>5168.8</v>
      </c>
      <c r="M136" s="11">
        <f t="shared" si="82"/>
        <v>2850</v>
      </c>
      <c r="N136" s="7">
        <f t="shared" si="47"/>
        <v>55.138523448382607</v>
      </c>
    </row>
    <row r="137" spans="1:14" ht="65.25" customHeight="1" x14ac:dyDescent="0.25">
      <c r="A137" s="31" t="s">
        <v>323</v>
      </c>
      <c r="B137" s="42" t="s">
        <v>468</v>
      </c>
      <c r="C137" s="42" t="s">
        <v>315</v>
      </c>
      <c r="D137" s="42" t="s">
        <v>169</v>
      </c>
      <c r="E137" s="42" t="s">
        <v>324</v>
      </c>
      <c r="F137" s="42"/>
      <c r="G137" s="11">
        <f>G138</f>
        <v>6730</v>
      </c>
      <c r="H137" s="11">
        <f t="shared" si="82"/>
        <v>6730</v>
      </c>
      <c r="I137" s="11">
        <f t="shared" si="82"/>
        <v>5168.8</v>
      </c>
      <c r="J137" s="11">
        <f t="shared" si="82"/>
        <v>5168.8</v>
      </c>
      <c r="K137" s="11">
        <f t="shared" si="82"/>
        <v>5168.8</v>
      </c>
      <c r="L137" s="11">
        <f t="shared" si="82"/>
        <v>5168.8</v>
      </c>
      <c r="M137" s="11">
        <f t="shared" si="82"/>
        <v>2850</v>
      </c>
      <c r="N137" s="7">
        <f t="shared" si="47"/>
        <v>55.138523448382607</v>
      </c>
    </row>
    <row r="138" spans="1:14" ht="15.75" x14ac:dyDescent="0.25">
      <c r="A138" s="31" t="s">
        <v>325</v>
      </c>
      <c r="B138" s="42" t="s">
        <v>468</v>
      </c>
      <c r="C138" s="42" t="s">
        <v>315</v>
      </c>
      <c r="D138" s="42" t="s">
        <v>169</v>
      </c>
      <c r="E138" s="42" t="s">
        <v>326</v>
      </c>
      <c r="F138" s="42"/>
      <c r="G138" s="7">
        <f>'Прил.№4 ведомств.'!G612</f>
        <v>6730</v>
      </c>
      <c r="H138" s="7">
        <f>'Прил.№4 ведомств.'!I612</f>
        <v>6730</v>
      </c>
      <c r="I138" s="7">
        <f>'Прил.№4 ведомств.'!J612</f>
        <v>5168.8</v>
      </c>
      <c r="J138" s="7">
        <f>'Прил.№4 ведомств.'!K612</f>
        <v>5168.8</v>
      </c>
      <c r="K138" s="7">
        <f>'Прил.№4 ведомств.'!L612</f>
        <v>5168.8</v>
      </c>
      <c r="L138" s="7">
        <f>'Прил.№4 ведомств.'!M612</f>
        <v>5168.8</v>
      </c>
      <c r="M138" s="7">
        <f>'Прил.№4 ведомств.'!N612</f>
        <v>2850</v>
      </c>
      <c r="N138" s="7">
        <f t="shared" si="47"/>
        <v>55.138523448382607</v>
      </c>
    </row>
    <row r="139" spans="1:14" ht="31.5" x14ac:dyDescent="0.25">
      <c r="A139" s="31" t="s">
        <v>335</v>
      </c>
      <c r="B139" s="42" t="s">
        <v>469</v>
      </c>
      <c r="C139" s="42" t="s">
        <v>315</v>
      </c>
      <c r="D139" s="42" t="s">
        <v>169</v>
      </c>
      <c r="E139" s="42"/>
      <c r="F139" s="42"/>
      <c r="G139" s="11">
        <f>G140</f>
        <v>0</v>
      </c>
      <c r="H139" s="11">
        <f t="shared" ref="H139:M140" si="83">H140</f>
        <v>0</v>
      </c>
      <c r="I139" s="11">
        <f t="shared" si="83"/>
        <v>500</v>
      </c>
      <c r="J139" s="11">
        <f t="shared" si="83"/>
        <v>50</v>
      </c>
      <c r="K139" s="11">
        <f t="shared" si="83"/>
        <v>500</v>
      </c>
      <c r="L139" s="11">
        <f t="shared" si="83"/>
        <v>97.2</v>
      </c>
      <c r="M139" s="11">
        <f t="shared" si="83"/>
        <v>0</v>
      </c>
      <c r="N139" s="7">
        <f t="shared" si="47"/>
        <v>0</v>
      </c>
    </row>
    <row r="140" spans="1:14" ht="31.5" x14ac:dyDescent="0.25">
      <c r="A140" s="31" t="s">
        <v>323</v>
      </c>
      <c r="B140" s="42" t="s">
        <v>469</v>
      </c>
      <c r="C140" s="42" t="s">
        <v>315</v>
      </c>
      <c r="D140" s="42" t="s">
        <v>169</v>
      </c>
      <c r="E140" s="42" t="s">
        <v>324</v>
      </c>
      <c r="F140" s="42"/>
      <c r="G140" s="11">
        <f>G141</f>
        <v>0</v>
      </c>
      <c r="H140" s="11">
        <f t="shared" si="83"/>
        <v>0</v>
      </c>
      <c r="I140" s="11">
        <f t="shared" si="83"/>
        <v>500</v>
      </c>
      <c r="J140" s="11">
        <f t="shared" si="83"/>
        <v>50</v>
      </c>
      <c r="K140" s="11">
        <f t="shared" si="83"/>
        <v>500</v>
      </c>
      <c r="L140" s="11">
        <f t="shared" si="83"/>
        <v>97.2</v>
      </c>
      <c r="M140" s="11">
        <f t="shared" si="83"/>
        <v>0</v>
      </c>
      <c r="N140" s="7">
        <f t="shared" si="47"/>
        <v>0</v>
      </c>
    </row>
    <row r="141" spans="1:14" ht="15.75" x14ac:dyDescent="0.25">
      <c r="A141" s="31" t="s">
        <v>325</v>
      </c>
      <c r="B141" s="42" t="s">
        <v>469</v>
      </c>
      <c r="C141" s="42" t="s">
        <v>315</v>
      </c>
      <c r="D141" s="42" t="s">
        <v>169</v>
      </c>
      <c r="E141" s="42" t="s">
        <v>326</v>
      </c>
      <c r="F141" s="42"/>
      <c r="G141" s="11">
        <f>'Прил.№4 ведомств.'!G615</f>
        <v>0</v>
      </c>
      <c r="H141" s="11">
        <f>'Прил.№4 ведомств.'!I615</f>
        <v>0</v>
      </c>
      <c r="I141" s="11">
        <f>'Прил.№4 ведомств.'!J615</f>
        <v>500</v>
      </c>
      <c r="J141" s="11">
        <f>'Прил.№4 ведомств.'!K615</f>
        <v>50</v>
      </c>
      <c r="K141" s="11">
        <f>'Прил.№4 ведомств.'!L615</f>
        <v>500</v>
      </c>
      <c r="L141" s="11">
        <f>'Прил.№4 ведомств.'!M615</f>
        <v>97.2</v>
      </c>
      <c r="M141" s="11">
        <f>'Прил.№4 ведомств.'!N615</f>
        <v>0</v>
      </c>
      <c r="N141" s="7">
        <f t="shared" ref="N141:N204" si="84">M141/L141*100</f>
        <v>0</v>
      </c>
    </row>
    <row r="142" spans="1:14" ht="31.5" x14ac:dyDescent="0.25">
      <c r="A142" s="70" t="s">
        <v>861</v>
      </c>
      <c r="B142" s="21" t="s">
        <v>864</v>
      </c>
      <c r="C142" s="21" t="s">
        <v>315</v>
      </c>
      <c r="D142" s="21" t="s">
        <v>169</v>
      </c>
      <c r="E142" s="21"/>
      <c r="F142" s="21"/>
      <c r="G142" s="11">
        <f>G143</f>
        <v>0</v>
      </c>
      <c r="H142" s="11">
        <f t="shared" ref="H142:M143" si="85">H143</f>
        <v>0</v>
      </c>
      <c r="I142" s="11">
        <f t="shared" si="85"/>
        <v>3468.9</v>
      </c>
      <c r="J142" s="11">
        <f t="shared" si="85"/>
        <v>3468.9</v>
      </c>
      <c r="K142" s="11">
        <f t="shared" si="85"/>
        <v>3468.9</v>
      </c>
      <c r="L142" s="11">
        <f t="shared" si="85"/>
        <v>3468.9</v>
      </c>
      <c r="M142" s="11">
        <f t="shared" si="85"/>
        <v>3120</v>
      </c>
      <c r="N142" s="7">
        <f t="shared" si="84"/>
        <v>89.942056559716335</v>
      </c>
    </row>
    <row r="143" spans="1:14" ht="31.5" x14ac:dyDescent="0.25">
      <c r="A143" s="31" t="s">
        <v>323</v>
      </c>
      <c r="B143" s="21" t="s">
        <v>864</v>
      </c>
      <c r="C143" s="21" t="s">
        <v>315</v>
      </c>
      <c r="D143" s="21" t="s">
        <v>169</v>
      </c>
      <c r="E143" s="21" t="s">
        <v>324</v>
      </c>
      <c r="F143" s="21"/>
      <c r="G143" s="11">
        <f>G144</f>
        <v>0</v>
      </c>
      <c r="H143" s="11">
        <f t="shared" si="85"/>
        <v>0</v>
      </c>
      <c r="I143" s="11">
        <f t="shared" si="85"/>
        <v>3468.9</v>
      </c>
      <c r="J143" s="11">
        <f t="shared" si="85"/>
        <v>3468.9</v>
      </c>
      <c r="K143" s="11">
        <f t="shared" si="85"/>
        <v>3468.9</v>
      </c>
      <c r="L143" s="11">
        <f t="shared" si="85"/>
        <v>3468.9</v>
      </c>
      <c r="M143" s="11">
        <f t="shared" si="85"/>
        <v>3120</v>
      </c>
      <c r="N143" s="7">
        <f t="shared" si="84"/>
        <v>89.942056559716335</v>
      </c>
    </row>
    <row r="144" spans="1:14" ht="15.75" x14ac:dyDescent="0.25">
      <c r="A144" s="262" t="s">
        <v>325</v>
      </c>
      <c r="B144" s="21" t="s">
        <v>864</v>
      </c>
      <c r="C144" s="21" t="s">
        <v>315</v>
      </c>
      <c r="D144" s="21" t="s">
        <v>169</v>
      </c>
      <c r="E144" s="21" t="s">
        <v>326</v>
      </c>
      <c r="F144" s="21"/>
      <c r="G144" s="11">
        <f>'Прил.№4 ведомств.'!G618</f>
        <v>0</v>
      </c>
      <c r="H144" s="11">
        <f>'Прил.№4 ведомств.'!I618</f>
        <v>0</v>
      </c>
      <c r="I144" s="11">
        <f>'Прил.№4 ведомств.'!J618</f>
        <v>3468.9</v>
      </c>
      <c r="J144" s="11">
        <f>'Прил.№4 ведомств.'!K618</f>
        <v>3468.9</v>
      </c>
      <c r="K144" s="11">
        <f>'Прил.№4 ведомств.'!L618</f>
        <v>3468.9</v>
      </c>
      <c r="L144" s="11">
        <f>'Прил.№4 ведомств.'!M618</f>
        <v>3468.9</v>
      </c>
      <c r="M144" s="11">
        <f>'Прил.№4 ведомств.'!N618</f>
        <v>3120</v>
      </c>
      <c r="N144" s="7">
        <f t="shared" si="84"/>
        <v>89.942056559716335</v>
      </c>
    </row>
    <row r="145" spans="1:14" ht="47.25" x14ac:dyDescent="0.25">
      <c r="A145" s="70" t="s">
        <v>870</v>
      </c>
      <c r="B145" s="21" t="s">
        <v>865</v>
      </c>
      <c r="C145" s="21" t="s">
        <v>315</v>
      </c>
      <c r="D145" s="21" t="s">
        <v>169</v>
      </c>
      <c r="E145" s="21"/>
      <c r="F145" s="21"/>
      <c r="G145" s="11">
        <f>G146</f>
        <v>0</v>
      </c>
      <c r="H145" s="11">
        <f t="shared" ref="H145:M146" si="86">H146</f>
        <v>0</v>
      </c>
      <c r="I145" s="11">
        <f t="shared" si="86"/>
        <v>1230.5999999999999</v>
      </c>
      <c r="J145" s="11">
        <f t="shared" si="86"/>
        <v>1230.5999999999999</v>
      </c>
      <c r="K145" s="11">
        <f t="shared" si="86"/>
        <v>1230.5999999999999</v>
      </c>
      <c r="L145" s="11">
        <f t="shared" si="86"/>
        <v>1230.5999999999999</v>
      </c>
      <c r="M145" s="11">
        <f t="shared" si="86"/>
        <v>805</v>
      </c>
      <c r="N145" s="7">
        <f t="shared" si="84"/>
        <v>65.41524459613197</v>
      </c>
    </row>
    <row r="146" spans="1:14" ht="31.5" x14ac:dyDescent="0.25">
      <c r="A146" s="31" t="s">
        <v>323</v>
      </c>
      <c r="B146" s="21" t="s">
        <v>865</v>
      </c>
      <c r="C146" s="21" t="s">
        <v>315</v>
      </c>
      <c r="D146" s="21" t="s">
        <v>169</v>
      </c>
      <c r="E146" s="21" t="s">
        <v>324</v>
      </c>
      <c r="F146" s="21"/>
      <c r="G146" s="11">
        <f>G147</f>
        <v>0</v>
      </c>
      <c r="H146" s="11">
        <f t="shared" si="86"/>
        <v>0</v>
      </c>
      <c r="I146" s="11">
        <f t="shared" si="86"/>
        <v>1230.5999999999999</v>
      </c>
      <c r="J146" s="11">
        <f t="shared" si="86"/>
        <v>1230.5999999999999</v>
      </c>
      <c r="K146" s="11">
        <f t="shared" si="86"/>
        <v>1230.5999999999999</v>
      </c>
      <c r="L146" s="11">
        <f t="shared" si="86"/>
        <v>1230.5999999999999</v>
      </c>
      <c r="M146" s="11">
        <f t="shared" si="86"/>
        <v>805</v>
      </c>
      <c r="N146" s="7">
        <f t="shared" si="84"/>
        <v>65.41524459613197</v>
      </c>
    </row>
    <row r="147" spans="1:14" ht="15.75" x14ac:dyDescent="0.25">
      <c r="A147" s="262" t="s">
        <v>325</v>
      </c>
      <c r="B147" s="21" t="s">
        <v>865</v>
      </c>
      <c r="C147" s="21" t="s">
        <v>315</v>
      </c>
      <c r="D147" s="21" t="s">
        <v>169</v>
      </c>
      <c r="E147" s="21" t="s">
        <v>326</v>
      </c>
      <c r="F147" s="21"/>
      <c r="G147" s="11">
        <f>'Прил.№4 ведомств.'!G621</f>
        <v>0</v>
      </c>
      <c r="H147" s="11">
        <f>'Прил.№4 ведомств.'!I621</f>
        <v>0</v>
      </c>
      <c r="I147" s="11">
        <f>'Прил.№4 ведомств.'!J621</f>
        <v>1230.5999999999999</v>
      </c>
      <c r="J147" s="11">
        <f>'Прил.№4 ведомств.'!K621</f>
        <v>1230.5999999999999</v>
      </c>
      <c r="K147" s="11">
        <f>'Прил.№4 ведомств.'!L621</f>
        <v>1230.5999999999999</v>
      </c>
      <c r="L147" s="11">
        <f>'Прил.№4 ведомств.'!M621</f>
        <v>1230.5999999999999</v>
      </c>
      <c r="M147" s="11">
        <f>'Прил.№4 ведомств.'!N621</f>
        <v>805</v>
      </c>
      <c r="N147" s="7">
        <f t="shared" si="84"/>
        <v>65.41524459613197</v>
      </c>
    </row>
    <row r="148" spans="1:14" ht="126" x14ac:dyDescent="0.25">
      <c r="A148" s="26" t="s">
        <v>475</v>
      </c>
      <c r="B148" s="21" t="s">
        <v>1022</v>
      </c>
      <c r="C148" s="21" t="s">
        <v>315</v>
      </c>
      <c r="D148" s="21" t="s">
        <v>169</v>
      </c>
      <c r="E148" s="21"/>
      <c r="F148" s="21"/>
      <c r="G148" s="11"/>
      <c r="H148" s="11"/>
      <c r="I148" s="11"/>
      <c r="J148" s="11"/>
      <c r="K148" s="11"/>
      <c r="L148" s="11">
        <f>L149</f>
        <v>124.4</v>
      </c>
      <c r="M148" s="11">
        <f t="shared" ref="M148:M149" si="87">M149</f>
        <v>0</v>
      </c>
      <c r="N148" s="7">
        <f t="shared" si="84"/>
        <v>0</v>
      </c>
    </row>
    <row r="149" spans="1:14" ht="31.5" x14ac:dyDescent="0.25">
      <c r="A149" s="26" t="s">
        <v>323</v>
      </c>
      <c r="B149" s="21" t="s">
        <v>1022</v>
      </c>
      <c r="C149" s="21" t="s">
        <v>315</v>
      </c>
      <c r="D149" s="21" t="s">
        <v>169</v>
      </c>
      <c r="E149" s="21" t="s">
        <v>324</v>
      </c>
      <c r="F149" s="21"/>
      <c r="G149" s="11"/>
      <c r="H149" s="11"/>
      <c r="I149" s="11"/>
      <c r="J149" s="11"/>
      <c r="K149" s="11"/>
      <c r="L149" s="11">
        <f>L150</f>
        <v>124.4</v>
      </c>
      <c r="M149" s="11">
        <f t="shared" si="87"/>
        <v>0</v>
      </c>
      <c r="N149" s="7">
        <f t="shared" si="84"/>
        <v>0</v>
      </c>
    </row>
    <row r="150" spans="1:14" ht="15.75" x14ac:dyDescent="0.25">
      <c r="A150" s="26" t="s">
        <v>325</v>
      </c>
      <c r="B150" s="21" t="s">
        <v>1022</v>
      </c>
      <c r="C150" s="21" t="s">
        <v>315</v>
      </c>
      <c r="D150" s="21" t="s">
        <v>169</v>
      </c>
      <c r="E150" s="21" t="s">
        <v>326</v>
      </c>
      <c r="F150" s="21"/>
      <c r="G150" s="11"/>
      <c r="H150" s="11"/>
      <c r="I150" s="11"/>
      <c r="J150" s="11"/>
      <c r="K150" s="11"/>
      <c r="L150" s="11">
        <f>'Прил.№4 ведомств.'!M624</f>
        <v>124.4</v>
      </c>
      <c r="M150" s="11">
        <f>'Прил.№4 ведомств.'!N624</f>
        <v>0</v>
      </c>
      <c r="N150" s="7">
        <f t="shared" si="84"/>
        <v>0</v>
      </c>
    </row>
    <row r="151" spans="1:14" ht="31.5" x14ac:dyDescent="0.25">
      <c r="A151" s="31" t="s">
        <v>455</v>
      </c>
      <c r="B151" s="42" t="s">
        <v>464</v>
      </c>
      <c r="C151" s="42"/>
      <c r="D151" s="42"/>
      <c r="E151" s="42"/>
      <c r="F151" s="42" t="s">
        <v>713</v>
      </c>
      <c r="G151" s="11">
        <f t="shared" ref="G151:L151" si="88">G123</f>
        <v>7875</v>
      </c>
      <c r="H151" s="11">
        <f t="shared" si="88"/>
        <v>7875</v>
      </c>
      <c r="I151" s="11">
        <f t="shared" si="88"/>
        <v>25698.3</v>
      </c>
      <c r="J151" s="11">
        <f t="shared" si="88"/>
        <v>20018.3</v>
      </c>
      <c r="K151" s="11">
        <f t="shared" si="88"/>
        <v>13968.3</v>
      </c>
      <c r="L151" s="11">
        <f t="shared" si="88"/>
        <v>10289.9</v>
      </c>
      <c r="M151" s="11">
        <f t="shared" ref="M151" si="89">M123</f>
        <v>6775</v>
      </c>
      <c r="N151" s="7">
        <f t="shared" si="84"/>
        <v>65.841261819842757</v>
      </c>
    </row>
    <row r="152" spans="1:14" ht="31.5" x14ac:dyDescent="0.25">
      <c r="A152" s="43" t="s">
        <v>482</v>
      </c>
      <c r="B152" s="8" t="s">
        <v>483</v>
      </c>
      <c r="C152" s="8"/>
      <c r="D152" s="8"/>
      <c r="E152" s="8"/>
      <c r="F152" s="8"/>
      <c r="G152" s="4">
        <f>G173</f>
        <v>6675.4</v>
      </c>
      <c r="H152" s="4">
        <f t="shared" ref="H152:L152" si="90">H173</f>
        <v>6675.3666666666659</v>
      </c>
      <c r="I152" s="4">
        <f t="shared" si="90"/>
        <v>16647.800000000003</v>
      </c>
      <c r="J152" s="4">
        <f t="shared" si="90"/>
        <v>11746.7</v>
      </c>
      <c r="K152" s="4">
        <f t="shared" si="90"/>
        <v>9246.7000000000007</v>
      </c>
      <c r="L152" s="4">
        <f t="shared" si="90"/>
        <v>6615.9</v>
      </c>
      <c r="M152" s="4">
        <f t="shared" ref="M152" si="91">M173</f>
        <v>5422.6</v>
      </c>
      <c r="N152" s="4">
        <f t="shared" si="84"/>
        <v>81.963149382548124</v>
      </c>
    </row>
    <row r="153" spans="1:14" ht="70.5" hidden="1" customHeight="1" x14ac:dyDescent="0.25">
      <c r="A153" s="31" t="s">
        <v>657</v>
      </c>
      <c r="B153" s="42" t="s">
        <v>663</v>
      </c>
      <c r="C153" s="42" t="s">
        <v>315</v>
      </c>
      <c r="D153" s="42" t="s">
        <v>264</v>
      </c>
      <c r="E153" s="42"/>
      <c r="F153" s="42"/>
      <c r="G153" s="11">
        <f>G154</f>
        <v>0</v>
      </c>
      <c r="H153" s="11">
        <f t="shared" ref="H153:M153" si="92">H154</f>
        <v>0</v>
      </c>
      <c r="I153" s="11">
        <f t="shared" si="92"/>
        <v>0</v>
      </c>
      <c r="J153" s="11">
        <f t="shared" si="92"/>
        <v>0</v>
      </c>
      <c r="K153" s="11">
        <f t="shared" si="92"/>
        <v>0</v>
      </c>
      <c r="L153" s="11">
        <f t="shared" si="92"/>
        <v>0</v>
      </c>
      <c r="M153" s="11">
        <f t="shared" si="92"/>
        <v>0</v>
      </c>
      <c r="N153" s="4" t="e">
        <f t="shared" si="84"/>
        <v>#DIV/0!</v>
      </c>
    </row>
    <row r="154" spans="1:14" ht="31.5" hidden="1" x14ac:dyDescent="0.25">
      <c r="A154" s="31" t="s">
        <v>323</v>
      </c>
      <c r="B154" s="42" t="s">
        <v>663</v>
      </c>
      <c r="C154" s="42" t="s">
        <v>315</v>
      </c>
      <c r="D154" s="42" t="s">
        <v>264</v>
      </c>
      <c r="E154" s="42" t="s">
        <v>324</v>
      </c>
      <c r="F154" s="42"/>
      <c r="G154" s="11">
        <f>G156</f>
        <v>0</v>
      </c>
      <c r="H154" s="11">
        <f t="shared" ref="H154:L154" si="93">H156</f>
        <v>0</v>
      </c>
      <c r="I154" s="11">
        <f t="shared" si="93"/>
        <v>0</v>
      </c>
      <c r="J154" s="11">
        <f t="shared" si="93"/>
        <v>0</v>
      </c>
      <c r="K154" s="11">
        <f t="shared" si="93"/>
        <v>0</v>
      </c>
      <c r="L154" s="11">
        <f t="shared" si="93"/>
        <v>0</v>
      </c>
      <c r="M154" s="11">
        <f t="shared" ref="M154" si="94">M156</f>
        <v>0</v>
      </c>
      <c r="N154" s="4" t="e">
        <f t="shared" si="84"/>
        <v>#DIV/0!</v>
      </c>
    </row>
    <row r="155" spans="1:14" ht="18.75" hidden="1" customHeight="1" x14ac:dyDescent="0.25">
      <c r="A155" s="31" t="s">
        <v>325</v>
      </c>
      <c r="B155" s="42" t="s">
        <v>663</v>
      </c>
      <c r="C155" s="42" t="s">
        <v>315</v>
      </c>
      <c r="D155" s="42" t="s">
        <v>264</v>
      </c>
      <c r="E155" s="42" t="s">
        <v>326</v>
      </c>
      <c r="F155" s="42"/>
      <c r="G155" s="11"/>
      <c r="H155" s="11"/>
      <c r="I155" s="11"/>
      <c r="J155" s="11"/>
      <c r="K155" s="11"/>
      <c r="L155" s="11"/>
      <c r="M155" s="11"/>
      <c r="N155" s="4" t="e">
        <f t="shared" si="84"/>
        <v>#DIV/0!</v>
      </c>
    </row>
    <row r="156" spans="1:14" ht="31.5" hidden="1" x14ac:dyDescent="0.25">
      <c r="A156" s="31" t="s">
        <v>455</v>
      </c>
      <c r="B156" s="42" t="s">
        <v>663</v>
      </c>
      <c r="C156" s="42" t="s">
        <v>315</v>
      </c>
      <c r="D156" s="42" t="s">
        <v>264</v>
      </c>
      <c r="E156" s="42"/>
      <c r="F156" s="42" t="s">
        <v>713</v>
      </c>
      <c r="G156" s="11"/>
      <c r="H156" s="11"/>
      <c r="I156" s="11"/>
      <c r="J156" s="11"/>
      <c r="K156" s="11"/>
      <c r="L156" s="11"/>
      <c r="M156" s="11"/>
      <c r="N156" s="4" t="e">
        <f t="shared" si="84"/>
        <v>#DIV/0!</v>
      </c>
    </row>
    <row r="157" spans="1:14" ht="47.25" hidden="1" x14ac:dyDescent="0.25">
      <c r="A157" s="26" t="s">
        <v>484</v>
      </c>
      <c r="B157" s="42" t="s">
        <v>485</v>
      </c>
      <c r="C157" s="42" t="s">
        <v>315</v>
      </c>
      <c r="D157" s="42" t="s">
        <v>264</v>
      </c>
      <c r="E157" s="42"/>
      <c r="F157" s="42"/>
      <c r="G157" s="11">
        <f>G158</f>
        <v>0</v>
      </c>
      <c r="H157" s="11">
        <f t="shared" ref="H157:M158" si="95">H158</f>
        <v>0</v>
      </c>
      <c r="I157" s="11">
        <f t="shared" si="95"/>
        <v>0</v>
      </c>
      <c r="J157" s="11">
        <f t="shared" si="95"/>
        <v>0</v>
      </c>
      <c r="K157" s="11">
        <f t="shared" si="95"/>
        <v>0</v>
      </c>
      <c r="L157" s="11">
        <f t="shared" si="95"/>
        <v>0</v>
      </c>
      <c r="M157" s="11">
        <f t="shared" si="95"/>
        <v>0</v>
      </c>
      <c r="N157" s="4" t="e">
        <f t="shared" si="84"/>
        <v>#DIV/0!</v>
      </c>
    </row>
    <row r="158" spans="1:14" ht="31.5" hidden="1" x14ac:dyDescent="0.25">
      <c r="A158" s="31" t="s">
        <v>323</v>
      </c>
      <c r="B158" s="42" t="s">
        <v>485</v>
      </c>
      <c r="C158" s="42" t="s">
        <v>315</v>
      </c>
      <c r="D158" s="42" t="s">
        <v>264</v>
      </c>
      <c r="E158" s="42" t="s">
        <v>324</v>
      </c>
      <c r="F158" s="42"/>
      <c r="G158" s="11">
        <f>G159</f>
        <v>0</v>
      </c>
      <c r="H158" s="11">
        <f t="shared" si="95"/>
        <v>0</v>
      </c>
      <c r="I158" s="11">
        <f t="shared" si="95"/>
        <v>0</v>
      </c>
      <c r="J158" s="11">
        <f t="shared" si="95"/>
        <v>0</v>
      </c>
      <c r="K158" s="11">
        <f t="shared" si="95"/>
        <v>0</v>
      </c>
      <c r="L158" s="11">
        <f t="shared" si="95"/>
        <v>0</v>
      </c>
      <c r="M158" s="11">
        <f t="shared" si="95"/>
        <v>0</v>
      </c>
      <c r="N158" s="4" t="e">
        <f t="shared" si="84"/>
        <v>#DIV/0!</v>
      </c>
    </row>
    <row r="159" spans="1:14" ht="15.75" hidden="1" x14ac:dyDescent="0.25">
      <c r="A159" s="31" t="s">
        <v>325</v>
      </c>
      <c r="B159" s="42" t="s">
        <v>485</v>
      </c>
      <c r="C159" s="42" t="s">
        <v>315</v>
      </c>
      <c r="D159" s="42" t="s">
        <v>264</v>
      </c>
      <c r="E159" s="42" t="s">
        <v>326</v>
      </c>
      <c r="F159" s="42"/>
      <c r="G159" s="11"/>
      <c r="H159" s="11"/>
      <c r="I159" s="11"/>
      <c r="J159" s="11"/>
      <c r="K159" s="11"/>
      <c r="L159" s="11"/>
      <c r="M159" s="11"/>
      <c r="N159" s="4" t="e">
        <f t="shared" si="84"/>
        <v>#DIV/0!</v>
      </c>
    </row>
    <row r="160" spans="1:14" ht="54.75" hidden="1" customHeight="1" x14ac:dyDescent="0.25">
      <c r="A160" s="31" t="s">
        <v>455</v>
      </c>
      <c r="B160" s="42" t="s">
        <v>485</v>
      </c>
      <c r="C160" s="42" t="s">
        <v>315</v>
      </c>
      <c r="D160" s="42" t="s">
        <v>264</v>
      </c>
      <c r="E160" s="42"/>
      <c r="F160" s="42" t="s">
        <v>713</v>
      </c>
      <c r="G160" s="11">
        <f>G157</f>
        <v>0</v>
      </c>
      <c r="H160" s="11">
        <f t="shared" ref="H160:L160" si="96">H157</f>
        <v>0</v>
      </c>
      <c r="I160" s="11">
        <f t="shared" si="96"/>
        <v>0</v>
      </c>
      <c r="J160" s="11">
        <f t="shared" si="96"/>
        <v>0</v>
      </c>
      <c r="K160" s="11">
        <f t="shared" si="96"/>
        <v>0</v>
      </c>
      <c r="L160" s="11">
        <f t="shared" si="96"/>
        <v>0</v>
      </c>
      <c r="M160" s="11">
        <f t="shared" ref="M160" si="97">M157</f>
        <v>0</v>
      </c>
      <c r="N160" s="4" t="e">
        <f t="shared" si="84"/>
        <v>#DIV/0!</v>
      </c>
    </row>
    <row r="161" spans="1:14" ht="31.5" hidden="1" x14ac:dyDescent="0.25">
      <c r="A161" s="26" t="s">
        <v>486</v>
      </c>
      <c r="B161" s="21" t="s">
        <v>487</v>
      </c>
      <c r="C161" s="42" t="s">
        <v>315</v>
      </c>
      <c r="D161" s="42" t="s">
        <v>264</v>
      </c>
      <c r="E161" s="42"/>
      <c r="F161" s="42"/>
      <c r="G161" s="11">
        <f>G162</f>
        <v>0</v>
      </c>
      <c r="H161" s="11">
        <f t="shared" ref="H161:M162" si="98">H162</f>
        <v>0</v>
      </c>
      <c r="I161" s="11">
        <f t="shared" si="98"/>
        <v>0</v>
      </c>
      <c r="J161" s="11">
        <f t="shared" si="98"/>
        <v>0</v>
      </c>
      <c r="K161" s="11">
        <f t="shared" si="98"/>
        <v>0</v>
      </c>
      <c r="L161" s="11">
        <f t="shared" si="98"/>
        <v>0</v>
      </c>
      <c r="M161" s="11">
        <f t="shared" si="98"/>
        <v>0</v>
      </c>
      <c r="N161" s="4" t="e">
        <f t="shared" si="84"/>
        <v>#DIV/0!</v>
      </c>
    </row>
    <row r="162" spans="1:14" ht="65.25" hidden="1" customHeight="1" x14ac:dyDescent="0.25">
      <c r="A162" s="26" t="s">
        <v>323</v>
      </c>
      <c r="B162" s="21" t="s">
        <v>487</v>
      </c>
      <c r="C162" s="42" t="s">
        <v>315</v>
      </c>
      <c r="D162" s="42" t="s">
        <v>264</v>
      </c>
      <c r="E162" s="42" t="s">
        <v>324</v>
      </c>
      <c r="F162" s="42"/>
      <c r="G162" s="11">
        <f>G163</f>
        <v>0</v>
      </c>
      <c r="H162" s="11">
        <f t="shared" si="98"/>
        <v>0</v>
      </c>
      <c r="I162" s="11">
        <f t="shared" si="98"/>
        <v>0</v>
      </c>
      <c r="J162" s="11">
        <f t="shared" si="98"/>
        <v>0</v>
      </c>
      <c r="K162" s="11">
        <f t="shared" si="98"/>
        <v>0</v>
      </c>
      <c r="L162" s="11">
        <f t="shared" si="98"/>
        <v>0</v>
      </c>
      <c r="M162" s="11">
        <f t="shared" si="98"/>
        <v>0</v>
      </c>
      <c r="N162" s="4" t="e">
        <f t="shared" si="84"/>
        <v>#DIV/0!</v>
      </c>
    </row>
    <row r="163" spans="1:14" ht="15.75" hidden="1" x14ac:dyDescent="0.25">
      <c r="A163" s="26" t="s">
        <v>325</v>
      </c>
      <c r="B163" s="21" t="s">
        <v>487</v>
      </c>
      <c r="C163" s="42" t="s">
        <v>315</v>
      </c>
      <c r="D163" s="42" t="s">
        <v>264</v>
      </c>
      <c r="E163" s="42" t="s">
        <v>326</v>
      </c>
      <c r="F163" s="42"/>
      <c r="G163" s="11"/>
      <c r="H163" s="11"/>
      <c r="I163" s="11"/>
      <c r="J163" s="11"/>
      <c r="K163" s="11"/>
      <c r="L163" s="11"/>
      <c r="M163" s="11"/>
      <c r="N163" s="4" t="e">
        <f t="shared" si="84"/>
        <v>#DIV/0!</v>
      </c>
    </row>
    <row r="164" spans="1:14" ht="31.5" hidden="1" x14ac:dyDescent="0.25">
      <c r="A164" s="31" t="s">
        <v>455</v>
      </c>
      <c r="B164" s="21" t="s">
        <v>487</v>
      </c>
      <c r="C164" s="42" t="s">
        <v>315</v>
      </c>
      <c r="D164" s="42" t="s">
        <v>264</v>
      </c>
      <c r="E164" s="42"/>
      <c r="F164" s="42" t="s">
        <v>713</v>
      </c>
      <c r="G164" s="11">
        <f>G161</f>
        <v>0</v>
      </c>
      <c r="H164" s="11">
        <f t="shared" ref="H164:L164" si="99">H161</f>
        <v>0</v>
      </c>
      <c r="I164" s="11">
        <f t="shared" si="99"/>
        <v>0</v>
      </c>
      <c r="J164" s="11">
        <f t="shared" si="99"/>
        <v>0</v>
      </c>
      <c r="K164" s="11">
        <f t="shared" si="99"/>
        <v>0</v>
      </c>
      <c r="L164" s="11">
        <f t="shared" si="99"/>
        <v>0</v>
      </c>
      <c r="M164" s="11">
        <f t="shared" ref="M164" si="100">M161</f>
        <v>0</v>
      </c>
      <c r="N164" s="4" t="e">
        <f t="shared" si="84"/>
        <v>#DIV/0!</v>
      </c>
    </row>
    <row r="165" spans="1:14" ht="47.25" hidden="1" x14ac:dyDescent="0.25">
      <c r="A165" s="26" t="s">
        <v>490</v>
      </c>
      <c r="B165" s="21" t="s">
        <v>491</v>
      </c>
      <c r="C165" s="42" t="s">
        <v>315</v>
      </c>
      <c r="D165" s="42" t="s">
        <v>264</v>
      </c>
      <c r="E165" s="42"/>
      <c r="F165" s="42"/>
      <c r="G165" s="11">
        <f>G166</f>
        <v>0</v>
      </c>
      <c r="H165" s="11">
        <f t="shared" ref="H165:M166" si="101">H166</f>
        <v>0</v>
      </c>
      <c r="I165" s="11">
        <f t="shared" si="101"/>
        <v>0</v>
      </c>
      <c r="J165" s="11">
        <f t="shared" si="101"/>
        <v>0</v>
      </c>
      <c r="K165" s="11">
        <f t="shared" si="101"/>
        <v>0</v>
      </c>
      <c r="L165" s="11">
        <f t="shared" si="101"/>
        <v>0</v>
      </c>
      <c r="M165" s="11">
        <f t="shared" si="101"/>
        <v>0</v>
      </c>
      <c r="N165" s="4" t="e">
        <f t="shared" si="84"/>
        <v>#DIV/0!</v>
      </c>
    </row>
    <row r="166" spans="1:14" ht="31.5" hidden="1" x14ac:dyDescent="0.25">
      <c r="A166" s="31" t="s">
        <v>323</v>
      </c>
      <c r="B166" s="21" t="s">
        <v>491</v>
      </c>
      <c r="C166" s="42" t="s">
        <v>315</v>
      </c>
      <c r="D166" s="42" t="s">
        <v>264</v>
      </c>
      <c r="E166" s="42" t="s">
        <v>324</v>
      </c>
      <c r="F166" s="42"/>
      <c r="G166" s="11">
        <f>G167</f>
        <v>0</v>
      </c>
      <c r="H166" s="11">
        <f t="shared" si="101"/>
        <v>0</v>
      </c>
      <c r="I166" s="11">
        <f t="shared" si="101"/>
        <v>0</v>
      </c>
      <c r="J166" s="11">
        <f t="shared" si="101"/>
        <v>0</v>
      </c>
      <c r="K166" s="11">
        <f t="shared" si="101"/>
        <v>0</v>
      </c>
      <c r="L166" s="11">
        <f t="shared" si="101"/>
        <v>0</v>
      </c>
      <c r="M166" s="11">
        <f t="shared" si="101"/>
        <v>0</v>
      </c>
      <c r="N166" s="4" t="e">
        <f t="shared" si="84"/>
        <v>#DIV/0!</v>
      </c>
    </row>
    <row r="167" spans="1:14" ht="15.75" hidden="1" x14ac:dyDescent="0.25">
      <c r="A167" s="31" t="s">
        <v>325</v>
      </c>
      <c r="B167" s="21" t="s">
        <v>491</v>
      </c>
      <c r="C167" s="42" t="s">
        <v>315</v>
      </c>
      <c r="D167" s="42" t="s">
        <v>264</v>
      </c>
      <c r="E167" s="42" t="s">
        <v>326</v>
      </c>
      <c r="F167" s="42"/>
      <c r="G167" s="11"/>
      <c r="H167" s="11"/>
      <c r="I167" s="11"/>
      <c r="J167" s="11"/>
      <c r="K167" s="11"/>
      <c r="L167" s="11"/>
      <c r="M167" s="11"/>
      <c r="N167" s="4" t="e">
        <f t="shared" si="84"/>
        <v>#DIV/0!</v>
      </c>
    </row>
    <row r="168" spans="1:14" ht="31.5" hidden="1" x14ac:dyDescent="0.25">
      <c r="A168" s="31" t="s">
        <v>455</v>
      </c>
      <c r="B168" s="21" t="s">
        <v>491</v>
      </c>
      <c r="C168" s="42" t="s">
        <v>315</v>
      </c>
      <c r="D168" s="42" t="s">
        <v>264</v>
      </c>
      <c r="E168" s="42"/>
      <c r="F168" s="42" t="s">
        <v>713</v>
      </c>
      <c r="G168" s="11">
        <f>G167</f>
        <v>0</v>
      </c>
      <c r="H168" s="11">
        <f t="shared" ref="H168:L168" si="102">H167</f>
        <v>0</v>
      </c>
      <c r="I168" s="11">
        <f t="shared" si="102"/>
        <v>0</v>
      </c>
      <c r="J168" s="11">
        <f t="shared" si="102"/>
        <v>0</v>
      </c>
      <c r="K168" s="11">
        <f t="shared" si="102"/>
        <v>0</v>
      </c>
      <c r="L168" s="11">
        <f t="shared" si="102"/>
        <v>0</v>
      </c>
      <c r="M168" s="11">
        <f t="shared" ref="M168" si="103">M167</f>
        <v>0</v>
      </c>
      <c r="N168" s="4" t="e">
        <f t="shared" si="84"/>
        <v>#DIV/0!</v>
      </c>
    </row>
    <row r="169" spans="1:14" ht="31.5" hidden="1" x14ac:dyDescent="0.25">
      <c r="A169" s="26" t="s">
        <v>666</v>
      </c>
      <c r="B169" s="21" t="s">
        <v>494</v>
      </c>
      <c r="C169" s="42" t="s">
        <v>315</v>
      </c>
      <c r="D169" s="42" t="s">
        <v>264</v>
      </c>
      <c r="E169" s="42"/>
      <c r="F169" s="42"/>
      <c r="G169" s="11">
        <f>G170</f>
        <v>0</v>
      </c>
      <c r="H169" s="11">
        <f t="shared" ref="H169:M170" si="104">H170</f>
        <v>0</v>
      </c>
      <c r="I169" s="11">
        <f t="shared" si="104"/>
        <v>0</v>
      </c>
      <c r="J169" s="11">
        <f t="shared" si="104"/>
        <v>0</v>
      </c>
      <c r="K169" s="11">
        <f t="shared" si="104"/>
        <v>0</v>
      </c>
      <c r="L169" s="11">
        <f t="shared" si="104"/>
        <v>0</v>
      </c>
      <c r="M169" s="11">
        <f t="shared" si="104"/>
        <v>0</v>
      </c>
      <c r="N169" s="4" t="e">
        <f t="shared" si="84"/>
        <v>#DIV/0!</v>
      </c>
    </row>
    <row r="170" spans="1:14" ht="31.5" hidden="1" x14ac:dyDescent="0.25">
      <c r="A170" s="26" t="s">
        <v>323</v>
      </c>
      <c r="B170" s="21" t="s">
        <v>494</v>
      </c>
      <c r="C170" s="42" t="s">
        <v>315</v>
      </c>
      <c r="D170" s="42" t="s">
        <v>264</v>
      </c>
      <c r="E170" s="42" t="s">
        <v>324</v>
      </c>
      <c r="F170" s="42"/>
      <c r="G170" s="11">
        <f>G171</f>
        <v>0</v>
      </c>
      <c r="H170" s="11">
        <f t="shared" si="104"/>
        <v>0</v>
      </c>
      <c r="I170" s="11">
        <f t="shared" si="104"/>
        <v>0</v>
      </c>
      <c r="J170" s="11">
        <f t="shared" si="104"/>
        <v>0</v>
      </c>
      <c r="K170" s="11">
        <f t="shared" si="104"/>
        <v>0</v>
      </c>
      <c r="L170" s="11">
        <f t="shared" si="104"/>
        <v>0</v>
      </c>
      <c r="M170" s="11">
        <f t="shared" si="104"/>
        <v>0</v>
      </c>
      <c r="N170" s="4" t="e">
        <f t="shared" si="84"/>
        <v>#DIV/0!</v>
      </c>
    </row>
    <row r="171" spans="1:14" ht="15.75" hidden="1" x14ac:dyDescent="0.25">
      <c r="A171" s="26" t="s">
        <v>325</v>
      </c>
      <c r="B171" s="21" t="s">
        <v>494</v>
      </c>
      <c r="C171" s="42" t="s">
        <v>315</v>
      </c>
      <c r="D171" s="42" t="s">
        <v>264</v>
      </c>
      <c r="E171" s="42" t="s">
        <v>326</v>
      </c>
      <c r="F171" s="42"/>
      <c r="G171" s="11"/>
      <c r="H171" s="11"/>
      <c r="I171" s="11"/>
      <c r="J171" s="11"/>
      <c r="K171" s="11"/>
      <c r="L171" s="11"/>
      <c r="M171" s="11"/>
      <c r="N171" s="4" t="e">
        <f t="shared" si="84"/>
        <v>#DIV/0!</v>
      </c>
    </row>
    <row r="172" spans="1:14" ht="31.5" hidden="1" x14ac:dyDescent="0.25">
      <c r="A172" s="31" t="s">
        <v>455</v>
      </c>
      <c r="B172" s="21" t="s">
        <v>494</v>
      </c>
      <c r="C172" s="42" t="s">
        <v>315</v>
      </c>
      <c r="D172" s="42" t="s">
        <v>264</v>
      </c>
      <c r="E172" s="42"/>
      <c r="F172" s="42" t="s">
        <v>713</v>
      </c>
      <c r="G172" s="11">
        <f>G170</f>
        <v>0</v>
      </c>
      <c r="H172" s="11">
        <f t="shared" ref="H172:L172" si="105">H170</f>
        <v>0</v>
      </c>
      <c r="I172" s="11">
        <f t="shared" si="105"/>
        <v>0</v>
      </c>
      <c r="J172" s="11">
        <f t="shared" si="105"/>
        <v>0</v>
      </c>
      <c r="K172" s="11">
        <f t="shared" si="105"/>
        <v>0</v>
      </c>
      <c r="L172" s="11">
        <f t="shared" si="105"/>
        <v>0</v>
      </c>
      <c r="M172" s="11">
        <f t="shared" ref="M172" si="106">M170</f>
        <v>0</v>
      </c>
      <c r="N172" s="4" t="e">
        <f t="shared" si="84"/>
        <v>#DIV/0!</v>
      </c>
    </row>
    <row r="173" spans="1:14" ht="15.75" x14ac:dyDescent="0.25">
      <c r="A173" s="31" t="s">
        <v>314</v>
      </c>
      <c r="B173" s="42" t="s">
        <v>483</v>
      </c>
      <c r="C173" s="42" t="s">
        <v>315</v>
      </c>
      <c r="D173" s="42"/>
      <c r="E173" s="42"/>
      <c r="F173" s="42"/>
      <c r="G173" s="11">
        <f>G174</f>
        <v>6675.4</v>
      </c>
      <c r="H173" s="11">
        <f t="shared" ref="H173:M173" si="107">H174</f>
        <v>6675.3666666666659</v>
      </c>
      <c r="I173" s="11">
        <f t="shared" si="107"/>
        <v>16647.800000000003</v>
      </c>
      <c r="J173" s="11">
        <f t="shared" si="107"/>
        <v>11746.7</v>
      </c>
      <c r="K173" s="11">
        <f t="shared" si="107"/>
        <v>9246.7000000000007</v>
      </c>
      <c r="L173" s="11">
        <f t="shared" si="107"/>
        <v>6615.9</v>
      </c>
      <c r="M173" s="11">
        <f t="shared" si="107"/>
        <v>5422.6</v>
      </c>
      <c r="N173" s="7">
        <f t="shared" si="84"/>
        <v>81.963149382548124</v>
      </c>
    </row>
    <row r="174" spans="1:14" ht="15.75" x14ac:dyDescent="0.25">
      <c r="A174" s="31" t="s">
        <v>477</v>
      </c>
      <c r="B174" s="42" t="s">
        <v>483</v>
      </c>
      <c r="C174" s="42" t="s">
        <v>315</v>
      </c>
      <c r="D174" s="42" t="s">
        <v>264</v>
      </c>
      <c r="E174" s="42"/>
      <c r="F174" s="42"/>
      <c r="G174" s="11">
        <f>G175+G178+G190+G184+G193+G187+G196</f>
        <v>6675.4</v>
      </c>
      <c r="H174" s="11">
        <f t="shared" ref="H174:K174" si="108">H175+H178+H190+H184+H193+H187+H196</f>
        <v>6675.3666666666659</v>
      </c>
      <c r="I174" s="11">
        <f t="shared" si="108"/>
        <v>16647.800000000003</v>
      </c>
      <c r="J174" s="11">
        <f t="shared" si="108"/>
        <v>11746.7</v>
      </c>
      <c r="K174" s="11">
        <f t="shared" si="108"/>
        <v>9246.7000000000007</v>
      </c>
      <c r="L174" s="11">
        <f>L175+L178+L190+L184+L193+L187+L196+L181</f>
        <v>6615.9</v>
      </c>
      <c r="M174" s="11">
        <f t="shared" ref="M174" si="109">M175+M178+M190+M184+M193+M187+M196+M181</f>
        <v>5422.6</v>
      </c>
      <c r="N174" s="7">
        <f t="shared" si="84"/>
        <v>81.963149382548124</v>
      </c>
    </row>
    <row r="175" spans="1:14" ht="47.25" x14ac:dyDescent="0.25">
      <c r="A175" s="31" t="s">
        <v>665</v>
      </c>
      <c r="B175" s="21" t="s">
        <v>489</v>
      </c>
      <c r="C175" s="42" t="s">
        <v>315</v>
      </c>
      <c r="D175" s="42" t="s">
        <v>264</v>
      </c>
      <c r="E175" s="42"/>
      <c r="F175" s="42"/>
      <c r="G175" s="11">
        <f>G176</f>
        <v>2690</v>
      </c>
      <c r="H175" s="11">
        <f t="shared" ref="H175:M176" si="110">H176</f>
        <v>2206.6666666666665</v>
      </c>
      <c r="I175" s="11">
        <f t="shared" si="110"/>
        <v>2967.9</v>
      </c>
      <c r="J175" s="11">
        <f t="shared" si="110"/>
        <v>2967.9</v>
      </c>
      <c r="K175" s="11">
        <f t="shared" si="110"/>
        <v>2967.9</v>
      </c>
      <c r="L175" s="11">
        <f t="shared" si="110"/>
        <v>2967.9</v>
      </c>
      <c r="M175" s="11">
        <f t="shared" si="110"/>
        <v>1918.6</v>
      </c>
      <c r="N175" s="7">
        <f t="shared" si="84"/>
        <v>64.64503521008119</v>
      </c>
    </row>
    <row r="176" spans="1:14" ht="31.5" x14ac:dyDescent="0.25">
      <c r="A176" s="31" t="s">
        <v>323</v>
      </c>
      <c r="B176" s="21" t="s">
        <v>489</v>
      </c>
      <c r="C176" s="42" t="s">
        <v>315</v>
      </c>
      <c r="D176" s="42" t="s">
        <v>264</v>
      </c>
      <c r="E176" s="42" t="s">
        <v>324</v>
      </c>
      <c r="F176" s="42"/>
      <c r="G176" s="11">
        <f>G177</f>
        <v>2690</v>
      </c>
      <c r="H176" s="11">
        <f t="shared" si="110"/>
        <v>2206.6666666666665</v>
      </c>
      <c r="I176" s="11">
        <f t="shared" si="110"/>
        <v>2967.9</v>
      </c>
      <c r="J176" s="11">
        <f t="shared" si="110"/>
        <v>2967.9</v>
      </c>
      <c r="K176" s="11">
        <f t="shared" si="110"/>
        <v>2967.9</v>
      </c>
      <c r="L176" s="11">
        <f t="shared" si="110"/>
        <v>2967.9</v>
      </c>
      <c r="M176" s="11">
        <f t="shared" si="110"/>
        <v>1918.6</v>
      </c>
      <c r="N176" s="7">
        <f t="shared" si="84"/>
        <v>64.64503521008119</v>
      </c>
    </row>
    <row r="177" spans="1:14" ht="24" customHeight="1" x14ac:dyDescent="0.25">
      <c r="A177" s="31" t="s">
        <v>325</v>
      </c>
      <c r="B177" s="21" t="s">
        <v>489</v>
      </c>
      <c r="C177" s="42" t="s">
        <v>315</v>
      </c>
      <c r="D177" s="42" t="s">
        <v>264</v>
      </c>
      <c r="E177" s="42" t="s">
        <v>326</v>
      </c>
      <c r="F177" s="42"/>
      <c r="G177" s="7">
        <f>'Прил.№4 ведомств.'!G663</f>
        <v>2690</v>
      </c>
      <c r="H177" s="7">
        <f>'Прил.№4 ведомств.'!I663</f>
        <v>2206.6666666666665</v>
      </c>
      <c r="I177" s="7">
        <f>'Прил.№4 ведомств.'!J663</f>
        <v>2967.9</v>
      </c>
      <c r="J177" s="7">
        <f>'Прил.№4 ведомств.'!K663</f>
        <v>2967.9</v>
      </c>
      <c r="K177" s="7">
        <f>'Прил.№4 ведомств.'!L663</f>
        <v>2967.9</v>
      </c>
      <c r="L177" s="7">
        <f>'Прил.№4 ведомств.'!M663</f>
        <v>2967.9</v>
      </c>
      <c r="M177" s="7">
        <f>'Прил.№4 ведомств.'!N663</f>
        <v>1918.6</v>
      </c>
      <c r="N177" s="7">
        <f t="shared" si="84"/>
        <v>64.64503521008119</v>
      </c>
    </row>
    <row r="178" spans="1:14" ht="47.25" x14ac:dyDescent="0.25">
      <c r="A178" s="26" t="s">
        <v>490</v>
      </c>
      <c r="B178" s="21" t="s">
        <v>491</v>
      </c>
      <c r="C178" s="42" t="s">
        <v>315</v>
      </c>
      <c r="D178" s="42" t="s">
        <v>264</v>
      </c>
      <c r="E178" s="42"/>
      <c r="F178" s="42"/>
      <c r="G178" s="7">
        <f>G179</f>
        <v>320</v>
      </c>
      <c r="H178" s="7">
        <f t="shared" ref="H178:M179" si="111">H179</f>
        <v>803.3</v>
      </c>
      <c r="I178" s="7">
        <f t="shared" si="111"/>
        <v>320</v>
      </c>
      <c r="J178" s="7">
        <f t="shared" si="111"/>
        <v>320</v>
      </c>
      <c r="K178" s="7">
        <f t="shared" si="111"/>
        <v>320</v>
      </c>
      <c r="L178" s="7">
        <f t="shared" si="111"/>
        <v>320</v>
      </c>
      <c r="M178" s="7">
        <f t="shared" si="111"/>
        <v>285.3</v>
      </c>
      <c r="N178" s="7">
        <f t="shared" si="84"/>
        <v>89.15625</v>
      </c>
    </row>
    <row r="179" spans="1:14" ht="31.5" x14ac:dyDescent="0.25">
      <c r="A179" s="26" t="s">
        <v>323</v>
      </c>
      <c r="B179" s="21" t="s">
        <v>491</v>
      </c>
      <c r="C179" s="42" t="s">
        <v>315</v>
      </c>
      <c r="D179" s="42" t="s">
        <v>264</v>
      </c>
      <c r="E179" s="42" t="s">
        <v>324</v>
      </c>
      <c r="F179" s="42"/>
      <c r="G179" s="7">
        <f>G180</f>
        <v>320</v>
      </c>
      <c r="H179" s="7">
        <f t="shared" si="111"/>
        <v>803.3</v>
      </c>
      <c r="I179" s="7">
        <f t="shared" si="111"/>
        <v>320</v>
      </c>
      <c r="J179" s="7">
        <f t="shared" si="111"/>
        <v>320</v>
      </c>
      <c r="K179" s="7">
        <f t="shared" si="111"/>
        <v>320</v>
      </c>
      <c r="L179" s="7">
        <f t="shared" si="111"/>
        <v>320</v>
      </c>
      <c r="M179" s="7">
        <f t="shared" si="111"/>
        <v>285.3</v>
      </c>
      <c r="N179" s="7">
        <f t="shared" si="84"/>
        <v>89.15625</v>
      </c>
    </row>
    <row r="180" spans="1:14" ht="15.75" x14ac:dyDescent="0.25">
      <c r="A180" s="26" t="s">
        <v>325</v>
      </c>
      <c r="B180" s="21" t="s">
        <v>491</v>
      </c>
      <c r="C180" s="42" t="s">
        <v>315</v>
      </c>
      <c r="D180" s="42" t="s">
        <v>264</v>
      </c>
      <c r="E180" s="42" t="s">
        <v>326</v>
      </c>
      <c r="F180" s="42"/>
      <c r="G180" s="7">
        <f>'Прил.№4 ведомств.'!G666</f>
        <v>320</v>
      </c>
      <c r="H180" s="7">
        <f>'Прил.№4 ведомств.'!I666</f>
        <v>803.3</v>
      </c>
      <c r="I180" s="7">
        <f>'Прил.№4 ведомств.'!J666</f>
        <v>320</v>
      </c>
      <c r="J180" s="7">
        <f>'Прил.№4 ведомств.'!K666</f>
        <v>320</v>
      </c>
      <c r="K180" s="7">
        <f>'Прил.№4 ведомств.'!L666</f>
        <v>320</v>
      </c>
      <c r="L180" s="7">
        <f>'Прил.№4 ведомств.'!M666</f>
        <v>320</v>
      </c>
      <c r="M180" s="7">
        <f>'Прил.№4 ведомств.'!N666</f>
        <v>285.3</v>
      </c>
      <c r="N180" s="7">
        <f t="shared" si="84"/>
        <v>89.15625</v>
      </c>
    </row>
    <row r="181" spans="1:14" ht="47.25" x14ac:dyDescent="0.25">
      <c r="A181" s="26" t="s">
        <v>975</v>
      </c>
      <c r="B181" s="21" t="s">
        <v>493</v>
      </c>
      <c r="C181" s="42" t="s">
        <v>315</v>
      </c>
      <c r="D181" s="42" t="s">
        <v>264</v>
      </c>
      <c r="E181" s="42"/>
      <c r="F181" s="42"/>
      <c r="G181" s="7"/>
      <c r="H181" s="7"/>
      <c r="I181" s="7"/>
      <c r="J181" s="7"/>
      <c r="K181" s="7"/>
      <c r="L181" s="7">
        <f>L182</f>
        <v>107</v>
      </c>
      <c r="M181" s="7">
        <f t="shared" ref="M181:M182" si="112">M182</f>
        <v>107</v>
      </c>
      <c r="N181" s="7">
        <f t="shared" si="84"/>
        <v>100</v>
      </c>
    </row>
    <row r="182" spans="1:14" ht="31.5" x14ac:dyDescent="0.25">
      <c r="A182" s="26" t="s">
        <v>323</v>
      </c>
      <c r="B182" s="21" t="s">
        <v>493</v>
      </c>
      <c r="C182" s="42" t="s">
        <v>315</v>
      </c>
      <c r="D182" s="42" t="s">
        <v>264</v>
      </c>
      <c r="E182" s="42" t="s">
        <v>324</v>
      </c>
      <c r="F182" s="42"/>
      <c r="G182" s="7"/>
      <c r="H182" s="7"/>
      <c r="I182" s="7"/>
      <c r="J182" s="7"/>
      <c r="K182" s="7"/>
      <c r="L182" s="7">
        <f>L183</f>
        <v>107</v>
      </c>
      <c r="M182" s="7">
        <f t="shared" si="112"/>
        <v>107</v>
      </c>
      <c r="N182" s="7">
        <f t="shared" si="84"/>
        <v>100</v>
      </c>
    </row>
    <row r="183" spans="1:14" ht="15.75" x14ac:dyDescent="0.25">
      <c r="A183" s="26" t="s">
        <v>325</v>
      </c>
      <c r="B183" s="21" t="s">
        <v>493</v>
      </c>
      <c r="C183" s="42" t="s">
        <v>315</v>
      </c>
      <c r="D183" s="42" t="s">
        <v>264</v>
      </c>
      <c r="E183" s="42" t="s">
        <v>326</v>
      </c>
      <c r="F183" s="42"/>
      <c r="G183" s="7"/>
      <c r="H183" s="7"/>
      <c r="I183" s="7"/>
      <c r="J183" s="7"/>
      <c r="K183" s="7"/>
      <c r="L183" s="7">
        <f>'Прил.№4 ведомств.'!M669</f>
        <v>107</v>
      </c>
      <c r="M183" s="7">
        <f>'Прил.№4 ведомств.'!N669</f>
        <v>107</v>
      </c>
      <c r="N183" s="7">
        <f t="shared" si="84"/>
        <v>100</v>
      </c>
    </row>
    <row r="184" spans="1:14" ht="31.5" x14ac:dyDescent="0.25">
      <c r="A184" s="26" t="s">
        <v>329</v>
      </c>
      <c r="B184" s="42" t="s">
        <v>494</v>
      </c>
      <c r="C184" s="42" t="s">
        <v>315</v>
      </c>
      <c r="D184" s="42" t="s">
        <v>264</v>
      </c>
      <c r="E184" s="42"/>
      <c r="F184" s="42"/>
      <c r="G184" s="7">
        <f>G185</f>
        <v>3309</v>
      </c>
      <c r="H184" s="7">
        <f t="shared" ref="H184:M185" si="113">H185</f>
        <v>3309</v>
      </c>
      <c r="I184" s="7">
        <f t="shared" si="113"/>
        <v>8601.1</v>
      </c>
      <c r="J184" s="7">
        <f t="shared" si="113"/>
        <v>4500</v>
      </c>
      <c r="K184" s="7">
        <f t="shared" si="113"/>
        <v>2000</v>
      </c>
      <c r="L184" s="7">
        <f t="shared" si="113"/>
        <v>300</v>
      </c>
      <c r="M184" s="7">
        <f t="shared" si="113"/>
        <v>200</v>
      </c>
      <c r="N184" s="7">
        <f t="shared" si="84"/>
        <v>66.666666666666657</v>
      </c>
    </row>
    <row r="185" spans="1:14" ht="31.5" x14ac:dyDescent="0.25">
      <c r="A185" s="26" t="s">
        <v>323</v>
      </c>
      <c r="B185" s="42" t="s">
        <v>494</v>
      </c>
      <c r="C185" s="42" t="s">
        <v>315</v>
      </c>
      <c r="D185" s="42" t="s">
        <v>264</v>
      </c>
      <c r="E185" s="42" t="s">
        <v>324</v>
      </c>
      <c r="F185" s="42"/>
      <c r="G185" s="7">
        <f>G186</f>
        <v>3309</v>
      </c>
      <c r="H185" s="7">
        <f t="shared" si="113"/>
        <v>3309</v>
      </c>
      <c r="I185" s="7">
        <f t="shared" si="113"/>
        <v>8601.1</v>
      </c>
      <c r="J185" s="7">
        <f t="shared" si="113"/>
        <v>4500</v>
      </c>
      <c r="K185" s="7">
        <f t="shared" si="113"/>
        <v>2000</v>
      </c>
      <c r="L185" s="7">
        <f t="shared" si="113"/>
        <v>300</v>
      </c>
      <c r="M185" s="7">
        <f t="shared" si="113"/>
        <v>200</v>
      </c>
      <c r="N185" s="7">
        <f t="shared" si="84"/>
        <v>66.666666666666657</v>
      </c>
    </row>
    <row r="186" spans="1:14" ht="15.75" x14ac:dyDescent="0.25">
      <c r="A186" s="26" t="s">
        <v>325</v>
      </c>
      <c r="B186" s="42" t="s">
        <v>494</v>
      </c>
      <c r="C186" s="42" t="s">
        <v>315</v>
      </c>
      <c r="D186" s="42" t="s">
        <v>264</v>
      </c>
      <c r="E186" s="42" t="s">
        <v>326</v>
      </c>
      <c r="F186" s="42"/>
      <c r="G186" s="7">
        <f>'Прил.№4 ведомств.'!G672</f>
        <v>3309</v>
      </c>
      <c r="H186" s="7">
        <f>'Прил.№4 ведомств.'!I672</f>
        <v>3309</v>
      </c>
      <c r="I186" s="7">
        <f>'Прил.№4 ведомств.'!J672</f>
        <v>8601.1</v>
      </c>
      <c r="J186" s="7">
        <f>'Прил.№4 ведомств.'!K672</f>
        <v>4500</v>
      </c>
      <c r="K186" s="7">
        <f>'Прил.№4 ведомств.'!L672</f>
        <v>2000</v>
      </c>
      <c r="L186" s="7">
        <f>'Прил.№4 ведомств.'!M672</f>
        <v>300</v>
      </c>
      <c r="M186" s="7">
        <f>'Прил.№4 ведомств.'!N672</f>
        <v>200</v>
      </c>
      <c r="N186" s="7">
        <f t="shared" si="84"/>
        <v>66.666666666666657</v>
      </c>
    </row>
    <row r="187" spans="1:14" ht="31.5" hidden="1" x14ac:dyDescent="0.25">
      <c r="A187" s="26" t="s">
        <v>331</v>
      </c>
      <c r="B187" s="42" t="s">
        <v>495</v>
      </c>
      <c r="C187" s="42" t="s">
        <v>315</v>
      </c>
      <c r="D187" s="42" t="s">
        <v>264</v>
      </c>
      <c r="E187" s="42"/>
      <c r="F187" s="42"/>
      <c r="G187" s="7">
        <f>G188</f>
        <v>0</v>
      </c>
      <c r="H187" s="7">
        <f t="shared" ref="H187:M188" si="114">H188</f>
        <v>0</v>
      </c>
      <c r="I187" s="7">
        <f t="shared" si="114"/>
        <v>1000</v>
      </c>
      <c r="J187" s="7">
        <f t="shared" si="114"/>
        <v>700</v>
      </c>
      <c r="K187" s="7">
        <f t="shared" si="114"/>
        <v>700</v>
      </c>
      <c r="L187" s="7">
        <f t="shared" si="114"/>
        <v>0</v>
      </c>
      <c r="M187" s="7">
        <f t="shared" si="114"/>
        <v>0</v>
      </c>
      <c r="N187" s="7" t="e">
        <f t="shared" si="84"/>
        <v>#DIV/0!</v>
      </c>
    </row>
    <row r="188" spans="1:14" ht="31.5" hidden="1" x14ac:dyDescent="0.25">
      <c r="A188" s="26" t="s">
        <v>323</v>
      </c>
      <c r="B188" s="42" t="s">
        <v>495</v>
      </c>
      <c r="C188" s="42" t="s">
        <v>315</v>
      </c>
      <c r="D188" s="42" t="s">
        <v>264</v>
      </c>
      <c r="E188" s="42" t="s">
        <v>324</v>
      </c>
      <c r="F188" s="42"/>
      <c r="G188" s="7">
        <f>G189</f>
        <v>0</v>
      </c>
      <c r="H188" s="7">
        <f t="shared" si="114"/>
        <v>0</v>
      </c>
      <c r="I188" s="7">
        <f t="shared" si="114"/>
        <v>1000</v>
      </c>
      <c r="J188" s="7">
        <f t="shared" si="114"/>
        <v>700</v>
      </c>
      <c r="K188" s="7">
        <f t="shared" si="114"/>
        <v>700</v>
      </c>
      <c r="L188" s="7">
        <f t="shared" si="114"/>
        <v>0</v>
      </c>
      <c r="M188" s="7">
        <f t="shared" si="114"/>
        <v>0</v>
      </c>
      <c r="N188" s="7" t="e">
        <f t="shared" si="84"/>
        <v>#DIV/0!</v>
      </c>
    </row>
    <row r="189" spans="1:14" ht="15.75" hidden="1" x14ac:dyDescent="0.25">
      <c r="A189" s="26" t="s">
        <v>325</v>
      </c>
      <c r="B189" s="42" t="s">
        <v>495</v>
      </c>
      <c r="C189" s="42" t="s">
        <v>315</v>
      </c>
      <c r="D189" s="42" t="s">
        <v>264</v>
      </c>
      <c r="E189" s="42" t="s">
        <v>326</v>
      </c>
      <c r="F189" s="42"/>
      <c r="G189" s="7">
        <f>'Прил.№4 ведомств.'!G675</f>
        <v>0</v>
      </c>
      <c r="H189" s="7">
        <f>'Прил.№4 ведомств.'!I675</f>
        <v>0</v>
      </c>
      <c r="I189" s="7">
        <f>'Прил.№4 ведомств.'!J675</f>
        <v>1000</v>
      </c>
      <c r="J189" s="7">
        <f>'Прил.№4 ведомств.'!K675</f>
        <v>700</v>
      </c>
      <c r="K189" s="7">
        <f>'Прил.№4 ведомств.'!L675</f>
        <v>700</v>
      </c>
      <c r="L189" s="7">
        <f>'Прил.№4 ведомств.'!M675</f>
        <v>0</v>
      </c>
      <c r="M189" s="7">
        <f>'Прил.№4 ведомств.'!N675</f>
        <v>0</v>
      </c>
      <c r="N189" s="7" t="e">
        <f t="shared" si="84"/>
        <v>#DIV/0!</v>
      </c>
    </row>
    <row r="190" spans="1:14" ht="31.5" x14ac:dyDescent="0.25">
      <c r="A190" s="31" t="s">
        <v>333</v>
      </c>
      <c r="B190" s="42" t="s">
        <v>496</v>
      </c>
      <c r="C190" s="42" t="s">
        <v>315</v>
      </c>
      <c r="D190" s="42" t="s">
        <v>264</v>
      </c>
      <c r="E190" s="42"/>
      <c r="F190" s="42"/>
      <c r="G190" s="11">
        <f>G191</f>
        <v>127</v>
      </c>
      <c r="H190" s="11">
        <f t="shared" ref="H190:M191" si="115">H191</f>
        <v>127</v>
      </c>
      <c r="I190" s="11">
        <f t="shared" si="115"/>
        <v>214.8</v>
      </c>
      <c r="J190" s="11">
        <f t="shared" si="115"/>
        <v>214.8</v>
      </c>
      <c r="K190" s="11">
        <f t="shared" si="115"/>
        <v>214.8</v>
      </c>
      <c r="L190" s="11">
        <f t="shared" si="115"/>
        <v>127</v>
      </c>
      <c r="M190" s="11">
        <f t="shared" si="115"/>
        <v>117.7</v>
      </c>
      <c r="N190" s="7">
        <f t="shared" si="84"/>
        <v>92.677165354330711</v>
      </c>
    </row>
    <row r="191" spans="1:14" ht="31.5" x14ac:dyDescent="0.25">
      <c r="A191" s="31" t="s">
        <v>323</v>
      </c>
      <c r="B191" s="42" t="s">
        <v>496</v>
      </c>
      <c r="C191" s="42" t="s">
        <v>315</v>
      </c>
      <c r="D191" s="42" t="s">
        <v>264</v>
      </c>
      <c r="E191" s="42" t="s">
        <v>324</v>
      </c>
      <c r="F191" s="42"/>
      <c r="G191" s="11">
        <f>G192</f>
        <v>127</v>
      </c>
      <c r="H191" s="11">
        <f t="shared" si="115"/>
        <v>127</v>
      </c>
      <c r="I191" s="11">
        <f t="shared" si="115"/>
        <v>214.8</v>
      </c>
      <c r="J191" s="11">
        <f t="shared" si="115"/>
        <v>214.8</v>
      </c>
      <c r="K191" s="11">
        <f t="shared" si="115"/>
        <v>214.8</v>
      </c>
      <c r="L191" s="11">
        <f t="shared" si="115"/>
        <v>127</v>
      </c>
      <c r="M191" s="11">
        <f t="shared" si="115"/>
        <v>117.7</v>
      </c>
      <c r="N191" s="7">
        <f t="shared" si="84"/>
        <v>92.677165354330711</v>
      </c>
    </row>
    <row r="192" spans="1:14" ht="26.25" customHeight="1" x14ac:dyDescent="0.25">
      <c r="A192" s="31" t="s">
        <v>325</v>
      </c>
      <c r="B192" s="42" t="s">
        <v>496</v>
      </c>
      <c r="C192" s="42" t="s">
        <v>315</v>
      </c>
      <c r="D192" s="42" t="s">
        <v>264</v>
      </c>
      <c r="E192" s="42" t="s">
        <v>326</v>
      </c>
      <c r="F192" s="42"/>
      <c r="G192" s="11">
        <f>'Прил.№4 ведомств.'!G678</f>
        <v>127</v>
      </c>
      <c r="H192" s="11">
        <f>'Прил.№4 ведомств.'!I678</f>
        <v>127</v>
      </c>
      <c r="I192" s="11">
        <f>'Прил.№4 ведомств.'!J678</f>
        <v>214.8</v>
      </c>
      <c r="J192" s="11">
        <f>'Прил.№4 ведомств.'!K678</f>
        <v>214.8</v>
      </c>
      <c r="K192" s="11">
        <f>'Прил.№4 ведомств.'!L678</f>
        <v>214.8</v>
      </c>
      <c r="L192" s="11">
        <f>'Прил.№4 ведомств.'!M678</f>
        <v>127</v>
      </c>
      <c r="M192" s="11">
        <f>'Прил.№4 ведомств.'!N678</f>
        <v>117.7</v>
      </c>
      <c r="N192" s="7">
        <f t="shared" si="84"/>
        <v>92.677165354330711</v>
      </c>
    </row>
    <row r="193" spans="1:14" ht="31.5" hidden="1" x14ac:dyDescent="0.25">
      <c r="A193" s="31" t="s">
        <v>335</v>
      </c>
      <c r="B193" s="42" t="s">
        <v>497</v>
      </c>
      <c r="C193" s="42" t="s">
        <v>315</v>
      </c>
      <c r="D193" s="42" t="s">
        <v>264</v>
      </c>
      <c r="E193" s="42"/>
      <c r="F193" s="42"/>
      <c r="G193" s="11">
        <f>G194</f>
        <v>229.4</v>
      </c>
      <c r="H193" s="11">
        <f t="shared" ref="H193:M194" si="116">H194</f>
        <v>229.4</v>
      </c>
      <c r="I193" s="11">
        <f t="shared" si="116"/>
        <v>750</v>
      </c>
      <c r="J193" s="11">
        <f t="shared" si="116"/>
        <v>250</v>
      </c>
      <c r="K193" s="11">
        <f t="shared" si="116"/>
        <v>250</v>
      </c>
      <c r="L193" s="11">
        <f t="shared" si="116"/>
        <v>0</v>
      </c>
      <c r="M193" s="11">
        <f t="shared" si="116"/>
        <v>0</v>
      </c>
      <c r="N193" s="7" t="e">
        <f t="shared" si="84"/>
        <v>#DIV/0!</v>
      </c>
    </row>
    <row r="194" spans="1:14" ht="31.5" hidden="1" x14ac:dyDescent="0.25">
      <c r="A194" s="31" t="s">
        <v>323</v>
      </c>
      <c r="B194" s="42" t="s">
        <v>497</v>
      </c>
      <c r="C194" s="42" t="s">
        <v>315</v>
      </c>
      <c r="D194" s="42" t="s">
        <v>264</v>
      </c>
      <c r="E194" s="42" t="s">
        <v>324</v>
      </c>
      <c r="F194" s="42"/>
      <c r="G194" s="11">
        <f>G195</f>
        <v>229.4</v>
      </c>
      <c r="H194" s="11">
        <f t="shared" si="116"/>
        <v>229.4</v>
      </c>
      <c r="I194" s="11">
        <f t="shared" si="116"/>
        <v>750</v>
      </c>
      <c r="J194" s="11">
        <f t="shared" si="116"/>
        <v>250</v>
      </c>
      <c r="K194" s="11">
        <f t="shared" si="116"/>
        <v>250</v>
      </c>
      <c r="L194" s="11">
        <f t="shared" si="116"/>
        <v>0</v>
      </c>
      <c r="M194" s="11">
        <f t="shared" si="116"/>
        <v>0</v>
      </c>
      <c r="N194" s="7" t="e">
        <f t="shared" si="84"/>
        <v>#DIV/0!</v>
      </c>
    </row>
    <row r="195" spans="1:14" ht="26.25" hidden="1" customHeight="1" x14ac:dyDescent="0.25">
      <c r="A195" s="31" t="s">
        <v>325</v>
      </c>
      <c r="B195" s="42" t="s">
        <v>497</v>
      </c>
      <c r="C195" s="42" t="s">
        <v>315</v>
      </c>
      <c r="D195" s="42" t="s">
        <v>264</v>
      </c>
      <c r="E195" s="42" t="s">
        <v>326</v>
      </c>
      <c r="F195" s="42"/>
      <c r="G195" s="11">
        <f>'Прил.№4 ведомств.'!G681</f>
        <v>229.4</v>
      </c>
      <c r="H195" s="11">
        <f>'Прил.№4 ведомств.'!I681</f>
        <v>229.4</v>
      </c>
      <c r="I195" s="11">
        <f>'Прил.№4 ведомств.'!J681</f>
        <v>750</v>
      </c>
      <c r="J195" s="11">
        <f>'Прил.№4 ведомств.'!K681</f>
        <v>250</v>
      </c>
      <c r="K195" s="11">
        <f>'Прил.№4 ведомств.'!L681</f>
        <v>250</v>
      </c>
      <c r="L195" s="11">
        <f>'Прил.№4 ведомств.'!M681</f>
        <v>0</v>
      </c>
      <c r="M195" s="11">
        <f>'Прил.№4 ведомств.'!N681</f>
        <v>0</v>
      </c>
      <c r="N195" s="7" t="e">
        <f t="shared" si="84"/>
        <v>#DIV/0!</v>
      </c>
    </row>
    <row r="196" spans="1:14" ht="51.75" customHeight="1" x14ac:dyDescent="0.25">
      <c r="A196" s="70" t="s">
        <v>861</v>
      </c>
      <c r="B196" s="42" t="s">
        <v>863</v>
      </c>
      <c r="C196" s="42" t="s">
        <v>315</v>
      </c>
      <c r="D196" s="42" t="s">
        <v>264</v>
      </c>
      <c r="E196" s="42"/>
      <c r="F196" s="42"/>
      <c r="G196" s="11">
        <f>G197</f>
        <v>0</v>
      </c>
      <c r="H196" s="11">
        <f t="shared" ref="H196:M197" si="117">H197</f>
        <v>0</v>
      </c>
      <c r="I196" s="11">
        <f t="shared" si="117"/>
        <v>2794</v>
      </c>
      <c r="J196" s="11">
        <f t="shared" si="117"/>
        <v>2794</v>
      </c>
      <c r="K196" s="11">
        <f t="shared" si="117"/>
        <v>2794</v>
      </c>
      <c r="L196" s="11">
        <f t="shared" si="117"/>
        <v>2794</v>
      </c>
      <c r="M196" s="11">
        <f t="shared" si="117"/>
        <v>2794</v>
      </c>
      <c r="N196" s="7">
        <f t="shared" si="84"/>
        <v>100</v>
      </c>
    </row>
    <row r="197" spans="1:14" ht="65.25" customHeight="1" x14ac:dyDescent="0.25">
      <c r="A197" s="31" t="s">
        <v>323</v>
      </c>
      <c r="B197" s="42" t="s">
        <v>863</v>
      </c>
      <c r="C197" s="42" t="s">
        <v>315</v>
      </c>
      <c r="D197" s="42" t="s">
        <v>264</v>
      </c>
      <c r="E197" s="42" t="s">
        <v>324</v>
      </c>
      <c r="F197" s="42"/>
      <c r="G197" s="11">
        <f>G198</f>
        <v>0</v>
      </c>
      <c r="H197" s="11">
        <f t="shared" si="117"/>
        <v>0</v>
      </c>
      <c r="I197" s="11">
        <f t="shared" si="117"/>
        <v>2794</v>
      </c>
      <c r="J197" s="11">
        <f t="shared" si="117"/>
        <v>2794</v>
      </c>
      <c r="K197" s="11">
        <f t="shared" si="117"/>
        <v>2794</v>
      </c>
      <c r="L197" s="11">
        <f t="shared" si="117"/>
        <v>2794</v>
      </c>
      <c r="M197" s="11">
        <f t="shared" si="117"/>
        <v>2794</v>
      </c>
      <c r="N197" s="7">
        <f t="shared" si="84"/>
        <v>100</v>
      </c>
    </row>
    <row r="198" spans="1:14" ht="26.25" customHeight="1" x14ac:dyDescent="0.25">
      <c r="A198" s="262" t="s">
        <v>325</v>
      </c>
      <c r="B198" s="42" t="s">
        <v>863</v>
      </c>
      <c r="C198" s="42" t="s">
        <v>315</v>
      </c>
      <c r="D198" s="42" t="s">
        <v>264</v>
      </c>
      <c r="E198" s="42" t="s">
        <v>326</v>
      </c>
      <c r="F198" s="42"/>
      <c r="G198" s="11">
        <f>'Прил.№4 ведомств.'!G684</f>
        <v>0</v>
      </c>
      <c r="H198" s="11">
        <f>'Прил.№4 ведомств.'!I684</f>
        <v>0</v>
      </c>
      <c r="I198" s="11">
        <f>'Прил.№4 ведомств.'!J684</f>
        <v>2794</v>
      </c>
      <c r="J198" s="11">
        <f>'Прил.№4 ведомств.'!K684</f>
        <v>2794</v>
      </c>
      <c r="K198" s="11">
        <f>'Прил.№4 ведомств.'!L684</f>
        <v>2794</v>
      </c>
      <c r="L198" s="11">
        <f>'Прил.№4 ведомств.'!M684</f>
        <v>2794</v>
      </c>
      <c r="M198" s="11">
        <f>'Прил.№4 ведомств.'!N684</f>
        <v>2794</v>
      </c>
      <c r="N198" s="7">
        <f t="shared" si="84"/>
        <v>100</v>
      </c>
    </row>
    <row r="199" spans="1:14" ht="31.5" x14ac:dyDescent="0.25">
      <c r="A199" s="31" t="s">
        <v>455</v>
      </c>
      <c r="B199" s="42" t="s">
        <v>483</v>
      </c>
      <c r="C199" s="42" t="s">
        <v>315</v>
      </c>
      <c r="D199" s="42" t="s">
        <v>264</v>
      </c>
      <c r="E199" s="42"/>
      <c r="F199" s="42" t="s">
        <v>713</v>
      </c>
      <c r="G199" s="11">
        <f>G152</f>
        <v>6675.4</v>
      </c>
      <c r="H199" s="11">
        <f t="shared" ref="H199:L199" si="118">H152</f>
        <v>6675.3666666666659</v>
      </c>
      <c r="I199" s="11">
        <f t="shared" si="118"/>
        <v>16647.800000000003</v>
      </c>
      <c r="J199" s="11">
        <f t="shared" si="118"/>
        <v>11746.7</v>
      </c>
      <c r="K199" s="11">
        <f t="shared" si="118"/>
        <v>9246.7000000000007</v>
      </c>
      <c r="L199" s="11">
        <f t="shared" si="118"/>
        <v>6615.9</v>
      </c>
      <c r="M199" s="11">
        <f t="shared" ref="M199" si="119">M152</f>
        <v>5422.6</v>
      </c>
      <c r="N199" s="7">
        <f t="shared" si="84"/>
        <v>81.963149382548124</v>
      </c>
    </row>
    <row r="200" spans="1:14" ht="31.5" hidden="1" x14ac:dyDescent="0.25">
      <c r="A200" s="31" t="s">
        <v>335</v>
      </c>
      <c r="B200" s="42" t="s">
        <v>667</v>
      </c>
      <c r="C200" s="42" t="s">
        <v>315</v>
      </c>
      <c r="D200" s="42" t="s">
        <v>264</v>
      </c>
      <c r="E200" s="42"/>
      <c r="F200" s="42"/>
      <c r="G200" s="11">
        <f>G201</f>
        <v>0</v>
      </c>
      <c r="H200" s="11">
        <f t="shared" ref="H200:M201" si="120">H201</f>
        <v>0</v>
      </c>
      <c r="I200" s="11">
        <f t="shared" si="120"/>
        <v>0</v>
      </c>
      <c r="J200" s="11">
        <f t="shared" si="120"/>
        <v>0</v>
      </c>
      <c r="K200" s="11">
        <f t="shared" si="120"/>
        <v>0</v>
      </c>
      <c r="L200" s="11">
        <f t="shared" si="120"/>
        <v>0</v>
      </c>
      <c r="M200" s="11">
        <f t="shared" si="120"/>
        <v>0</v>
      </c>
      <c r="N200" s="4" t="e">
        <f t="shared" si="84"/>
        <v>#DIV/0!</v>
      </c>
    </row>
    <row r="201" spans="1:14" ht="31.5" hidden="1" x14ac:dyDescent="0.25">
      <c r="A201" s="31" t="s">
        <v>323</v>
      </c>
      <c r="B201" s="42" t="s">
        <v>667</v>
      </c>
      <c r="C201" s="42" t="s">
        <v>315</v>
      </c>
      <c r="D201" s="42" t="s">
        <v>264</v>
      </c>
      <c r="E201" s="42" t="s">
        <v>324</v>
      </c>
      <c r="F201" s="42"/>
      <c r="G201" s="11">
        <f>G202</f>
        <v>0</v>
      </c>
      <c r="H201" s="11">
        <f t="shared" si="120"/>
        <v>0</v>
      </c>
      <c r="I201" s="11">
        <f t="shared" si="120"/>
        <v>0</v>
      </c>
      <c r="J201" s="11">
        <f t="shared" si="120"/>
        <v>0</v>
      </c>
      <c r="K201" s="11">
        <f t="shared" si="120"/>
        <v>0</v>
      </c>
      <c r="L201" s="11">
        <f t="shared" si="120"/>
        <v>0</v>
      </c>
      <c r="M201" s="11">
        <f t="shared" si="120"/>
        <v>0</v>
      </c>
      <c r="N201" s="4" t="e">
        <f t="shared" si="84"/>
        <v>#DIV/0!</v>
      </c>
    </row>
    <row r="202" spans="1:14" ht="15.75" hidden="1" x14ac:dyDescent="0.25">
      <c r="A202" s="31" t="s">
        <v>325</v>
      </c>
      <c r="B202" s="42" t="s">
        <v>667</v>
      </c>
      <c r="C202" s="42" t="s">
        <v>315</v>
      </c>
      <c r="D202" s="42" t="s">
        <v>264</v>
      </c>
      <c r="E202" s="42" t="s">
        <v>326</v>
      </c>
      <c r="F202" s="42"/>
      <c r="G202" s="11"/>
      <c r="H202" s="11"/>
      <c r="I202" s="11"/>
      <c r="J202" s="11"/>
      <c r="K202" s="11"/>
      <c r="L202" s="11"/>
      <c r="M202" s="11"/>
      <c r="N202" s="4" t="e">
        <f t="shared" si="84"/>
        <v>#DIV/0!</v>
      </c>
    </row>
    <row r="203" spans="1:14" ht="31.5" hidden="1" x14ac:dyDescent="0.25">
      <c r="A203" s="31" t="s">
        <v>455</v>
      </c>
      <c r="B203" s="42" t="s">
        <v>667</v>
      </c>
      <c r="C203" s="42" t="s">
        <v>315</v>
      </c>
      <c r="D203" s="42" t="s">
        <v>264</v>
      </c>
      <c r="E203" s="42"/>
      <c r="F203" s="42" t="s">
        <v>713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4" t="e">
        <f t="shared" si="84"/>
        <v>#DIV/0!</v>
      </c>
    </row>
    <row r="204" spans="1:14" ht="31.5" hidden="1" x14ac:dyDescent="0.25">
      <c r="A204" s="31" t="s">
        <v>714</v>
      </c>
      <c r="B204" s="42" t="s">
        <v>668</v>
      </c>
      <c r="C204" s="42" t="s">
        <v>315</v>
      </c>
      <c r="D204" s="42" t="s">
        <v>264</v>
      </c>
      <c r="E204" s="42"/>
      <c r="F204" s="42"/>
      <c r="G204" s="11">
        <f>G205</f>
        <v>0</v>
      </c>
      <c r="H204" s="11">
        <f t="shared" ref="H204:M205" si="121">H205</f>
        <v>0</v>
      </c>
      <c r="I204" s="11">
        <f t="shared" si="121"/>
        <v>0</v>
      </c>
      <c r="J204" s="11">
        <f t="shared" si="121"/>
        <v>0</v>
      </c>
      <c r="K204" s="11">
        <f t="shared" si="121"/>
        <v>0</v>
      </c>
      <c r="L204" s="11">
        <f t="shared" si="121"/>
        <v>0</v>
      </c>
      <c r="M204" s="11">
        <f t="shared" si="121"/>
        <v>0</v>
      </c>
      <c r="N204" s="4" t="e">
        <f t="shared" si="84"/>
        <v>#DIV/0!</v>
      </c>
    </row>
    <row r="205" spans="1:14" ht="31.5" hidden="1" x14ac:dyDescent="0.25">
      <c r="A205" s="31" t="s">
        <v>323</v>
      </c>
      <c r="B205" s="42" t="s">
        <v>668</v>
      </c>
      <c r="C205" s="42" t="s">
        <v>315</v>
      </c>
      <c r="D205" s="42" t="s">
        <v>264</v>
      </c>
      <c r="E205" s="42" t="s">
        <v>324</v>
      </c>
      <c r="F205" s="42"/>
      <c r="G205" s="11">
        <f>G206</f>
        <v>0</v>
      </c>
      <c r="H205" s="11">
        <f t="shared" si="121"/>
        <v>0</v>
      </c>
      <c r="I205" s="11">
        <f t="shared" si="121"/>
        <v>0</v>
      </c>
      <c r="J205" s="11">
        <f t="shared" si="121"/>
        <v>0</v>
      </c>
      <c r="K205" s="11">
        <f t="shared" si="121"/>
        <v>0</v>
      </c>
      <c r="L205" s="11">
        <f t="shared" si="121"/>
        <v>0</v>
      </c>
      <c r="M205" s="11">
        <f t="shared" si="121"/>
        <v>0</v>
      </c>
      <c r="N205" s="4" t="e">
        <f t="shared" ref="N205:N268" si="122">M205/L205*100</f>
        <v>#DIV/0!</v>
      </c>
    </row>
    <row r="206" spans="1:14" ht="15.75" hidden="1" x14ac:dyDescent="0.25">
      <c r="A206" s="31" t="s">
        <v>325</v>
      </c>
      <c r="B206" s="42" t="s">
        <v>668</v>
      </c>
      <c r="C206" s="42" t="s">
        <v>315</v>
      </c>
      <c r="D206" s="42" t="s">
        <v>264</v>
      </c>
      <c r="E206" s="42" t="s">
        <v>326</v>
      </c>
      <c r="F206" s="42"/>
      <c r="G206" s="11"/>
      <c r="H206" s="11"/>
      <c r="I206" s="11"/>
      <c r="J206" s="11"/>
      <c r="K206" s="11"/>
      <c r="L206" s="11"/>
      <c r="M206" s="11"/>
      <c r="N206" s="4" t="e">
        <f t="shared" si="122"/>
        <v>#DIV/0!</v>
      </c>
    </row>
    <row r="207" spans="1:14" ht="31.5" hidden="1" x14ac:dyDescent="0.25">
      <c r="A207" s="31" t="s">
        <v>455</v>
      </c>
      <c r="B207" s="42" t="s">
        <v>668</v>
      </c>
      <c r="C207" s="42" t="s">
        <v>315</v>
      </c>
      <c r="D207" s="42" t="s">
        <v>264</v>
      </c>
      <c r="E207" s="42"/>
      <c r="F207" s="42" t="s">
        <v>713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4" t="e">
        <f t="shared" si="122"/>
        <v>#DIV/0!</v>
      </c>
    </row>
    <row r="208" spans="1:14" ht="45.75" customHeight="1" x14ac:dyDescent="0.25">
      <c r="A208" s="43" t="s">
        <v>498</v>
      </c>
      <c r="B208" s="8" t="s">
        <v>499</v>
      </c>
      <c r="C208" s="8"/>
      <c r="D208" s="8"/>
      <c r="E208" s="8"/>
      <c r="F208" s="8"/>
      <c r="G208" s="68" t="e">
        <f>G209</f>
        <v>#REF!</v>
      </c>
      <c r="H208" s="68" t="e">
        <f t="shared" ref="H208:M211" si="123">H209</f>
        <v>#REF!</v>
      </c>
      <c r="I208" s="68" t="e">
        <f t="shared" si="123"/>
        <v>#REF!</v>
      </c>
      <c r="J208" s="68" t="e">
        <f t="shared" si="123"/>
        <v>#REF!</v>
      </c>
      <c r="K208" s="68" t="e">
        <f t="shared" si="123"/>
        <v>#REF!</v>
      </c>
      <c r="L208" s="68">
        <f t="shared" si="123"/>
        <v>753.1</v>
      </c>
      <c r="M208" s="68">
        <f t="shared" si="123"/>
        <v>753.1</v>
      </c>
      <c r="N208" s="4">
        <f t="shared" si="122"/>
        <v>100</v>
      </c>
    </row>
    <row r="209" spans="1:14" ht="21" customHeight="1" x14ac:dyDescent="0.25">
      <c r="A209" s="31" t="s">
        <v>314</v>
      </c>
      <c r="B209" s="42" t="s">
        <v>499</v>
      </c>
      <c r="C209" s="42" t="s">
        <v>315</v>
      </c>
      <c r="D209" s="42"/>
      <c r="E209" s="42"/>
      <c r="F209" s="42"/>
      <c r="G209" s="11" t="e">
        <f>G210</f>
        <v>#REF!</v>
      </c>
      <c r="H209" s="11" t="e">
        <f t="shared" si="123"/>
        <v>#REF!</v>
      </c>
      <c r="I209" s="11" t="e">
        <f t="shared" si="123"/>
        <v>#REF!</v>
      </c>
      <c r="J209" s="11" t="e">
        <f t="shared" si="123"/>
        <v>#REF!</v>
      </c>
      <c r="K209" s="11" t="e">
        <f t="shared" si="123"/>
        <v>#REF!</v>
      </c>
      <c r="L209" s="11">
        <f t="shared" si="123"/>
        <v>753.1</v>
      </c>
      <c r="M209" s="11">
        <f t="shared" si="123"/>
        <v>753.1</v>
      </c>
      <c r="N209" s="7">
        <f t="shared" si="122"/>
        <v>100</v>
      </c>
    </row>
    <row r="210" spans="1:14" ht="22.5" customHeight="1" x14ac:dyDescent="0.25">
      <c r="A210" s="31" t="s">
        <v>316</v>
      </c>
      <c r="B210" s="42" t="s">
        <v>499</v>
      </c>
      <c r="C210" s="42" t="s">
        <v>315</v>
      </c>
      <c r="D210" s="42" t="s">
        <v>266</v>
      </c>
      <c r="E210" s="42"/>
      <c r="F210" s="42"/>
      <c r="G210" s="11" t="e">
        <f>#REF!</f>
        <v>#REF!</v>
      </c>
      <c r="H210" s="11" t="e">
        <f>#REF!</f>
        <v>#REF!</v>
      </c>
      <c r="I210" s="11" t="e">
        <f>#REF!</f>
        <v>#REF!</v>
      </c>
      <c r="J210" s="11" t="e">
        <f>#REF!</f>
        <v>#REF!</v>
      </c>
      <c r="K210" s="11" t="e">
        <f>#REF!</f>
        <v>#REF!</v>
      </c>
      <c r="L210" s="11">
        <f>L213</f>
        <v>753.1</v>
      </c>
      <c r="M210" s="11">
        <f t="shared" ref="M210" si="124">M213</f>
        <v>753.1</v>
      </c>
      <c r="N210" s="7">
        <f t="shared" si="122"/>
        <v>100</v>
      </c>
    </row>
    <row r="211" spans="1:14" ht="31.5" hidden="1" x14ac:dyDescent="0.25">
      <c r="A211" s="31" t="s">
        <v>323</v>
      </c>
      <c r="B211" s="21" t="s">
        <v>792</v>
      </c>
      <c r="C211" s="42" t="s">
        <v>315</v>
      </c>
      <c r="D211" s="42" t="s">
        <v>266</v>
      </c>
      <c r="E211" s="42" t="s">
        <v>324</v>
      </c>
      <c r="F211" s="42"/>
      <c r="G211" s="11">
        <f>G212</f>
        <v>355.9</v>
      </c>
      <c r="H211" s="11">
        <f t="shared" si="123"/>
        <v>355.9</v>
      </c>
      <c r="I211" s="11">
        <f t="shared" si="123"/>
        <v>0</v>
      </c>
      <c r="J211" s="11">
        <f t="shared" si="123"/>
        <v>0</v>
      </c>
      <c r="K211" s="11">
        <f t="shared" si="123"/>
        <v>0</v>
      </c>
      <c r="L211" s="11">
        <f t="shared" si="123"/>
        <v>0</v>
      </c>
      <c r="M211" s="11">
        <f t="shared" si="123"/>
        <v>0</v>
      </c>
      <c r="N211" s="7" t="e">
        <f t="shared" si="122"/>
        <v>#DIV/0!</v>
      </c>
    </row>
    <row r="212" spans="1:14" ht="15.75" hidden="1" x14ac:dyDescent="0.25">
      <c r="A212" s="31" t="s">
        <v>325</v>
      </c>
      <c r="B212" s="21" t="s">
        <v>792</v>
      </c>
      <c r="C212" s="42" t="s">
        <v>315</v>
      </c>
      <c r="D212" s="42" t="s">
        <v>266</v>
      </c>
      <c r="E212" s="42" t="s">
        <v>326</v>
      </c>
      <c r="F212" s="42"/>
      <c r="G212" s="11">
        <f>'Прил.№4 ведомств.'!G726</f>
        <v>355.9</v>
      </c>
      <c r="H212" s="11">
        <f>'Прил.№4 ведомств.'!I726</f>
        <v>355.9</v>
      </c>
      <c r="I212" s="11">
        <f>'Прил.№4 ведомств.'!J726</f>
        <v>0</v>
      </c>
      <c r="J212" s="11">
        <f>'Прил.№4 ведомств.'!K726</f>
        <v>0</v>
      </c>
      <c r="K212" s="11">
        <f>'Прил.№4 ведомств.'!L726</f>
        <v>0</v>
      </c>
      <c r="L212" s="11">
        <f>'Прил.№4 ведомств.'!M726</f>
        <v>0</v>
      </c>
      <c r="M212" s="11">
        <f>'Прил.№4 ведомств.'!N726</f>
        <v>0</v>
      </c>
      <c r="N212" s="7" t="e">
        <f t="shared" si="122"/>
        <v>#DIV/0!</v>
      </c>
    </row>
    <row r="213" spans="1:14" ht="31.5" x14ac:dyDescent="0.25">
      <c r="A213" s="47" t="s">
        <v>861</v>
      </c>
      <c r="B213" s="21" t="s">
        <v>862</v>
      </c>
      <c r="C213" s="21" t="s">
        <v>315</v>
      </c>
      <c r="D213" s="21" t="s">
        <v>266</v>
      </c>
      <c r="E213" s="21"/>
      <c r="F213" s="21"/>
      <c r="G213" s="11">
        <f>G214</f>
        <v>0</v>
      </c>
      <c r="H213" s="11">
        <f t="shared" ref="H213:M214" si="125">H214</f>
        <v>0</v>
      </c>
      <c r="I213" s="11">
        <f t="shared" si="125"/>
        <v>753.1</v>
      </c>
      <c r="J213" s="11">
        <f t="shared" si="125"/>
        <v>753.1</v>
      </c>
      <c r="K213" s="11">
        <f t="shared" si="125"/>
        <v>753.1</v>
      </c>
      <c r="L213" s="11">
        <f t="shared" si="125"/>
        <v>753.1</v>
      </c>
      <c r="M213" s="11">
        <f t="shared" si="125"/>
        <v>753.1</v>
      </c>
      <c r="N213" s="7">
        <f t="shared" si="122"/>
        <v>100</v>
      </c>
    </row>
    <row r="214" spans="1:14" ht="31.5" x14ac:dyDescent="0.25">
      <c r="A214" s="31" t="s">
        <v>323</v>
      </c>
      <c r="B214" s="21" t="s">
        <v>862</v>
      </c>
      <c r="C214" s="21" t="s">
        <v>315</v>
      </c>
      <c r="D214" s="21" t="s">
        <v>266</v>
      </c>
      <c r="E214" s="21" t="s">
        <v>324</v>
      </c>
      <c r="F214" s="21"/>
      <c r="G214" s="11">
        <f>G215</f>
        <v>0</v>
      </c>
      <c r="H214" s="11">
        <f t="shared" si="125"/>
        <v>0</v>
      </c>
      <c r="I214" s="11">
        <f t="shared" si="125"/>
        <v>753.1</v>
      </c>
      <c r="J214" s="11">
        <f t="shared" si="125"/>
        <v>753.1</v>
      </c>
      <c r="K214" s="11">
        <f t="shared" si="125"/>
        <v>753.1</v>
      </c>
      <c r="L214" s="11">
        <f t="shared" si="125"/>
        <v>753.1</v>
      </c>
      <c r="M214" s="11">
        <f t="shared" si="125"/>
        <v>753.1</v>
      </c>
      <c r="N214" s="7">
        <f t="shared" si="122"/>
        <v>100</v>
      </c>
    </row>
    <row r="215" spans="1:14" ht="15.75" x14ac:dyDescent="0.25">
      <c r="A215" s="33" t="s">
        <v>325</v>
      </c>
      <c r="B215" s="21" t="s">
        <v>862</v>
      </c>
      <c r="C215" s="21" t="s">
        <v>315</v>
      </c>
      <c r="D215" s="21" t="s">
        <v>266</v>
      </c>
      <c r="E215" s="21" t="s">
        <v>326</v>
      </c>
      <c r="F215" s="21"/>
      <c r="G215" s="11">
        <f>'Прил.№4 ведомств.'!G729</f>
        <v>0</v>
      </c>
      <c r="H215" s="11">
        <f>'Прил.№4 ведомств.'!I729</f>
        <v>0</v>
      </c>
      <c r="I215" s="11">
        <f>'Прил.№4 ведомств.'!J729</f>
        <v>753.1</v>
      </c>
      <c r="J215" s="11">
        <f>'Прил.№4 ведомств.'!K729</f>
        <v>753.1</v>
      </c>
      <c r="K215" s="11">
        <f>'Прил.№4 ведомств.'!L729</f>
        <v>753.1</v>
      </c>
      <c r="L215" s="11">
        <f>'Прил.№4 ведомств.'!M729</f>
        <v>753.1</v>
      </c>
      <c r="M215" s="11">
        <f>'Прил.№4 ведомств.'!N729</f>
        <v>753.1</v>
      </c>
      <c r="N215" s="7">
        <f t="shared" si="122"/>
        <v>100</v>
      </c>
    </row>
    <row r="216" spans="1:14" ht="31.5" x14ac:dyDescent="0.25">
      <c r="A216" s="31" t="s">
        <v>455</v>
      </c>
      <c r="B216" s="21" t="s">
        <v>499</v>
      </c>
      <c r="C216" s="42" t="s">
        <v>315</v>
      </c>
      <c r="D216" s="42" t="s">
        <v>266</v>
      </c>
      <c r="E216" s="42"/>
      <c r="F216" s="42" t="s">
        <v>713</v>
      </c>
      <c r="G216" s="11" t="e">
        <f t="shared" ref="G216:L216" si="126">G209</f>
        <v>#REF!</v>
      </c>
      <c r="H216" s="11" t="e">
        <f t="shared" si="126"/>
        <v>#REF!</v>
      </c>
      <c r="I216" s="11" t="e">
        <f t="shared" si="126"/>
        <v>#REF!</v>
      </c>
      <c r="J216" s="11" t="e">
        <f t="shared" si="126"/>
        <v>#REF!</v>
      </c>
      <c r="K216" s="11" t="e">
        <f t="shared" si="126"/>
        <v>#REF!</v>
      </c>
      <c r="L216" s="11">
        <f t="shared" si="126"/>
        <v>753.1</v>
      </c>
      <c r="M216" s="11">
        <f t="shared" ref="M216" si="127">M209</f>
        <v>753.1</v>
      </c>
      <c r="N216" s="7">
        <f t="shared" si="122"/>
        <v>100</v>
      </c>
    </row>
    <row r="217" spans="1:14" ht="31.5" hidden="1" x14ac:dyDescent="0.25">
      <c r="A217" s="31" t="s">
        <v>715</v>
      </c>
      <c r="B217" s="42" t="s">
        <v>669</v>
      </c>
      <c r="C217" s="42" t="s">
        <v>315</v>
      </c>
      <c r="D217" s="42" t="s">
        <v>264</v>
      </c>
      <c r="E217" s="42"/>
      <c r="F217" s="42"/>
      <c r="G217" s="11">
        <f>G221</f>
        <v>0</v>
      </c>
      <c r="H217" s="11">
        <f t="shared" ref="H217:L217" si="128">H221</f>
        <v>0</v>
      </c>
      <c r="I217" s="11">
        <f t="shared" si="128"/>
        <v>0</v>
      </c>
      <c r="J217" s="11">
        <f t="shared" si="128"/>
        <v>0</v>
      </c>
      <c r="K217" s="11">
        <f t="shared" si="128"/>
        <v>0</v>
      </c>
      <c r="L217" s="11">
        <f t="shared" si="128"/>
        <v>0</v>
      </c>
      <c r="M217" s="11">
        <f t="shared" ref="M217" si="129">M221</f>
        <v>0</v>
      </c>
      <c r="N217" s="4" t="e">
        <f t="shared" si="122"/>
        <v>#DIV/0!</v>
      </c>
    </row>
    <row r="218" spans="1:14" ht="31.5" hidden="1" x14ac:dyDescent="0.25">
      <c r="A218" s="31" t="s">
        <v>323</v>
      </c>
      <c r="B218" s="42" t="s">
        <v>669</v>
      </c>
      <c r="C218" s="42" t="s">
        <v>520</v>
      </c>
      <c r="D218" s="42" t="s">
        <v>716</v>
      </c>
      <c r="E218" s="42" t="s">
        <v>324</v>
      </c>
      <c r="F218" s="42"/>
      <c r="G218" s="11">
        <f>G219</f>
        <v>0</v>
      </c>
      <c r="H218" s="11">
        <f t="shared" ref="H218:M220" si="130">H219</f>
        <v>0</v>
      </c>
      <c r="I218" s="11">
        <f t="shared" si="130"/>
        <v>0</v>
      </c>
      <c r="J218" s="11">
        <f t="shared" si="130"/>
        <v>0</v>
      </c>
      <c r="K218" s="11">
        <f t="shared" si="130"/>
        <v>0</v>
      </c>
      <c r="L218" s="11">
        <f t="shared" si="130"/>
        <v>0</v>
      </c>
      <c r="M218" s="11">
        <f t="shared" si="130"/>
        <v>0</v>
      </c>
      <c r="N218" s="4" t="e">
        <f t="shared" si="122"/>
        <v>#DIV/0!</v>
      </c>
    </row>
    <row r="219" spans="1:14" ht="15.75" hidden="1" x14ac:dyDescent="0.25">
      <c r="A219" s="31" t="s">
        <v>325</v>
      </c>
      <c r="B219" s="42" t="s">
        <v>669</v>
      </c>
      <c r="C219" s="42" t="s">
        <v>520</v>
      </c>
      <c r="D219" s="42" t="s">
        <v>716</v>
      </c>
      <c r="E219" s="42" t="s">
        <v>326</v>
      </c>
      <c r="F219" s="42"/>
      <c r="G219" s="11">
        <f>G220</f>
        <v>0</v>
      </c>
      <c r="H219" s="11">
        <f t="shared" si="130"/>
        <v>0</v>
      </c>
      <c r="I219" s="11">
        <f t="shared" si="130"/>
        <v>0</v>
      </c>
      <c r="J219" s="11">
        <f t="shared" si="130"/>
        <v>0</v>
      </c>
      <c r="K219" s="11">
        <f t="shared" si="130"/>
        <v>0</v>
      </c>
      <c r="L219" s="11">
        <f t="shared" si="130"/>
        <v>0</v>
      </c>
      <c r="M219" s="11">
        <f t="shared" si="130"/>
        <v>0</v>
      </c>
      <c r="N219" s="4" t="e">
        <f t="shared" si="122"/>
        <v>#DIV/0!</v>
      </c>
    </row>
    <row r="220" spans="1:14" ht="15.75" hidden="1" x14ac:dyDescent="0.25">
      <c r="A220" s="31" t="s">
        <v>660</v>
      </c>
      <c r="B220" s="42" t="s">
        <v>669</v>
      </c>
      <c r="C220" s="42" t="s">
        <v>520</v>
      </c>
      <c r="D220" s="42" t="s">
        <v>716</v>
      </c>
      <c r="E220" s="42" t="s">
        <v>661</v>
      </c>
      <c r="F220" s="42"/>
      <c r="G220" s="11">
        <f>G221</f>
        <v>0</v>
      </c>
      <c r="H220" s="11">
        <f t="shared" si="130"/>
        <v>0</v>
      </c>
      <c r="I220" s="11">
        <f t="shared" si="130"/>
        <v>0</v>
      </c>
      <c r="J220" s="11">
        <f t="shared" si="130"/>
        <v>0</v>
      </c>
      <c r="K220" s="11">
        <f t="shared" si="130"/>
        <v>0</v>
      </c>
      <c r="L220" s="11">
        <f t="shared" si="130"/>
        <v>0</v>
      </c>
      <c r="M220" s="11">
        <f t="shared" si="130"/>
        <v>0</v>
      </c>
      <c r="N220" s="4" t="e">
        <f t="shared" si="122"/>
        <v>#DIV/0!</v>
      </c>
    </row>
    <row r="221" spans="1:14" ht="31.5" hidden="1" x14ac:dyDescent="0.25">
      <c r="A221" s="31" t="s">
        <v>455</v>
      </c>
      <c r="B221" s="42" t="s">
        <v>669</v>
      </c>
      <c r="C221" s="42" t="s">
        <v>315</v>
      </c>
      <c r="D221" s="42" t="s">
        <v>264</v>
      </c>
      <c r="E221" s="42"/>
      <c r="F221" s="42" t="s">
        <v>713</v>
      </c>
      <c r="G221" s="11"/>
      <c r="H221" s="11"/>
      <c r="I221" s="11"/>
      <c r="J221" s="11"/>
      <c r="K221" s="11"/>
      <c r="L221" s="11"/>
      <c r="M221" s="11"/>
      <c r="N221" s="4" t="e">
        <f t="shared" si="122"/>
        <v>#DIV/0!</v>
      </c>
    </row>
    <row r="222" spans="1:14" ht="31.5" hidden="1" x14ac:dyDescent="0.25">
      <c r="A222" s="31" t="s">
        <v>717</v>
      </c>
      <c r="B222" s="21" t="s">
        <v>500</v>
      </c>
      <c r="C222" s="42" t="s">
        <v>315</v>
      </c>
      <c r="D222" s="42" t="s">
        <v>264</v>
      </c>
      <c r="E222" s="42"/>
      <c r="F222" s="42"/>
      <c r="G222" s="11">
        <f>G223</f>
        <v>0</v>
      </c>
      <c r="H222" s="11">
        <f t="shared" ref="H222:M223" si="131">H223</f>
        <v>0</v>
      </c>
      <c r="I222" s="11">
        <f t="shared" si="131"/>
        <v>0</v>
      </c>
      <c r="J222" s="11">
        <f t="shared" si="131"/>
        <v>0</v>
      </c>
      <c r="K222" s="11">
        <f t="shared" si="131"/>
        <v>0</v>
      </c>
      <c r="L222" s="11">
        <f t="shared" si="131"/>
        <v>0</v>
      </c>
      <c r="M222" s="11">
        <f t="shared" si="131"/>
        <v>0</v>
      </c>
      <c r="N222" s="4" t="e">
        <f t="shared" si="122"/>
        <v>#DIV/0!</v>
      </c>
    </row>
    <row r="223" spans="1:14" ht="31.5" hidden="1" x14ac:dyDescent="0.25">
      <c r="A223" s="31" t="s">
        <v>331</v>
      </c>
      <c r="B223" s="21" t="s">
        <v>500</v>
      </c>
      <c r="C223" s="42" t="s">
        <v>315</v>
      </c>
      <c r="D223" s="42" t="s">
        <v>264</v>
      </c>
      <c r="E223" s="42" t="s">
        <v>324</v>
      </c>
      <c r="F223" s="42"/>
      <c r="G223" s="11">
        <f>G224</f>
        <v>0</v>
      </c>
      <c r="H223" s="11">
        <f t="shared" si="131"/>
        <v>0</v>
      </c>
      <c r="I223" s="11">
        <f t="shared" si="131"/>
        <v>0</v>
      </c>
      <c r="J223" s="11">
        <f t="shared" si="131"/>
        <v>0</v>
      </c>
      <c r="K223" s="11">
        <f t="shared" si="131"/>
        <v>0</v>
      </c>
      <c r="L223" s="11">
        <f t="shared" si="131"/>
        <v>0</v>
      </c>
      <c r="M223" s="11">
        <f t="shared" si="131"/>
        <v>0</v>
      </c>
      <c r="N223" s="4" t="e">
        <f t="shared" si="122"/>
        <v>#DIV/0!</v>
      </c>
    </row>
    <row r="224" spans="1:14" ht="15.75" hidden="1" x14ac:dyDescent="0.25">
      <c r="A224" s="31" t="s">
        <v>325</v>
      </c>
      <c r="B224" s="21" t="s">
        <v>500</v>
      </c>
      <c r="C224" s="42" t="s">
        <v>315</v>
      </c>
      <c r="D224" s="42" t="s">
        <v>264</v>
      </c>
      <c r="E224" s="42" t="s">
        <v>326</v>
      </c>
      <c r="F224" s="42"/>
      <c r="G224" s="11"/>
      <c r="H224" s="11"/>
      <c r="I224" s="11"/>
      <c r="J224" s="11"/>
      <c r="K224" s="11"/>
      <c r="L224" s="11"/>
      <c r="M224" s="11"/>
      <c r="N224" s="4" t="e">
        <f t="shared" si="122"/>
        <v>#DIV/0!</v>
      </c>
    </row>
    <row r="225" spans="1:14" ht="15.75" hidden="1" x14ac:dyDescent="0.25">
      <c r="A225" s="31" t="s">
        <v>660</v>
      </c>
      <c r="B225" s="21" t="s">
        <v>500</v>
      </c>
      <c r="C225" s="42" t="s">
        <v>315</v>
      </c>
      <c r="D225" s="42" t="s">
        <v>264</v>
      </c>
      <c r="E225" s="42" t="s">
        <v>661</v>
      </c>
      <c r="F225" s="42"/>
      <c r="G225" s="11"/>
      <c r="H225" s="11"/>
      <c r="I225" s="11"/>
      <c r="J225" s="11"/>
      <c r="K225" s="11"/>
      <c r="L225" s="11"/>
      <c r="M225" s="11"/>
      <c r="N225" s="4" t="e">
        <f t="shared" si="122"/>
        <v>#DIV/0!</v>
      </c>
    </row>
    <row r="226" spans="1:14" ht="31.5" hidden="1" x14ac:dyDescent="0.25">
      <c r="A226" s="31" t="s">
        <v>455</v>
      </c>
      <c r="B226" s="21" t="s">
        <v>500</v>
      </c>
      <c r="C226" s="42" t="s">
        <v>315</v>
      </c>
      <c r="D226" s="42" t="s">
        <v>264</v>
      </c>
      <c r="E226" s="42"/>
      <c r="F226" s="42" t="s">
        <v>713</v>
      </c>
      <c r="G226" s="7">
        <f>G222</f>
        <v>0</v>
      </c>
      <c r="H226" s="7">
        <f t="shared" ref="H226:L226" si="132">H222</f>
        <v>0</v>
      </c>
      <c r="I226" s="7">
        <f t="shared" si="132"/>
        <v>0</v>
      </c>
      <c r="J226" s="7">
        <f t="shared" si="132"/>
        <v>0</v>
      </c>
      <c r="K226" s="7">
        <f t="shared" si="132"/>
        <v>0</v>
      </c>
      <c r="L226" s="7">
        <f t="shared" si="132"/>
        <v>0</v>
      </c>
      <c r="M226" s="7">
        <f t="shared" ref="M226" si="133">M222</f>
        <v>0</v>
      </c>
      <c r="N226" s="4" t="e">
        <f t="shared" si="122"/>
        <v>#DIV/0!</v>
      </c>
    </row>
    <row r="227" spans="1:14" ht="31.5" hidden="1" x14ac:dyDescent="0.25">
      <c r="A227" s="31" t="s">
        <v>666</v>
      </c>
      <c r="B227" s="42" t="s">
        <v>501</v>
      </c>
      <c r="C227" s="42" t="s">
        <v>315</v>
      </c>
      <c r="D227" s="42" t="s">
        <v>264</v>
      </c>
      <c r="E227" s="42"/>
      <c r="F227" s="42"/>
      <c r="G227" s="11">
        <f>G228</f>
        <v>0</v>
      </c>
      <c r="H227" s="11">
        <f t="shared" ref="H227:M228" si="134">H228</f>
        <v>0</v>
      </c>
      <c r="I227" s="11">
        <f t="shared" si="134"/>
        <v>0</v>
      </c>
      <c r="J227" s="11">
        <f t="shared" si="134"/>
        <v>0</v>
      </c>
      <c r="K227" s="11">
        <f t="shared" si="134"/>
        <v>0</v>
      </c>
      <c r="L227" s="11">
        <f t="shared" si="134"/>
        <v>0</v>
      </c>
      <c r="M227" s="11">
        <f t="shared" si="134"/>
        <v>0</v>
      </c>
      <c r="N227" s="4" t="e">
        <f t="shared" si="122"/>
        <v>#DIV/0!</v>
      </c>
    </row>
    <row r="228" spans="1:14" ht="31.5" hidden="1" x14ac:dyDescent="0.25">
      <c r="A228" s="31" t="s">
        <v>323</v>
      </c>
      <c r="B228" s="42" t="s">
        <v>501</v>
      </c>
      <c r="C228" s="42" t="s">
        <v>315</v>
      </c>
      <c r="D228" s="42" t="s">
        <v>264</v>
      </c>
      <c r="E228" s="42" t="s">
        <v>324</v>
      </c>
      <c r="F228" s="42"/>
      <c r="G228" s="11">
        <f>G229</f>
        <v>0</v>
      </c>
      <c r="H228" s="11">
        <f t="shared" si="134"/>
        <v>0</v>
      </c>
      <c r="I228" s="11">
        <f t="shared" si="134"/>
        <v>0</v>
      </c>
      <c r="J228" s="11">
        <f t="shared" si="134"/>
        <v>0</v>
      </c>
      <c r="K228" s="11">
        <f t="shared" si="134"/>
        <v>0</v>
      </c>
      <c r="L228" s="11">
        <f t="shared" si="134"/>
        <v>0</v>
      </c>
      <c r="M228" s="11">
        <f t="shared" si="134"/>
        <v>0</v>
      </c>
      <c r="N228" s="4" t="e">
        <f t="shared" si="122"/>
        <v>#DIV/0!</v>
      </c>
    </row>
    <row r="229" spans="1:14" ht="15.75" hidden="1" x14ac:dyDescent="0.25">
      <c r="A229" s="31" t="s">
        <v>325</v>
      </c>
      <c r="B229" s="42" t="s">
        <v>501</v>
      </c>
      <c r="C229" s="42" t="s">
        <v>315</v>
      </c>
      <c r="D229" s="42" t="s">
        <v>264</v>
      </c>
      <c r="E229" s="42" t="s">
        <v>326</v>
      </c>
      <c r="F229" s="42" t="s">
        <v>713</v>
      </c>
      <c r="G229" s="11"/>
      <c r="H229" s="11"/>
      <c r="I229" s="11"/>
      <c r="J229" s="11"/>
      <c r="K229" s="11"/>
      <c r="L229" s="11"/>
      <c r="M229" s="11"/>
      <c r="N229" s="4" t="e">
        <f t="shared" si="122"/>
        <v>#DIV/0!</v>
      </c>
    </row>
    <row r="230" spans="1:14" ht="15.75" hidden="1" x14ac:dyDescent="0.25">
      <c r="A230" s="31"/>
      <c r="B230" s="42"/>
      <c r="C230" s="42"/>
      <c r="D230" s="42"/>
      <c r="E230" s="42"/>
      <c r="F230" s="42"/>
      <c r="G230" s="11"/>
      <c r="H230" s="11"/>
      <c r="I230" s="11"/>
      <c r="J230" s="11"/>
      <c r="K230" s="11"/>
      <c r="L230" s="11"/>
      <c r="M230" s="11"/>
      <c r="N230" s="4" t="e">
        <f t="shared" si="122"/>
        <v>#DIV/0!</v>
      </c>
    </row>
    <row r="231" spans="1:14" ht="15.75" hidden="1" x14ac:dyDescent="0.25">
      <c r="A231" s="31"/>
      <c r="B231" s="42"/>
      <c r="C231" s="42"/>
      <c r="D231" s="42"/>
      <c r="E231" s="42"/>
      <c r="F231" s="42"/>
      <c r="G231" s="11"/>
      <c r="H231" s="11"/>
      <c r="I231" s="11"/>
      <c r="J231" s="11"/>
      <c r="K231" s="11"/>
      <c r="L231" s="11"/>
      <c r="M231" s="11"/>
      <c r="N231" s="4" t="e">
        <f t="shared" si="122"/>
        <v>#DIV/0!</v>
      </c>
    </row>
    <row r="232" spans="1:14" ht="31.5" x14ac:dyDescent="0.25">
      <c r="A232" s="43" t="s">
        <v>519</v>
      </c>
      <c r="B232" s="8" t="s">
        <v>521</v>
      </c>
      <c r="C232" s="8"/>
      <c r="D232" s="8"/>
      <c r="E232" s="8"/>
      <c r="F232" s="8"/>
      <c r="G232" s="68">
        <f>G233</f>
        <v>3484.8</v>
      </c>
      <c r="H232" s="68">
        <f t="shared" ref="H232:M236" si="135">H233</f>
        <v>3484.8</v>
      </c>
      <c r="I232" s="68">
        <f t="shared" si="135"/>
        <v>4171</v>
      </c>
      <c r="J232" s="68">
        <f t="shared" si="135"/>
        <v>4171</v>
      </c>
      <c r="K232" s="68">
        <f t="shared" si="135"/>
        <v>4171</v>
      </c>
      <c r="L232" s="68">
        <f t="shared" si="135"/>
        <v>3584</v>
      </c>
      <c r="M232" s="68">
        <f t="shared" si="135"/>
        <v>3584</v>
      </c>
      <c r="N232" s="4">
        <f t="shared" si="122"/>
        <v>100</v>
      </c>
    </row>
    <row r="233" spans="1:14" ht="15.75" x14ac:dyDescent="0.25">
      <c r="A233" s="31" t="s">
        <v>314</v>
      </c>
      <c r="B233" s="42" t="s">
        <v>521</v>
      </c>
      <c r="C233" s="42" t="s">
        <v>315</v>
      </c>
      <c r="D233" s="42"/>
      <c r="E233" s="42"/>
      <c r="F233" s="42"/>
      <c r="G233" s="11">
        <f>G234</f>
        <v>3484.8</v>
      </c>
      <c r="H233" s="11">
        <f t="shared" si="135"/>
        <v>3484.8</v>
      </c>
      <c r="I233" s="11">
        <f t="shared" si="135"/>
        <v>4171</v>
      </c>
      <c r="J233" s="11">
        <f t="shared" si="135"/>
        <v>4171</v>
      </c>
      <c r="K233" s="11">
        <f t="shared" si="135"/>
        <v>4171</v>
      </c>
      <c r="L233" s="11">
        <f t="shared" si="135"/>
        <v>3584</v>
      </c>
      <c r="M233" s="11">
        <f t="shared" si="135"/>
        <v>3584</v>
      </c>
      <c r="N233" s="7">
        <f t="shared" si="122"/>
        <v>100</v>
      </c>
    </row>
    <row r="234" spans="1:14" ht="15.75" x14ac:dyDescent="0.25">
      <c r="A234" s="31" t="s">
        <v>518</v>
      </c>
      <c r="B234" s="42" t="s">
        <v>521</v>
      </c>
      <c r="C234" s="42" t="s">
        <v>315</v>
      </c>
      <c r="D234" s="42" t="s">
        <v>315</v>
      </c>
      <c r="E234" s="42"/>
      <c r="F234" s="42"/>
      <c r="G234" s="11">
        <f>G235</f>
        <v>3484.8</v>
      </c>
      <c r="H234" s="11">
        <f t="shared" si="135"/>
        <v>3484.8</v>
      </c>
      <c r="I234" s="11">
        <f t="shared" si="135"/>
        <v>4171</v>
      </c>
      <c r="J234" s="11">
        <f t="shared" si="135"/>
        <v>4171</v>
      </c>
      <c r="K234" s="11">
        <f t="shared" si="135"/>
        <v>4171</v>
      </c>
      <c r="L234" s="11">
        <f t="shared" si="135"/>
        <v>3584</v>
      </c>
      <c r="M234" s="11">
        <f t="shared" si="135"/>
        <v>3584</v>
      </c>
      <c r="N234" s="7">
        <f t="shared" si="122"/>
        <v>100</v>
      </c>
    </row>
    <row r="235" spans="1:14" ht="31.5" x14ac:dyDescent="0.25">
      <c r="A235" s="26" t="s">
        <v>673</v>
      </c>
      <c r="B235" s="21" t="s">
        <v>523</v>
      </c>
      <c r="C235" s="42" t="s">
        <v>315</v>
      </c>
      <c r="D235" s="42" t="s">
        <v>315</v>
      </c>
      <c r="E235" s="42"/>
      <c r="F235" s="42"/>
      <c r="G235" s="11">
        <f>G236</f>
        <v>3484.8</v>
      </c>
      <c r="H235" s="11">
        <f t="shared" si="135"/>
        <v>3484.8</v>
      </c>
      <c r="I235" s="11">
        <f t="shared" si="135"/>
        <v>4171</v>
      </c>
      <c r="J235" s="11">
        <f t="shared" si="135"/>
        <v>4171</v>
      </c>
      <c r="K235" s="11">
        <f t="shared" si="135"/>
        <v>4171</v>
      </c>
      <c r="L235" s="11">
        <f t="shared" si="135"/>
        <v>3584</v>
      </c>
      <c r="M235" s="11">
        <f t="shared" si="135"/>
        <v>3584</v>
      </c>
      <c r="N235" s="7">
        <f t="shared" si="122"/>
        <v>100</v>
      </c>
    </row>
    <row r="236" spans="1:14" ht="31.5" x14ac:dyDescent="0.25">
      <c r="A236" s="31" t="s">
        <v>323</v>
      </c>
      <c r="B236" s="21" t="s">
        <v>523</v>
      </c>
      <c r="C236" s="42" t="s">
        <v>315</v>
      </c>
      <c r="D236" s="42" t="s">
        <v>315</v>
      </c>
      <c r="E236" s="42" t="s">
        <v>324</v>
      </c>
      <c r="F236" s="42"/>
      <c r="G236" s="11">
        <f>G237</f>
        <v>3484.8</v>
      </c>
      <c r="H236" s="11">
        <f t="shared" si="135"/>
        <v>3484.8</v>
      </c>
      <c r="I236" s="11">
        <f t="shared" si="135"/>
        <v>4171</v>
      </c>
      <c r="J236" s="11">
        <f t="shared" si="135"/>
        <v>4171</v>
      </c>
      <c r="K236" s="11">
        <f t="shared" si="135"/>
        <v>4171</v>
      </c>
      <c r="L236" s="11">
        <f t="shared" si="135"/>
        <v>3584</v>
      </c>
      <c r="M236" s="11">
        <f t="shared" si="135"/>
        <v>3584</v>
      </c>
      <c r="N236" s="7">
        <f t="shared" si="122"/>
        <v>100</v>
      </c>
    </row>
    <row r="237" spans="1:14" ht="15.75" x14ac:dyDescent="0.25">
      <c r="A237" s="31" t="s">
        <v>325</v>
      </c>
      <c r="B237" s="21" t="s">
        <v>523</v>
      </c>
      <c r="C237" s="42" t="s">
        <v>315</v>
      </c>
      <c r="D237" s="42" t="s">
        <v>315</v>
      </c>
      <c r="E237" s="42" t="s">
        <v>326</v>
      </c>
      <c r="F237" s="42"/>
      <c r="G237" s="11">
        <f>'Прил.№4 ведомств.'!G746</f>
        <v>3484.8</v>
      </c>
      <c r="H237" s="11">
        <f>'Прил.№4 ведомств.'!I746</f>
        <v>3484.8</v>
      </c>
      <c r="I237" s="11">
        <f>'Прил.№4 ведомств.'!J746</f>
        <v>4171</v>
      </c>
      <c r="J237" s="11">
        <f>'Прил.№4 ведомств.'!K746</f>
        <v>4171</v>
      </c>
      <c r="K237" s="11">
        <f>'Прил.№4 ведомств.'!L746</f>
        <v>4171</v>
      </c>
      <c r="L237" s="11">
        <f>'Прил.№4 ведомств.'!M746</f>
        <v>3584</v>
      </c>
      <c r="M237" s="11">
        <f>'Прил.№4 ведомств.'!N746</f>
        <v>3584</v>
      </c>
      <c r="N237" s="7">
        <f t="shared" si="122"/>
        <v>100</v>
      </c>
    </row>
    <row r="238" spans="1:14" ht="31.5" x14ac:dyDescent="0.25">
      <c r="A238" s="31" t="s">
        <v>455</v>
      </c>
      <c r="B238" s="21" t="s">
        <v>521</v>
      </c>
      <c r="C238" s="42" t="s">
        <v>315</v>
      </c>
      <c r="D238" s="42" t="s">
        <v>315</v>
      </c>
      <c r="E238" s="42"/>
      <c r="F238" s="42" t="s">
        <v>713</v>
      </c>
      <c r="G238" s="11">
        <f>G232</f>
        <v>3484.8</v>
      </c>
      <c r="H238" s="11">
        <f t="shared" ref="H238:L238" si="136">H232</f>
        <v>3484.8</v>
      </c>
      <c r="I238" s="11">
        <f t="shared" si="136"/>
        <v>4171</v>
      </c>
      <c r="J238" s="11">
        <f t="shared" si="136"/>
        <v>4171</v>
      </c>
      <c r="K238" s="11">
        <f t="shared" si="136"/>
        <v>4171</v>
      </c>
      <c r="L238" s="11">
        <f t="shared" si="136"/>
        <v>3584</v>
      </c>
      <c r="M238" s="11">
        <f t="shared" ref="M238" si="137">M232</f>
        <v>3584</v>
      </c>
      <c r="N238" s="7">
        <f t="shared" si="122"/>
        <v>100</v>
      </c>
    </row>
    <row r="239" spans="1:14" ht="47.25" x14ac:dyDescent="0.25">
      <c r="A239" s="64" t="s">
        <v>979</v>
      </c>
      <c r="B239" s="276" t="s">
        <v>207</v>
      </c>
      <c r="C239" s="8"/>
      <c r="D239" s="276"/>
      <c r="E239" s="276"/>
      <c r="F239" s="290"/>
      <c r="G239" s="68">
        <f>G240+G246</f>
        <v>250</v>
      </c>
      <c r="H239" s="68">
        <f t="shared" ref="H239:L239" si="138">H240+H246</f>
        <v>250</v>
      </c>
      <c r="I239" s="68">
        <f t="shared" si="138"/>
        <v>540</v>
      </c>
      <c r="J239" s="68">
        <f t="shared" si="138"/>
        <v>540</v>
      </c>
      <c r="K239" s="68">
        <f t="shared" si="138"/>
        <v>540</v>
      </c>
      <c r="L239" s="68">
        <f t="shared" si="138"/>
        <v>250</v>
      </c>
      <c r="M239" s="68">
        <f t="shared" ref="M239" si="139">M240+M246</f>
        <v>0</v>
      </c>
      <c r="N239" s="4">
        <f t="shared" si="122"/>
        <v>0</v>
      </c>
    </row>
    <row r="240" spans="1:14" ht="15.75" hidden="1" x14ac:dyDescent="0.25">
      <c r="A240" s="47" t="s">
        <v>168</v>
      </c>
      <c r="B240" s="6" t="s">
        <v>207</v>
      </c>
      <c r="C240" s="42" t="s">
        <v>169</v>
      </c>
      <c r="D240" s="6"/>
      <c r="E240" s="6"/>
      <c r="F240" s="6"/>
      <c r="G240" s="11">
        <f>G241</f>
        <v>250</v>
      </c>
      <c r="H240" s="11">
        <f t="shared" ref="H240:M243" si="140">H241</f>
        <v>250</v>
      </c>
      <c r="I240" s="11">
        <f t="shared" si="140"/>
        <v>0</v>
      </c>
      <c r="J240" s="11">
        <f t="shared" si="140"/>
        <v>0</v>
      </c>
      <c r="K240" s="11">
        <f t="shared" si="140"/>
        <v>0</v>
      </c>
      <c r="L240" s="11">
        <f t="shared" si="140"/>
        <v>0</v>
      </c>
      <c r="M240" s="11">
        <f t="shared" si="140"/>
        <v>0</v>
      </c>
      <c r="N240" s="4" t="e">
        <f t="shared" si="122"/>
        <v>#DIV/0!</v>
      </c>
    </row>
    <row r="241" spans="1:14" ht="15.75" hidden="1" x14ac:dyDescent="0.25">
      <c r="A241" s="47" t="s">
        <v>190</v>
      </c>
      <c r="B241" s="6" t="s">
        <v>207</v>
      </c>
      <c r="C241" s="42" t="s">
        <v>169</v>
      </c>
      <c r="D241" s="6">
        <v>13</v>
      </c>
      <c r="E241" s="6"/>
      <c r="F241" s="6"/>
      <c r="G241" s="11">
        <f>G242</f>
        <v>250</v>
      </c>
      <c r="H241" s="11">
        <f t="shared" si="140"/>
        <v>250</v>
      </c>
      <c r="I241" s="11">
        <f t="shared" si="140"/>
        <v>0</v>
      </c>
      <c r="J241" s="11">
        <f t="shared" si="140"/>
        <v>0</v>
      </c>
      <c r="K241" s="11">
        <f t="shared" si="140"/>
        <v>0</v>
      </c>
      <c r="L241" s="11">
        <f t="shared" si="140"/>
        <v>0</v>
      </c>
      <c r="M241" s="11">
        <f t="shared" si="140"/>
        <v>0</v>
      </c>
      <c r="N241" s="4" t="e">
        <f t="shared" si="122"/>
        <v>#DIV/0!</v>
      </c>
    </row>
    <row r="242" spans="1:14" ht="31.5" hidden="1" x14ac:dyDescent="0.25">
      <c r="A242" s="31" t="s">
        <v>208</v>
      </c>
      <c r="B242" s="6" t="s">
        <v>209</v>
      </c>
      <c r="C242" s="42" t="s">
        <v>169</v>
      </c>
      <c r="D242" s="42" t="s">
        <v>191</v>
      </c>
      <c r="E242" s="42"/>
      <c r="F242" s="42"/>
      <c r="G242" s="11">
        <f>G243</f>
        <v>250</v>
      </c>
      <c r="H242" s="11">
        <f t="shared" si="140"/>
        <v>250</v>
      </c>
      <c r="I242" s="11">
        <f t="shared" si="140"/>
        <v>0</v>
      </c>
      <c r="J242" s="11">
        <f t="shared" si="140"/>
        <v>0</v>
      </c>
      <c r="K242" s="11">
        <f t="shared" si="140"/>
        <v>0</v>
      </c>
      <c r="L242" s="11">
        <f t="shared" si="140"/>
        <v>0</v>
      </c>
      <c r="M242" s="11">
        <f t="shared" si="140"/>
        <v>0</v>
      </c>
      <c r="N242" s="4" t="e">
        <f t="shared" si="122"/>
        <v>#DIV/0!</v>
      </c>
    </row>
    <row r="243" spans="1:14" ht="31.5" hidden="1" x14ac:dyDescent="0.25">
      <c r="A243" s="31" t="s">
        <v>182</v>
      </c>
      <c r="B243" s="6" t="s">
        <v>209</v>
      </c>
      <c r="C243" s="42" t="s">
        <v>169</v>
      </c>
      <c r="D243" s="42" t="s">
        <v>191</v>
      </c>
      <c r="E243" s="42" t="s">
        <v>196</v>
      </c>
      <c r="F243" s="42"/>
      <c r="G243" s="11">
        <f>G244</f>
        <v>250</v>
      </c>
      <c r="H243" s="11">
        <f t="shared" si="140"/>
        <v>250</v>
      </c>
      <c r="I243" s="11">
        <f t="shared" si="140"/>
        <v>0</v>
      </c>
      <c r="J243" s="11">
        <f t="shared" si="140"/>
        <v>0</v>
      </c>
      <c r="K243" s="11">
        <f t="shared" si="140"/>
        <v>0</v>
      </c>
      <c r="L243" s="11">
        <f t="shared" si="140"/>
        <v>0</v>
      </c>
      <c r="M243" s="11">
        <f t="shared" si="140"/>
        <v>0</v>
      </c>
      <c r="N243" s="4" t="e">
        <f t="shared" si="122"/>
        <v>#DIV/0!</v>
      </c>
    </row>
    <row r="244" spans="1:14" ht="47.25" hidden="1" x14ac:dyDescent="0.25">
      <c r="A244" s="31" t="s">
        <v>235</v>
      </c>
      <c r="B244" s="6" t="s">
        <v>209</v>
      </c>
      <c r="C244" s="42" t="s">
        <v>169</v>
      </c>
      <c r="D244" s="42" t="s">
        <v>191</v>
      </c>
      <c r="E244" s="42" t="s">
        <v>211</v>
      </c>
      <c r="F244" s="42"/>
      <c r="G244" s="11">
        <f>'Прил.№4 ведомств.'!G66</f>
        <v>250</v>
      </c>
      <c r="H244" s="11">
        <f>'Прил.№4 ведомств.'!I66</f>
        <v>250</v>
      </c>
      <c r="I244" s="11">
        <f>'Прил.№4 ведомств.'!J66</f>
        <v>0</v>
      </c>
      <c r="J244" s="11">
        <f>'Прил.№4 ведомств.'!K66</f>
        <v>0</v>
      </c>
      <c r="K244" s="11">
        <f>'Прил.№4 ведомств.'!L66</f>
        <v>0</v>
      </c>
      <c r="L244" s="11">
        <f>'Прил.№4 ведомств.'!M66</f>
        <v>0</v>
      </c>
      <c r="M244" s="11">
        <f>'Прил.№4 ведомств.'!N66</f>
        <v>0</v>
      </c>
      <c r="N244" s="4" t="e">
        <f t="shared" si="122"/>
        <v>#DIV/0!</v>
      </c>
    </row>
    <row r="245" spans="1:14" ht="15.75" hidden="1" x14ac:dyDescent="0.25">
      <c r="A245" s="31" t="s">
        <v>199</v>
      </c>
      <c r="B245" s="6" t="s">
        <v>207</v>
      </c>
      <c r="C245" s="42" t="s">
        <v>169</v>
      </c>
      <c r="D245" s="42" t="s">
        <v>191</v>
      </c>
      <c r="E245" s="42"/>
      <c r="F245" s="42" t="s">
        <v>718</v>
      </c>
      <c r="G245" s="11">
        <f>G239</f>
        <v>250</v>
      </c>
      <c r="H245" s="11">
        <f t="shared" ref="H245:K245" si="141">H239</f>
        <v>250</v>
      </c>
      <c r="I245" s="11">
        <f t="shared" si="141"/>
        <v>540</v>
      </c>
      <c r="J245" s="11">
        <f t="shared" si="141"/>
        <v>540</v>
      </c>
      <c r="K245" s="11">
        <f t="shared" si="141"/>
        <v>540</v>
      </c>
      <c r="L245" s="11">
        <f>L240</f>
        <v>0</v>
      </c>
      <c r="M245" s="11">
        <f t="shared" ref="M245" si="142">M240</f>
        <v>0</v>
      </c>
      <c r="N245" s="4" t="e">
        <f t="shared" si="122"/>
        <v>#DIV/0!</v>
      </c>
    </row>
    <row r="246" spans="1:14" ht="15.75" x14ac:dyDescent="0.25">
      <c r="A246" s="47" t="s">
        <v>283</v>
      </c>
      <c r="B246" s="6" t="s">
        <v>207</v>
      </c>
      <c r="C246" s="42" t="s">
        <v>201</v>
      </c>
      <c r="D246" s="42"/>
      <c r="E246" s="42"/>
      <c r="F246" s="42"/>
      <c r="G246" s="11">
        <f>G247</f>
        <v>0</v>
      </c>
      <c r="H246" s="11">
        <f t="shared" ref="H246:M249" si="143">H247</f>
        <v>0</v>
      </c>
      <c r="I246" s="11">
        <f t="shared" si="143"/>
        <v>540</v>
      </c>
      <c r="J246" s="11">
        <f t="shared" si="143"/>
        <v>540</v>
      </c>
      <c r="K246" s="11">
        <f t="shared" si="143"/>
        <v>540</v>
      </c>
      <c r="L246" s="11">
        <f t="shared" si="143"/>
        <v>250</v>
      </c>
      <c r="M246" s="11">
        <f t="shared" si="143"/>
        <v>0</v>
      </c>
      <c r="N246" s="7">
        <f t="shared" si="122"/>
        <v>0</v>
      </c>
    </row>
    <row r="247" spans="1:14" ht="15.75" x14ac:dyDescent="0.25">
      <c r="A247" s="47" t="s">
        <v>926</v>
      </c>
      <c r="B247" s="6" t="s">
        <v>207</v>
      </c>
      <c r="C247" s="42" t="s">
        <v>201</v>
      </c>
      <c r="D247" s="42" t="s">
        <v>289</v>
      </c>
      <c r="E247" s="42"/>
      <c r="F247" s="42"/>
      <c r="G247" s="11">
        <f>G248</f>
        <v>0</v>
      </c>
      <c r="H247" s="11">
        <f t="shared" si="143"/>
        <v>0</v>
      </c>
      <c r="I247" s="11">
        <f t="shared" si="143"/>
        <v>540</v>
      </c>
      <c r="J247" s="11">
        <f t="shared" si="143"/>
        <v>540</v>
      </c>
      <c r="K247" s="11">
        <f t="shared" si="143"/>
        <v>540</v>
      </c>
      <c r="L247" s="11">
        <f t="shared" si="143"/>
        <v>250</v>
      </c>
      <c r="M247" s="11">
        <f t="shared" si="143"/>
        <v>0</v>
      </c>
      <c r="N247" s="7">
        <f t="shared" si="122"/>
        <v>0</v>
      </c>
    </row>
    <row r="248" spans="1:14" ht="31.5" x14ac:dyDescent="0.25">
      <c r="A248" s="31" t="s">
        <v>208</v>
      </c>
      <c r="B248" s="6" t="s">
        <v>209</v>
      </c>
      <c r="C248" s="42" t="s">
        <v>201</v>
      </c>
      <c r="D248" s="42" t="s">
        <v>289</v>
      </c>
      <c r="E248" s="42"/>
      <c r="F248" s="42"/>
      <c r="G248" s="11">
        <f>G249</f>
        <v>0</v>
      </c>
      <c r="H248" s="11">
        <f t="shared" si="143"/>
        <v>0</v>
      </c>
      <c r="I248" s="11">
        <f t="shared" si="143"/>
        <v>540</v>
      </c>
      <c r="J248" s="11">
        <f t="shared" si="143"/>
        <v>540</v>
      </c>
      <c r="K248" s="11">
        <f t="shared" si="143"/>
        <v>540</v>
      </c>
      <c r="L248" s="11">
        <f t="shared" si="143"/>
        <v>250</v>
      </c>
      <c r="M248" s="11">
        <f t="shared" si="143"/>
        <v>0</v>
      </c>
      <c r="N248" s="7">
        <f t="shared" si="122"/>
        <v>0</v>
      </c>
    </row>
    <row r="249" spans="1:14" ht="31.5" x14ac:dyDescent="0.25">
      <c r="A249" s="31" t="s">
        <v>182</v>
      </c>
      <c r="B249" s="6" t="s">
        <v>209</v>
      </c>
      <c r="C249" s="42" t="s">
        <v>201</v>
      </c>
      <c r="D249" s="42" t="s">
        <v>289</v>
      </c>
      <c r="E249" s="42"/>
      <c r="F249" s="42"/>
      <c r="G249" s="11">
        <f>G250</f>
        <v>0</v>
      </c>
      <c r="H249" s="11">
        <f t="shared" si="143"/>
        <v>0</v>
      </c>
      <c r="I249" s="11">
        <f t="shared" si="143"/>
        <v>540</v>
      </c>
      <c r="J249" s="11">
        <f t="shared" si="143"/>
        <v>540</v>
      </c>
      <c r="K249" s="11">
        <f t="shared" si="143"/>
        <v>540</v>
      </c>
      <c r="L249" s="11">
        <f t="shared" si="143"/>
        <v>250</v>
      </c>
      <c r="M249" s="11">
        <f t="shared" si="143"/>
        <v>0</v>
      </c>
      <c r="N249" s="7">
        <f t="shared" si="122"/>
        <v>0</v>
      </c>
    </row>
    <row r="250" spans="1:14" ht="47.25" x14ac:dyDescent="0.25">
      <c r="A250" s="31" t="s">
        <v>235</v>
      </c>
      <c r="B250" s="6" t="s">
        <v>209</v>
      </c>
      <c r="C250" s="42" t="s">
        <v>201</v>
      </c>
      <c r="D250" s="42" t="s">
        <v>289</v>
      </c>
      <c r="E250" s="42"/>
      <c r="F250" s="42"/>
      <c r="G250" s="11">
        <v>0</v>
      </c>
      <c r="H250" s="11">
        <v>0</v>
      </c>
      <c r="I250" s="11">
        <v>540</v>
      </c>
      <c r="J250" s="11">
        <v>540</v>
      </c>
      <c r="K250" s="11">
        <v>540</v>
      </c>
      <c r="L250" s="11">
        <f>'Прил.№4 ведомств.'!M206</f>
        <v>250</v>
      </c>
      <c r="M250" s="11">
        <f>'Прил.№4 ведомств.'!N206</f>
        <v>0</v>
      </c>
      <c r="N250" s="7">
        <f t="shared" si="122"/>
        <v>0</v>
      </c>
    </row>
    <row r="251" spans="1:14" ht="15.75" x14ac:dyDescent="0.25">
      <c r="A251" s="31" t="s">
        <v>199</v>
      </c>
      <c r="B251" s="6" t="s">
        <v>207</v>
      </c>
      <c r="C251" s="42" t="s">
        <v>201</v>
      </c>
      <c r="D251" s="42" t="s">
        <v>289</v>
      </c>
      <c r="E251" s="42"/>
      <c r="F251" s="42" t="s">
        <v>718</v>
      </c>
      <c r="G251" s="11">
        <f>G246</f>
        <v>0</v>
      </c>
      <c r="H251" s="11">
        <f t="shared" ref="H251:L251" si="144">H246</f>
        <v>0</v>
      </c>
      <c r="I251" s="11">
        <f t="shared" si="144"/>
        <v>540</v>
      </c>
      <c r="J251" s="11">
        <f t="shared" si="144"/>
        <v>540</v>
      </c>
      <c r="K251" s="11">
        <f t="shared" si="144"/>
        <v>540</v>
      </c>
      <c r="L251" s="11">
        <f t="shared" si="144"/>
        <v>250</v>
      </c>
      <c r="M251" s="11">
        <f t="shared" ref="M251" si="145">M246</f>
        <v>0</v>
      </c>
      <c r="N251" s="7">
        <f t="shared" si="122"/>
        <v>0</v>
      </c>
    </row>
    <row r="252" spans="1:14" ht="73.5" customHeight="1" x14ac:dyDescent="0.25">
      <c r="A252" s="43" t="s">
        <v>998</v>
      </c>
      <c r="B252" s="276" t="s">
        <v>213</v>
      </c>
      <c r="C252" s="8"/>
      <c r="D252" s="8"/>
      <c r="E252" s="8"/>
      <c r="F252" s="8"/>
      <c r="G252" s="68">
        <f>G253</f>
        <v>654</v>
      </c>
      <c r="H252" s="68">
        <f t="shared" ref="H252:M253" si="146">H253</f>
        <v>654</v>
      </c>
      <c r="I252" s="68">
        <f t="shared" si="146"/>
        <v>669</v>
      </c>
      <c r="J252" s="68">
        <f t="shared" si="146"/>
        <v>669</v>
      </c>
      <c r="K252" s="68">
        <f t="shared" si="146"/>
        <v>669</v>
      </c>
      <c r="L252" s="68">
        <f t="shared" si="146"/>
        <v>741</v>
      </c>
      <c r="M252" s="68">
        <f t="shared" si="146"/>
        <v>468.3</v>
      </c>
      <c r="N252" s="4">
        <f t="shared" si="122"/>
        <v>63.198380566801625</v>
      </c>
    </row>
    <row r="253" spans="1:14" ht="15.75" x14ac:dyDescent="0.25">
      <c r="A253" s="47" t="s">
        <v>168</v>
      </c>
      <c r="B253" s="6" t="s">
        <v>213</v>
      </c>
      <c r="C253" s="42" t="s">
        <v>169</v>
      </c>
      <c r="D253" s="6"/>
      <c r="E253" s="6"/>
      <c r="F253" s="42"/>
      <c r="G253" s="11">
        <f>G254</f>
        <v>654</v>
      </c>
      <c r="H253" s="11">
        <f t="shared" si="146"/>
        <v>654</v>
      </c>
      <c r="I253" s="11">
        <f t="shared" si="146"/>
        <v>669</v>
      </c>
      <c r="J253" s="11">
        <f t="shared" si="146"/>
        <v>669</v>
      </c>
      <c r="K253" s="11">
        <f t="shared" si="146"/>
        <v>669</v>
      </c>
      <c r="L253" s="11">
        <f t="shared" si="146"/>
        <v>741</v>
      </c>
      <c r="M253" s="11">
        <f t="shared" si="146"/>
        <v>468.3</v>
      </c>
      <c r="N253" s="7">
        <f t="shared" si="122"/>
        <v>63.198380566801625</v>
      </c>
    </row>
    <row r="254" spans="1:14" ht="15.75" x14ac:dyDescent="0.25">
      <c r="A254" s="47" t="s">
        <v>190</v>
      </c>
      <c r="B254" s="6" t="s">
        <v>213</v>
      </c>
      <c r="C254" s="42" t="s">
        <v>169</v>
      </c>
      <c r="D254" s="6">
        <v>13</v>
      </c>
      <c r="E254" s="6"/>
      <c r="F254" s="42"/>
      <c r="G254" s="11">
        <f>G255+G258+G264+G267</f>
        <v>654</v>
      </c>
      <c r="H254" s="11">
        <f t="shared" ref="H254:L254" si="147">H255+H258+H264+H267</f>
        <v>654</v>
      </c>
      <c r="I254" s="11">
        <f t="shared" si="147"/>
        <v>669</v>
      </c>
      <c r="J254" s="11">
        <f t="shared" si="147"/>
        <v>669</v>
      </c>
      <c r="K254" s="11">
        <f t="shared" si="147"/>
        <v>669</v>
      </c>
      <c r="L254" s="11">
        <f t="shared" si="147"/>
        <v>741</v>
      </c>
      <c r="M254" s="11">
        <f t="shared" ref="M254" si="148">M255+M258+M264+M267</f>
        <v>468.3</v>
      </c>
      <c r="N254" s="7">
        <f t="shared" si="122"/>
        <v>63.198380566801625</v>
      </c>
    </row>
    <row r="255" spans="1:14" ht="31.5" x14ac:dyDescent="0.25">
      <c r="A255" s="31" t="s">
        <v>214</v>
      </c>
      <c r="B255" s="42" t="s">
        <v>215</v>
      </c>
      <c r="C255" s="42" t="s">
        <v>169</v>
      </c>
      <c r="D255" s="42" t="s">
        <v>191</v>
      </c>
      <c r="E255" s="42"/>
      <c r="F255" s="42"/>
      <c r="G255" s="11">
        <f>G256</f>
        <v>428.1</v>
      </c>
      <c r="H255" s="11">
        <f t="shared" ref="H255:M256" si="149">H256</f>
        <v>428.1</v>
      </c>
      <c r="I255" s="11">
        <f t="shared" si="149"/>
        <v>428.1</v>
      </c>
      <c r="J255" s="11">
        <f t="shared" si="149"/>
        <v>428.1</v>
      </c>
      <c r="K255" s="11">
        <f t="shared" si="149"/>
        <v>428.1</v>
      </c>
      <c r="L255" s="11">
        <f t="shared" si="149"/>
        <v>491</v>
      </c>
      <c r="M255" s="11">
        <f t="shared" si="149"/>
        <v>323.60000000000002</v>
      </c>
      <c r="N255" s="7">
        <f t="shared" si="122"/>
        <v>65.906313645621182</v>
      </c>
    </row>
    <row r="256" spans="1:14" ht="31.5" x14ac:dyDescent="0.25">
      <c r="A256" s="31" t="s">
        <v>182</v>
      </c>
      <c r="B256" s="42" t="s">
        <v>215</v>
      </c>
      <c r="C256" s="42" t="s">
        <v>169</v>
      </c>
      <c r="D256" s="42" t="s">
        <v>191</v>
      </c>
      <c r="E256" s="42" t="s">
        <v>183</v>
      </c>
      <c r="F256" s="42"/>
      <c r="G256" s="11">
        <f>G257</f>
        <v>428.1</v>
      </c>
      <c r="H256" s="11">
        <f t="shared" si="149"/>
        <v>428.1</v>
      </c>
      <c r="I256" s="11">
        <f t="shared" si="149"/>
        <v>428.1</v>
      </c>
      <c r="J256" s="11">
        <f t="shared" si="149"/>
        <v>428.1</v>
      </c>
      <c r="K256" s="11">
        <f t="shared" si="149"/>
        <v>428.1</v>
      </c>
      <c r="L256" s="11">
        <f t="shared" si="149"/>
        <v>491</v>
      </c>
      <c r="M256" s="11">
        <f t="shared" si="149"/>
        <v>323.60000000000002</v>
      </c>
      <c r="N256" s="7">
        <f t="shared" si="122"/>
        <v>65.906313645621182</v>
      </c>
    </row>
    <row r="257" spans="1:14" ht="31.5" x14ac:dyDescent="0.25">
      <c r="A257" s="31" t="s">
        <v>184</v>
      </c>
      <c r="B257" s="42" t="s">
        <v>215</v>
      </c>
      <c r="C257" s="42" t="s">
        <v>169</v>
      </c>
      <c r="D257" s="42" t="s">
        <v>191</v>
      </c>
      <c r="E257" s="42" t="s">
        <v>185</v>
      </c>
      <c r="F257" s="42"/>
      <c r="G257" s="11">
        <f>'Прил.№4 ведомств.'!G70</f>
        <v>428.1</v>
      </c>
      <c r="H257" s="11">
        <f>'Прил.№4 ведомств.'!I70</f>
        <v>428.1</v>
      </c>
      <c r="I257" s="11">
        <f>'Прил.№4 ведомств.'!J70</f>
        <v>428.1</v>
      </c>
      <c r="J257" s="11">
        <f>'Прил.№4 ведомств.'!K70</f>
        <v>428.1</v>
      </c>
      <c r="K257" s="11">
        <f>'Прил.№4 ведомств.'!L70</f>
        <v>428.1</v>
      </c>
      <c r="L257" s="11">
        <f>'Прил.№4 ведомств.'!M70</f>
        <v>491</v>
      </c>
      <c r="M257" s="11">
        <f>'Прил.№4 ведомств.'!N70</f>
        <v>323.60000000000002</v>
      </c>
      <c r="N257" s="7">
        <f t="shared" si="122"/>
        <v>65.906313645621182</v>
      </c>
    </row>
    <row r="258" spans="1:14" ht="47.25" x14ac:dyDescent="0.25">
      <c r="A258" s="210" t="s">
        <v>216</v>
      </c>
      <c r="B258" s="42" t="s">
        <v>217</v>
      </c>
      <c r="C258" s="42" t="s">
        <v>169</v>
      </c>
      <c r="D258" s="42" t="s">
        <v>191</v>
      </c>
      <c r="E258" s="42"/>
      <c r="F258" s="42"/>
      <c r="G258" s="11">
        <f>G259+G261</f>
        <v>224.89999999999998</v>
      </c>
      <c r="H258" s="11">
        <f t="shared" ref="H258:L258" si="150">H259+H261</f>
        <v>224.89999999999998</v>
      </c>
      <c r="I258" s="11">
        <f t="shared" si="150"/>
        <v>239.89999999999998</v>
      </c>
      <c r="J258" s="11">
        <f t="shared" si="150"/>
        <v>239.89999999999998</v>
      </c>
      <c r="K258" s="11">
        <f t="shared" si="150"/>
        <v>239.89999999999998</v>
      </c>
      <c r="L258" s="11">
        <f t="shared" si="150"/>
        <v>249.5</v>
      </c>
      <c r="M258" s="11">
        <f t="shared" ref="M258" si="151">M259+M261</f>
        <v>144.19999999999999</v>
      </c>
      <c r="N258" s="7">
        <f t="shared" si="122"/>
        <v>57.795591182364724</v>
      </c>
    </row>
    <row r="259" spans="1:14" ht="78.75" x14ac:dyDescent="0.25">
      <c r="A259" s="31" t="s">
        <v>178</v>
      </c>
      <c r="B259" s="42" t="s">
        <v>217</v>
      </c>
      <c r="C259" s="42" t="s">
        <v>169</v>
      </c>
      <c r="D259" s="42" t="s">
        <v>191</v>
      </c>
      <c r="E259" s="42" t="s">
        <v>179</v>
      </c>
      <c r="F259" s="42"/>
      <c r="G259" s="11">
        <f>G260</f>
        <v>159.69999999999999</v>
      </c>
      <c r="H259" s="11">
        <f t="shared" ref="H259:M259" si="152">H260</f>
        <v>159.69999999999999</v>
      </c>
      <c r="I259" s="11">
        <f t="shared" si="152"/>
        <v>159.69999999999999</v>
      </c>
      <c r="J259" s="11">
        <f t="shared" si="152"/>
        <v>159.69999999999999</v>
      </c>
      <c r="K259" s="11">
        <f t="shared" si="152"/>
        <v>159.69999999999999</v>
      </c>
      <c r="L259" s="11">
        <f t="shared" si="152"/>
        <v>159.69999999999999</v>
      </c>
      <c r="M259" s="11">
        <f t="shared" si="152"/>
        <v>102</v>
      </c>
      <c r="N259" s="7">
        <f t="shared" si="122"/>
        <v>63.869755792110219</v>
      </c>
    </row>
    <row r="260" spans="1:14" ht="31.5" x14ac:dyDescent="0.25">
      <c r="A260" s="31" t="s">
        <v>180</v>
      </c>
      <c r="B260" s="42" t="s">
        <v>217</v>
      </c>
      <c r="C260" s="42" t="s">
        <v>169</v>
      </c>
      <c r="D260" s="42" t="s">
        <v>191</v>
      </c>
      <c r="E260" s="42" t="s">
        <v>181</v>
      </c>
      <c r="F260" s="42"/>
      <c r="G260" s="11">
        <f>'Прил.№4 ведомств.'!G73</f>
        <v>159.69999999999999</v>
      </c>
      <c r="H260" s="11">
        <f>'Прил.№4 ведомств.'!I73</f>
        <v>159.69999999999999</v>
      </c>
      <c r="I260" s="11">
        <f>'Прил.№4 ведомств.'!J73</f>
        <v>159.69999999999999</v>
      </c>
      <c r="J260" s="11">
        <f>'Прил.№4 ведомств.'!K73</f>
        <v>159.69999999999999</v>
      </c>
      <c r="K260" s="11">
        <f>'Прил.№4 ведомств.'!L73</f>
        <v>159.69999999999999</v>
      </c>
      <c r="L260" s="11">
        <f>'Прил.№4 ведомств.'!M73</f>
        <v>159.69999999999999</v>
      </c>
      <c r="M260" s="11">
        <f>'Прил.№4 ведомств.'!N73</f>
        <v>102</v>
      </c>
      <c r="N260" s="7">
        <f t="shared" si="122"/>
        <v>63.869755792110219</v>
      </c>
    </row>
    <row r="261" spans="1:14" ht="31.5" x14ac:dyDescent="0.25">
      <c r="A261" s="31" t="s">
        <v>182</v>
      </c>
      <c r="B261" s="42" t="s">
        <v>217</v>
      </c>
      <c r="C261" s="42" t="s">
        <v>169</v>
      </c>
      <c r="D261" s="42" t="s">
        <v>191</v>
      </c>
      <c r="E261" s="42" t="s">
        <v>183</v>
      </c>
      <c r="F261" s="42"/>
      <c r="G261" s="11">
        <f>G262</f>
        <v>65.2</v>
      </c>
      <c r="H261" s="11">
        <f t="shared" ref="H261:M261" si="153">H262</f>
        <v>65.2</v>
      </c>
      <c r="I261" s="11">
        <f t="shared" si="153"/>
        <v>80.199999999999989</v>
      </c>
      <c r="J261" s="11">
        <f t="shared" si="153"/>
        <v>80.199999999999989</v>
      </c>
      <c r="K261" s="11">
        <f t="shared" si="153"/>
        <v>80.199999999999989</v>
      </c>
      <c r="L261" s="11">
        <f t="shared" si="153"/>
        <v>89.800000000000011</v>
      </c>
      <c r="M261" s="11">
        <f t="shared" si="153"/>
        <v>42.2</v>
      </c>
      <c r="N261" s="7">
        <f t="shared" si="122"/>
        <v>46.993318485523382</v>
      </c>
    </row>
    <row r="262" spans="1:14" ht="31.5" x14ac:dyDescent="0.25">
      <c r="A262" s="31" t="s">
        <v>184</v>
      </c>
      <c r="B262" s="42" t="s">
        <v>217</v>
      </c>
      <c r="C262" s="42" t="s">
        <v>169</v>
      </c>
      <c r="D262" s="42" t="s">
        <v>191</v>
      </c>
      <c r="E262" s="42" t="s">
        <v>185</v>
      </c>
      <c r="F262" s="42"/>
      <c r="G262" s="11">
        <f>'Прил.№4 ведомств.'!G75</f>
        <v>65.2</v>
      </c>
      <c r="H262" s="11">
        <f>'Прил.№4 ведомств.'!I75</f>
        <v>65.2</v>
      </c>
      <c r="I262" s="11">
        <f>'Прил.№4 ведомств.'!J75</f>
        <v>80.199999999999989</v>
      </c>
      <c r="J262" s="11">
        <f>'Прил.№4 ведомств.'!K75</f>
        <v>80.199999999999989</v>
      </c>
      <c r="K262" s="11">
        <f>'Прил.№4 ведомств.'!L75</f>
        <v>80.199999999999989</v>
      </c>
      <c r="L262" s="11">
        <f>'Прил.№4 ведомств.'!M75</f>
        <v>89.800000000000011</v>
      </c>
      <c r="M262" s="11">
        <f>'Прил.№4 ведомств.'!N75</f>
        <v>42.2</v>
      </c>
      <c r="N262" s="7">
        <f t="shared" si="122"/>
        <v>46.993318485523382</v>
      </c>
    </row>
    <row r="263" spans="1:14" ht="15.75" x14ac:dyDescent="0.25">
      <c r="A263" s="31" t="s">
        <v>199</v>
      </c>
      <c r="B263" s="42" t="s">
        <v>213</v>
      </c>
      <c r="C263" s="42" t="s">
        <v>169</v>
      </c>
      <c r="D263" s="42" t="s">
        <v>191</v>
      </c>
      <c r="E263" s="42"/>
      <c r="F263" s="42" t="s">
        <v>718</v>
      </c>
      <c r="G263" s="11"/>
      <c r="H263" s="11"/>
      <c r="I263" s="11"/>
      <c r="J263" s="11"/>
      <c r="K263" s="11"/>
      <c r="L263" s="11">
        <f>L255+L258</f>
        <v>740.5</v>
      </c>
      <c r="M263" s="11">
        <f t="shared" ref="M263" si="154">M255+M258</f>
        <v>467.8</v>
      </c>
      <c r="N263" s="7">
        <f t="shared" si="122"/>
        <v>63.173531397704252</v>
      </c>
    </row>
    <row r="264" spans="1:14" ht="47.25" x14ac:dyDescent="0.25">
      <c r="A264" s="33" t="s">
        <v>776</v>
      </c>
      <c r="B264" s="42" t="s">
        <v>777</v>
      </c>
      <c r="C264" s="42" t="s">
        <v>169</v>
      </c>
      <c r="D264" s="42" t="s">
        <v>191</v>
      </c>
      <c r="E264" s="42"/>
      <c r="F264" s="42"/>
      <c r="G264" s="11">
        <f>G265</f>
        <v>0.5</v>
      </c>
      <c r="H264" s="11">
        <f t="shared" ref="H264:M265" si="155">H265</f>
        <v>0.5</v>
      </c>
      <c r="I264" s="11">
        <f t="shared" si="155"/>
        <v>0.5</v>
      </c>
      <c r="J264" s="11">
        <f t="shared" si="155"/>
        <v>0.5</v>
      </c>
      <c r="K264" s="11">
        <f t="shared" si="155"/>
        <v>0.5</v>
      </c>
      <c r="L264" s="11">
        <f t="shared" si="155"/>
        <v>0.5</v>
      </c>
      <c r="M264" s="11">
        <f t="shared" si="155"/>
        <v>0.5</v>
      </c>
      <c r="N264" s="7">
        <f t="shared" si="122"/>
        <v>100</v>
      </c>
    </row>
    <row r="265" spans="1:14" ht="31.5" x14ac:dyDescent="0.25">
      <c r="A265" s="26" t="s">
        <v>182</v>
      </c>
      <c r="B265" s="42" t="s">
        <v>777</v>
      </c>
      <c r="C265" s="42" t="s">
        <v>169</v>
      </c>
      <c r="D265" s="42" t="s">
        <v>191</v>
      </c>
      <c r="E265" s="42" t="s">
        <v>183</v>
      </c>
      <c r="F265" s="42"/>
      <c r="G265" s="11">
        <f>G266</f>
        <v>0.5</v>
      </c>
      <c r="H265" s="11">
        <f t="shared" si="155"/>
        <v>0.5</v>
      </c>
      <c r="I265" s="11">
        <f t="shared" si="155"/>
        <v>0.5</v>
      </c>
      <c r="J265" s="11">
        <f t="shared" si="155"/>
        <v>0.5</v>
      </c>
      <c r="K265" s="11">
        <f t="shared" si="155"/>
        <v>0.5</v>
      </c>
      <c r="L265" s="11">
        <f t="shared" si="155"/>
        <v>0.5</v>
      </c>
      <c r="M265" s="11">
        <f t="shared" si="155"/>
        <v>0.5</v>
      </c>
      <c r="N265" s="7">
        <f t="shared" si="122"/>
        <v>100</v>
      </c>
    </row>
    <row r="266" spans="1:14" ht="31.5" x14ac:dyDescent="0.25">
      <c r="A266" s="26" t="s">
        <v>184</v>
      </c>
      <c r="B266" s="42" t="s">
        <v>777</v>
      </c>
      <c r="C266" s="42" t="s">
        <v>169</v>
      </c>
      <c r="D266" s="42" t="s">
        <v>191</v>
      </c>
      <c r="E266" s="42" t="s">
        <v>185</v>
      </c>
      <c r="F266" s="42"/>
      <c r="G266" s="11">
        <f>'Прил.№4 ведомств.'!G1111</f>
        <v>0.5</v>
      </c>
      <c r="H266" s="11">
        <f>'Прил.№4 ведомств.'!I1111</f>
        <v>0.5</v>
      </c>
      <c r="I266" s="11">
        <f>'Прил.№4 ведомств.'!J1111</f>
        <v>0.5</v>
      </c>
      <c r="J266" s="11">
        <f>'Прил.№4 ведомств.'!K1111</f>
        <v>0.5</v>
      </c>
      <c r="K266" s="11">
        <f>'Прил.№4 ведомств.'!L1111</f>
        <v>0.5</v>
      </c>
      <c r="L266" s="11">
        <f>'Прил.№4 ведомств.'!M1111</f>
        <v>0.5</v>
      </c>
      <c r="M266" s="11">
        <f>'Прил.№4 ведомств.'!N1111</f>
        <v>0.5</v>
      </c>
      <c r="N266" s="7">
        <f t="shared" si="122"/>
        <v>100</v>
      </c>
    </row>
    <row r="267" spans="1:14" ht="47.25" hidden="1" x14ac:dyDescent="0.25">
      <c r="A267" s="35" t="s">
        <v>242</v>
      </c>
      <c r="B267" s="42" t="s">
        <v>763</v>
      </c>
      <c r="C267" s="42" t="s">
        <v>169</v>
      </c>
      <c r="D267" s="42" t="s">
        <v>191</v>
      </c>
      <c r="E267" s="42"/>
      <c r="F267" s="42"/>
      <c r="G267" s="11">
        <f>G268</f>
        <v>0.5</v>
      </c>
      <c r="H267" s="11">
        <f t="shared" ref="H267:M268" si="156">H268</f>
        <v>0.5</v>
      </c>
      <c r="I267" s="11">
        <f t="shared" si="156"/>
        <v>0.5</v>
      </c>
      <c r="J267" s="11">
        <f t="shared" si="156"/>
        <v>0.5</v>
      </c>
      <c r="K267" s="11">
        <f t="shared" si="156"/>
        <v>0.5</v>
      </c>
      <c r="L267" s="11">
        <f t="shared" si="156"/>
        <v>0</v>
      </c>
      <c r="M267" s="11">
        <f t="shared" si="156"/>
        <v>0</v>
      </c>
      <c r="N267" s="7" t="e">
        <f t="shared" si="122"/>
        <v>#DIV/0!</v>
      </c>
    </row>
    <row r="268" spans="1:14" ht="31.5" hidden="1" x14ac:dyDescent="0.25">
      <c r="A268" s="26" t="s">
        <v>182</v>
      </c>
      <c r="B268" s="42" t="s">
        <v>763</v>
      </c>
      <c r="C268" s="42" t="s">
        <v>169</v>
      </c>
      <c r="D268" s="42" t="s">
        <v>191</v>
      </c>
      <c r="E268" s="42" t="s">
        <v>183</v>
      </c>
      <c r="F268" s="42"/>
      <c r="G268" s="11">
        <f>G269</f>
        <v>0.5</v>
      </c>
      <c r="H268" s="11">
        <f t="shared" si="156"/>
        <v>0.5</v>
      </c>
      <c r="I268" s="11">
        <f t="shared" si="156"/>
        <v>0.5</v>
      </c>
      <c r="J268" s="11">
        <f t="shared" si="156"/>
        <v>0.5</v>
      </c>
      <c r="K268" s="11">
        <f t="shared" si="156"/>
        <v>0.5</v>
      </c>
      <c r="L268" s="11">
        <f t="shared" si="156"/>
        <v>0</v>
      </c>
      <c r="M268" s="11">
        <f t="shared" si="156"/>
        <v>0</v>
      </c>
      <c r="N268" s="7" t="e">
        <f t="shared" si="122"/>
        <v>#DIV/0!</v>
      </c>
    </row>
    <row r="269" spans="1:14" ht="31.5" hidden="1" x14ac:dyDescent="0.25">
      <c r="A269" s="26" t="s">
        <v>184</v>
      </c>
      <c r="B269" s="42" t="s">
        <v>763</v>
      </c>
      <c r="C269" s="42" t="s">
        <v>169</v>
      </c>
      <c r="D269" s="42" t="s">
        <v>191</v>
      </c>
      <c r="E269" s="42" t="s">
        <v>185</v>
      </c>
      <c r="F269" s="42"/>
      <c r="G269" s="11">
        <f>'Прил.№4 ведомств.'!G78</f>
        <v>0.5</v>
      </c>
      <c r="H269" s="11">
        <f>'Прил.№4 ведомств.'!I78</f>
        <v>0.5</v>
      </c>
      <c r="I269" s="11">
        <f>'Прил.№4 ведомств.'!J78</f>
        <v>0.5</v>
      </c>
      <c r="J269" s="11">
        <f>'Прил.№4 ведомств.'!K78</f>
        <v>0.5</v>
      </c>
      <c r="K269" s="11">
        <f>'Прил.№4 ведомств.'!L78</f>
        <v>0.5</v>
      </c>
      <c r="L269" s="11">
        <f>'Прил.№4 ведомств.'!M78</f>
        <v>0</v>
      </c>
      <c r="M269" s="11">
        <f>'Прил.№4 ведомств.'!N78</f>
        <v>0</v>
      </c>
      <c r="N269" s="7" t="e">
        <f t="shared" ref="N269:N332" si="157">M269/L269*100</f>
        <v>#DIV/0!</v>
      </c>
    </row>
    <row r="270" spans="1:14" ht="31.5" x14ac:dyDescent="0.25">
      <c r="A270" s="31" t="s">
        <v>626</v>
      </c>
      <c r="B270" s="42" t="s">
        <v>213</v>
      </c>
      <c r="C270" s="42" t="s">
        <v>169</v>
      </c>
      <c r="D270" s="42" t="s">
        <v>191</v>
      </c>
      <c r="E270" s="42"/>
      <c r="F270" s="42" t="s">
        <v>978</v>
      </c>
      <c r="G270" s="11">
        <f>G252</f>
        <v>654</v>
      </c>
      <c r="H270" s="11">
        <f t="shared" ref="H270:K270" si="158">H252</f>
        <v>654</v>
      </c>
      <c r="I270" s="11">
        <f t="shared" si="158"/>
        <v>669</v>
      </c>
      <c r="J270" s="11">
        <f t="shared" si="158"/>
        <v>669</v>
      </c>
      <c r="K270" s="11">
        <f t="shared" si="158"/>
        <v>669</v>
      </c>
      <c r="L270" s="11">
        <f>L264</f>
        <v>0.5</v>
      </c>
      <c r="M270" s="11">
        <f t="shared" ref="M270" si="159">M264</f>
        <v>0.5</v>
      </c>
      <c r="N270" s="7">
        <f t="shared" si="157"/>
        <v>100</v>
      </c>
    </row>
    <row r="271" spans="1:14" ht="78.75" x14ac:dyDescent="0.25">
      <c r="A271" s="43" t="s">
        <v>304</v>
      </c>
      <c r="B271" s="276" t="s">
        <v>305</v>
      </c>
      <c r="C271" s="42"/>
      <c r="D271" s="42"/>
      <c r="E271" s="42"/>
      <c r="F271" s="42"/>
      <c r="G271" s="68">
        <f>G272</f>
        <v>10</v>
      </c>
      <c r="H271" s="68">
        <f t="shared" ref="H271:M275" si="160">H272</f>
        <v>0</v>
      </c>
      <c r="I271" s="68">
        <f t="shared" si="160"/>
        <v>10</v>
      </c>
      <c r="J271" s="68">
        <f t="shared" si="160"/>
        <v>10</v>
      </c>
      <c r="K271" s="68">
        <f t="shared" si="160"/>
        <v>10</v>
      </c>
      <c r="L271" s="68">
        <f t="shared" si="160"/>
        <v>10</v>
      </c>
      <c r="M271" s="68">
        <f t="shared" si="160"/>
        <v>0</v>
      </c>
      <c r="N271" s="4">
        <f t="shared" si="157"/>
        <v>0</v>
      </c>
    </row>
    <row r="272" spans="1:14" ht="15.75" x14ac:dyDescent="0.25">
      <c r="A272" s="31" t="s">
        <v>294</v>
      </c>
      <c r="B272" s="6" t="s">
        <v>305</v>
      </c>
      <c r="C272" s="42" t="s">
        <v>295</v>
      </c>
      <c r="D272" s="42"/>
      <c r="E272" s="42"/>
      <c r="F272" s="42"/>
      <c r="G272" s="11">
        <f>G273</f>
        <v>10</v>
      </c>
      <c r="H272" s="11">
        <f t="shared" si="160"/>
        <v>0</v>
      </c>
      <c r="I272" s="11">
        <f t="shared" si="160"/>
        <v>10</v>
      </c>
      <c r="J272" s="11">
        <f t="shared" si="160"/>
        <v>10</v>
      </c>
      <c r="K272" s="11">
        <f t="shared" si="160"/>
        <v>10</v>
      </c>
      <c r="L272" s="11">
        <f t="shared" si="160"/>
        <v>10</v>
      </c>
      <c r="M272" s="11">
        <f t="shared" si="160"/>
        <v>0</v>
      </c>
      <c r="N272" s="7">
        <f t="shared" si="157"/>
        <v>0</v>
      </c>
    </row>
    <row r="273" spans="1:14" ht="22.5" customHeight="1" x14ac:dyDescent="0.25">
      <c r="A273" s="31" t="s">
        <v>303</v>
      </c>
      <c r="B273" s="6" t="s">
        <v>305</v>
      </c>
      <c r="C273" s="42" t="s">
        <v>295</v>
      </c>
      <c r="D273" s="42" t="s">
        <v>266</v>
      </c>
      <c r="E273" s="42"/>
      <c r="F273" s="42"/>
      <c r="G273" s="11">
        <f>G274</f>
        <v>10</v>
      </c>
      <c r="H273" s="11">
        <f t="shared" si="160"/>
        <v>0</v>
      </c>
      <c r="I273" s="11">
        <f t="shared" si="160"/>
        <v>10</v>
      </c>
      <c r="J273" s="11">
        <f t="shared" si="160"/>
        <v>10</v>
      </c>
      <c r="K273" s="11">
        <f t="shared" si="160"/>
        <v>10</v>
      </c>
      <c r="L273" s="11">
        <f t="shared" si="160"/>
        <v>10</v>
      </c>
      <c r="M273" s="11">
        <f t="shared" si="160"/>
        <v>0</v>
      </c>
      <c r="N273" s="7">
        <f t="shared" si="157"/>
        <v>0</v>
      </c>
    </row>
    <row r="274" spans="1:14" ht="31.5" x14ac:dyDescent="0.25">
      <c r="A274" s="31" t="s">
        <v>208</v>
      </c>
      <c r="B274" s="6" t="s">
        <v>306</v>
      </c>
      <c r="C274" s="42" t="s">
        <v>295</v>
      </c>
      <c r="D274" s="42" t="s">
        <v>266</v>
      </c>
      <c r="E274" s="42"/>
      <c r="F274" s="42"/>
      <c r="G274" s="11">
        <f>G275</f>
        <v>10</v>
      </c>
      <c r="H274" s="11">
        <f t="shared" si="160"/>
        <v>0</v>
      </c>
      <c r="I274" s="11">
        <f t="shared" si="160"/>
        <v>10</v>
      </c>
      <c r="J274" s="11">
        <f t="shared" si="160"/>
        <v>10</v>
      </c>
      <c r="K274" s="11">
        <f t="shared" si="160"/>
        <v>10</v>
      </c>
      <c r="L274" s="11">
        <f t="shared" si="160"/>
        <v>10</v>
      </c>
      <c r="M274" s="11">
        <f t="shared" si="160"/>
        <v>0</v>
      </c>
      <c r="N274" s="7">
        <f t="shared" si="157"/>
        <v>0</v>
      </c>
    </row>
    <row r="275" spans="1:14" ht="38.25" customHeight="1" x14ac:dyDescent="0.25">
      <c r="A275" s="31" t="s">
        <v>299</v>
      </c>
      <c r="B275" s="6" t="s">
        <v>306</v>
      </c>
      <c r="C275" s="42" t="s">
        <v>295</v>
      </c>
      <c r="D275" s="42" t="s">
        <v>266</v>
      </c>
      <c r="E275" s="42" t="s">
        <v>300</v>
      </c>
      <c r="F275" s="42"/>
      <c r="G275" s="11">
        <f>G276</f>
        <v>10</v>
      </c>
      <c r="H275" s="11">
        <f t="shared" si="160"/>
        <v>0</v>
      </c>
      <c r="I275" s="11">
        <f t="shared" si="160"/>
        <v>10</v>
      </c>
      <c r="J275" s="11">
        <f t="shared" si="160"/>
        <v>10</v>
      </c>
      <c r="K275" s="11">
        <f t="shared" si="160"/>
        <v>10</v>
      </c>
      <c r="L275" s="11">
        <f t="shared" si="160"/>
        <v>10</v>
      </c>
      <c r="M275" s="11">
        <f t="shared" si="160"/>
        <v>0</v>
      </c>
      <c r="N275" s="7">
        <f t="shared" si="157"/>
        <v>0</v>
      </c>
    </row>
    <row r="276" spans="1:14" ht="31.5" x14ac:dyDescent="0.25">
      <c r="A276" s="31" t="s">
        <v>301</v>
      </c>
      <c r="B276" s="6" t="s">
        <v>306</v>
      </c>
      <c r="C276" s="42" t="s">
        <v>295</v>
      </c>
      <c r="D276" s="42" t="s">
        <v>266</v>
      </c>
      <c r="E276" s="42" t="s">
        <v>302</v>
      </c>
      <c r="F276" s="42"/>
      <c r="G276" s="11">
        <f>'Прил.№4 ведомств.'!G228</f>
        <v>10</v>
      </c>
      <c r="H276" s="11">
        <f>'Прил.№4 ведомств.'!I228</f>
        <v>0</v>
      </c>
      <c r="I276" s="11">
        <f>'Прил.№4 ведомств.'!J228</f>
        <v>10</v>
      </c>
      <c r="J276" s="11">
        <f>'Прил.№4 ведомств.'!K228</f>
        <v>10</v>
      </c>
      <c r="K276" s="11">
        <f>'Прил.№4 ведомств.'!L228</f>
        <v>10</v>
      </c>
      <c r="L276" s="11">
        <f>'Прил.№4 ведомств.'!M228</f>
        <v>10</v>
      </c>
      <c r="M276" s="11">
        <f>'Прил.№4 ведомств.'!N228</f>
        <v>0</v>
      </c>
      <c r="N276" s="7">
        <f t="shared" si="157"/>
        <v>0</v>
      </c>
    </row>
    <row r="277" spans="1:14" ht="15.75" x14ac:dyDescent="0.25">
      <c r="A277" s="47" t="s">
        <v>199</v>
      </c>
      <c r="B277" s="6" t="s">
        <v>305</v>
      </c>
      <c r="C277" s="42" t="s">
        <v>295</v>
      </c>
      <c r="D277" s="42" t="s">
        <v>266</v>
      </c>
      <c r="E277" s="42"/>
      <c r="F277" s="42" t="s">
        <v>718</v>
      </c>
      <c r="G277" s="11">
        <f>G271</f>
        <v>10</v>
      </c>
      <c r="H277" s="11">
        <f t="shared" ref="H277:L277" si="161">H271</f>
        <v>0</v>
      </c>
      <c r="I277" s="11">
        <f t="shared" si="161"/>
        <v>10</v>
      </c>
      <c r="J277" s="11">
        <f t="shared" si="161"/>
        <v>10</v>
      </c>
      <c r="K277" s="11">
        <f t="shared" si="161"/>
        <v>10</v>
      </c>
      <c r="L277" s="11">
        <f t="shared" si="161"/>
        <v>10</v>
      </c>
      <c r="M277" s="11">
        <f t="shared" ref="M277" si="162">M271</f>
        <v>0</v>
      </c>
      <c r="N277" s="7">
        <f t="shared" si="157"/>
        <v>0</v>
      </c>
    </row>
    <row r="278" spans="1:14" ht="94.5" x14ac:dyDescent="0.25">
      <c r="A278" s="43" t="s">
        <v>652</v>
      </c>
      <c r="B278" s="276" t="s">
        <v>219</v>
      </c>
      <c r="C278" s="8"/>
      <c r="D278" s="8"/>
      <c r="E278" s="8"/>
      <c r="F278" s="8"/>
      <c r="G278" s="68">
        <f>G279+G286+G293</f>
        <v>80</v>
      </c>
      <c r="H278" s="68">
        <f t="shared" ref="H278:L278" si="163">H279+H286+H293</f>
        <v>80</v>
      </c>
      <c r="I278" s="68">
        <f t="shared" si="163"/>
        <v>120</v>
      </c>
      <c r="J278" s="68">
        <f t="shared" si="163"/>
        <v>120</v>
      </c>
      <c r="K278" s="68">
        <f t="shared" si="163"/>
        <v>120</v>
      </c>
      <c r="L278" s="68">
        <f t="shared" si="163"/>
        <v>120</v>
      </c>
      <c r="M278" s="68">
        <f t="shared" ref="M278" si="164">M279+M286+M293</f>
        <v>25</v>
      </c>
      <c r="N278" s="4">
        <f t="shared" si="157"/>
        <v>20.833333333333336</v>
      </c>
    </row>
    <row r="279" spans="1:14" ht="78.75" x14ac:dyDescent="0.25">
      <c r="A279" s="43" t="s">
        <v>220</v>
      </c>
      <c r="B279" s="276" t="s">
        <v>221</v>
      </c>
      <c r="C279" s="8"/>
      <c r="D279" s="8"/>
      <c r="E279" s="8"/>
      <c r="F279" s="8"/>
      <c r="G279" s="68">
        <f>G280</f>
        <v>15</v>
      </c>
      <c r="H279" s="68">
        <f t="shared" ref="H279:M283" si="165">H280</f>
        <v>15</v>
      </c>
      <c r="I279" s="68">
        <f t="shared" si="165"/>
        <v>25</v>
      </c>
      <c r="J279" s="68">
        <f t="shared" si="165"/>
        <v>25</v>
      </c>
      <c r="K279" s="68">
        <f t="shared" si="165"/>
        <v>25</v>
      </c>
      <c r="L279" s="68">
        <f t="shared" si="165"/>
        <v>25</v>
      </c>
      <c r="M279" s="68">
        <f t="shared" si="165"/>
        <v>25</v>
      </c>
      <c r="N279" s="4">
        <f t="shared" si="157"/>
        <v>100</v>
      </c>
    </row>
    <row r="280" spans="1:14" ht="15.75" x14ac:dyDescent="0.25">
      <c r="A280" s="47" t="s">
        <v>168</v>
      </c>
      <c r="B280" s="6" t="s">
        <v>221</v>
      </c>
      <c r="C280" s="42" t="s">
        <v>169</v>
      </c>
      <c r="D280" s="42"/>
      <c r="E280" s="42"/>
      <c r="F280" s="42"/>
      <c r="G280" s="11">
        <f>G281</f>
        <v>15</v>
      </c>
      <c r="H280" s="11">
        <f t="shared" si="165"/>
        <v>15</v>
      </c>
      <c r="I280" s="11">
        <f t="shared" si="165"/>
        <v>25</v>
      </c>
      <c r="J280" s="11">
        <f t="shared" si="165"/>
        <v>25</v>
      </c>
      <c r="K280" s="11">
        <f t="shared" si="165"/>
        <v>25</v>
      </c>
      <c r="L280" s="11">
        <f t="shared" si="165"/>
        <v>25</v>
      </c>
      <c r="M280" s="11">
        <f t="shared" si="165"/>
        <v>25</v>
      </c>
      <c r="N280" s="7">
        <f t="shared" si="157"/>
        <v>100</v>
      </c>
    </row>
    <row r="281" spans="1:14" ht="33.75" customHeight="1" x14ac:dyDescent="0.25">
      <c r="A281" s="47" t="s">
        <v>190</v>
      </c>
      <c r="B281" s="6" t="s">
        <v>221</v>
      </c>
      <c r="C281" s="42" t="s">
        <v>169</v>
      </c>
      <c r="D281" s="42" t="s">
        <v>191</v>
      </c>
      <c r="E281" s="42"/>
      <c r="F281" s="42"/>
      <c r="G281" s="11">
        <f>G282</f>
        <v>15</v>
      </c>
      <c r="H281" s="11">
        <f t="shared" si="165"/>
        <v>15</v>
      </c>
      <c r="I281" s="11">
        <f t="shared" si="165"/>
        <v>25</v>
      </c>
      <c r="J281" s="11">
        <f t="shared" si="165"/>
        <v>25</v>
      </c>
      <c r="K281" s="11">
        <f t="shared" si="165"/>
        <v>25</v>
      </c>
      <c r="L281" s="11">
        <f t="shared" si="165"/>
        <v>25</v>
      </c>
      <c r="M281" s="11">
        <f t="shared" si="165"/>
        <v>25</v>
      </c>
      <c r="N281" s="7">
        <f t="shared" si="157"/>
        <v>100</v>
      </c>
    </row>
    <row r="282" spans="1:14" ht="31.5" x14ac:dyDescent="0.25">
      <c r="A282" s="210" t="s">
        <v>222</v>
      </c>
      <c r="B282" s="6" t="s">
        <v>223</v>
      </c>
      <c r="C282" s="42" t="s">
        <v>169</v>
      </c>
      <c r="D282" s="42" t="s">
        <v>191</v>
      </c>
      <c r="E282" s="42"/>
      <c r="F282" s="42"/>
      <c r="G282" s="11">
        <f>G283</f>
        <v>15</v>
      </c>
      <c r="H282" s="11">
        <f t="shared" si="165"/>
        <v>15</v>
      </c>
      <c r="I282" s="11">
        <f t="shared" si="165"/>
        <v>25</v>
      </c>
      <c r="J282" s="11">
        <f t="shared" si="165"/>
        <v>25</v>
      </c>
      <c r="K282" s="11">
        <f t="shared" si="165"/>
        <v>25</v>
      </c>
      <c r="L282" s="11">
        <f t="shared" si="165"/>
        <v>25</v>
      </c>
      <c r="M282" s="11">
        <f t="shared" si="165"/>
        <v>25</v>
      </c>
      <c r="N282" s="7">
        <f t="shared" si="157"/>
        <v>100</v>
      </c>
    </row>
    <row r="283" spans="1:14" ht="31.5" x14ac:dyDescent="0.25">
      <c r="A283" s="31" t="s">
        <v>182</v>
      </c>
      <c r="B283" s="6" t="s">
        <v>223</v>
      </c>
      <c r="C283" s="42" t="s">
        <v>169</v>
      </c>
      <c r="D283" s="42" t="s">
        <v>191</v>
      </c>
      <c r="E283" s="42" t="s">
        <v>183</v>
      </c>
      <c r="F283" s="42"/>
      <c r="G283" s="11">
        <f>G284</f>
        <v>15</v>
      </c>
      <c r="H283" s="11">
        <f t="shared" si="165"/>
        <v>15</v>
      </c>
      <c r="I283" s="11">
        <f t="shared" si="165"/>
        <v>25</v>
      </c>
      <c r="J283" s="11">
        <f t="shared" si="165"/>
        <v>25</v>
      </c>
      <c r="K283" s="11">
        <f t="shared" si="165"/>
        <v>25</v>
      </c>
      <c r="L283" s="11">
        <f t="shared" si="165"/>
        <v>25</v>
      </c>
      <c r="M283" s="11">
        <f t="shared" si="165"/>
        <v>25</v>
      </c>
      <c r="N283" s="7">
        <f t="shared" si="157"/>
        <v>100</v>
      </c>
    </row>
    <row r="284" spans="1:14" ht="31.5" x14ac:dyDescent="0.25">
      <c r="A284" s="31" t="s">
        <v>184</v>
      </c>
      <c r="B284" s="6" t="s">
        <v>223</v>
      </c>
      <c r="C284" s="42" t="s">
        <v>169</v>
      </c>
      <c r="D284" s="42" t="s">
        <v>191</v>
      </c>
      <c r="E284" s="42" t="s">
        <v>185</v>
      </c>
      <c r="F284" s="42"/>
      <c r="G284" s="11">
        <f>'Прил.№4 ведомств.'!G83</f>
        <v>15</v>
      </c>
      <c r="H284" s="11">
        <f>'Прил.№4 ведомств.'!I83</f>
        <v>15</v>
      </c>
      <c r="I284" s="11">
        <f>'Прил.№4 ведомств.'!J83</f>
        <v>25</v>
      </c>
      <c r="J284" s="11">
        <f>'Прил.№4 ведомств.'!K83</f>
        <v>25</v>
      </c>
      <c r="K284" s="11">
        <f>'Прил.№4 ведомств.'!L83</f>
        <v>25</v>
      </c>
      <c r="L284" s="11">
        <f>'Прил.№4 ведомств.'!M249</f>
        <v>25</v>
      </c>
      <c r="M284" s="11">
        <f>'Прил.№4 ведомств.'!N249</f>
        <v>25</v>
      </c>
      <c r="N284" s="7">
        <f t="shared" si="157"/>
        <v>100</v>
      </c>
    </row>
    <row r="285" spans="1:14" ht="47.25" x14ac:dyDescent="0.25">
      <c r="A285" s="47" t="s">
        <v>312</v>
      </c>
      <c r="B285" s="6" t="s">
        <v>221</v>
      </c>
      <c r="C285" s="42" t="s">
        <v>169</v>
      </c>
      <c r="D285" s="42" t="s">
        <v>191</v>
      </c>
      <c r="E285" s="42"/>
      <c r="F285" s="42" t="s">
        <v>704</v>
      </c>
      <c r="G285" s="7">
        <f>G279</f>
        <v>15</v>
      </c>
      <c r="H285" s="7">
        <f t="shared" ref="H285:K285" si="166">H279</f>
        <v>15</v>
      </c>
      <c r="I285" s="7">
        <f t="shared" si="166"/>
        <v>25</v>
      </c>
      <c r="J285" s="7">
        <f t="shared" si="166"/>
        <v>25</v>
      </c>
      <c r="K285" s="7">
        <f t="shared" si="166"/>
        <v>25</v>
      </c>
      <c r="L285" s="7">
        <f>'Прил.№4 ведомств.'!M249</f>
        <v>25</v>
      </c>
      <c r="M285" s="7">
        <f>'Прил.№4 ведомств.'!N249</f>
        <v>25</v>
      </c>
      <c r="N285" s="7">
        <f t="shared" si="157"/>
        <v>100</v>
      </c>
    </row>
    <row r="286" spans="1:14" ht="63" x14ac:dyDescent="0.25">
      <c r="A286" s="43" t="s">
        <v>224</v>
      </c>
      <c r="B286" s="276" t="s">
        <v>225</v>
      </c>
      <c r="C286" s="8"/>
      <c r="D286" s="8"/>
      <c r="E286" s="8"/>
      <c r="F286" s="8"/>
      <c r="G286" s="68">
        <f>G287</f>
        <v>50</v>
      </c>
      <c r="H286" s="68">
        <f t="shared" ref="H286:M290" si="167">H287</f>
        <v>50</v>
      </c>
      <c r="I286" s="68">
        <f t="shared" si="167"/>
        <v>70</v>
      </c>
      <c r="J286" s="68">
        <f t="shared" si="167"/>
        <v>70</v>
      </c>
      <c r="K286" s="68">
        <f t="shared" si="167"/>
        <v>70</v>
      </c>
      <c r="L286" s="68">
        <f t="shared" si="167"/>
        <v>70</v>
      </c>
      <c r="M286" s="68">
        <f t="shared" si="167"/>
        <v>0</v>
      </c>
      <c r="N286" s="4">
        <f t="shared" si="157"/>
        <v>0</v>
      </c>
    </row>
    <row r="287" spans="1:14" ht="15.75" x14ac:dyDescent="0.25">
      <c r="A287" s="47" t="s">
        <v>168</v>
      </c>
      <c r="B287" s="6" t="s">
        <v>225</v>
      </c>
      <c r="C287" s="42" t="s">
        <v>169</v>
      </c>
      <c r="D287" s="42"/>
      <c r="E287" s="42"/>
      <c r="F287" s="42"/>
      <c r="G287" s="7">
        <f>G288</f>
        <v>50</v>
      </c>
      <c r="H287" s="7">
        <f t="shared" si="167"/>
        <v>50</v>
      </c>
      <c r="I287" s="7">
        <f t="shared" si="167"/>
        <v>70</v>
      </c>
      <c r="J287" s="7">
        <f t="shared" si="167"/>
        <v>70</v>
      </c>
      <c r="K287" s="7">
        <f t="shared" si="167"/>
        <v>70</v>
      </c>
      <c r="L287" s="7">
        <f t="shared" si="167"/>
        <v>70</v>
      </c>
      <c r="M287" s="7">
        <f t="shared" si="167"/>
        <v>0</v>
      </c>
      <c r="N287" s="7">
        <f t="shared" si="157"/>
        <v>0</v>
      </c>
    </row>
    <row r="288" spans="1:14" ht="15.75" x14ac:dyDescent="0.25">
      <c r="A288" s="47" t="s">
        <v>190</v>
      </c>
      <c r="B288" s="6" t="s">
        <v>225</v>
      </c>
      <c r="C288" s="42" t="s">
        <v>169</v>
      </c>
      <c r="D288" s="42" t="s">
        <v>191</v>
      </c>
      <c r="E288" s="42"/>
      <c r="F288" s="42"/>
      <c r="G288" s="7">
        <f>G289</f>
        <v>50</v>
      </c>
      <c r="H288" s="7">
        <f t="shared" si="167"/>
        <v>50</v>
      </c>
      <c r="I288" s="7">
        <f t="shared" si="167"/>
        <v>70</v>
      </c>
      <c r="J288" s="7">
        <f t="shared" si="167"/>
        <v>70</v>
      </c>
      <c r="K288" s="7">
        <f t="shared" si="167"/>
        <v>70</v>
      </c>
      <c r="L288" s="7">
        <f t="shared" si="167"/>
        <v>70</v>
      </c>
      <c r="M288" s="7">
        <f t="shared" si="167"/>
        <v>0</v>
      </c>
      <c r="N288" s="7">
        <f t="shared" si="157"/>
        <v>0</v>
      </c>
    </row>
    <row r="289" spans="1:14" ht="15.75" x14ac:dyDescent="0.25">
      <c r="A289" s="47" t="s">
        <v>226</v>
      </c>
      <c r="B289" s="6" t="s">
        <v>227</v>
      </c>
      <c r="C289" s="10" t="s">
        <v>169</v>
      </c>
      <c r="D289" s="10" t="s">
        <v>191</v>
      </c>
      <c r="E289" s="10"/>
      <c r="F289" s="27"/>
      <c r="G289" s="27">
        <f>G290</f>
        <v>50</v>
      </c>
      <c r="H289" s="27">
        <f t="shared" si="167"/>
        <v>50</v>
      </c>
      <c r="I289" s="27">
        <f t="shared" si="167"/>
        <v>70</v>
      </c>
      <c r="J289" s="27">
        <f t="shared" si="167"/>
        <v>70</v>
      </c>
      <c r="K289" s="27">
        <f t="shared" si="167"/>
        <v>70</v>
      </c>
      <c r="L289" s="27">
        <f t="shared" si="167"/>
        <v>70</v>
      </c>
      <c r="M289" s="27">
        <f t="shared" si="167"/>
        <v>0</v>
      </c>
      <c r="N289" s="7">
        <f t="shared" si="157"/>
        <v>0</v>
      </c>
    </row>
    <row r="290" spans="1:14" ht="31.5" x14ac:dyDescent="0.25">
      <c r="A290" s="26" t="s">
        <v>182</v>
      </c>
      <c r="B290" s="6" t="s">
        <v>227</v>
      </c>
      <c r="C290" s="10" t="s">
        <v>169</v>
      </c>
      <c r="D290" s="10" t="s">
        <v>191</v>
      </c>
      <c r="E290" s="10" t="s">
        <v>183</v>
      </c>
      <c r="F290" s="27"/>
      <c r="G290" s="27">
        <f>G291</f>
        <v>50</v>
      </c>
      <c r="H290" s="27">
        <f t="shared" si="167"/>
        <v>50</v>
      </c>
      <c r="I290" s="27">
        <f t="shared" si="167"/>
        <v>70</v>
      </c>
      <c r="J290" s="27">
        <f t="shared" si="167"/>
        <v>70</v>
      </c>
      <c r="K290" s="27">
        <f t="shared" si="167"/>
        <v>70</v>
      </c>
      <c r="L290" s="27">
        <f t="shared" si="167"/>
        <v>70</v>
      </c>
      <c r="M290" s="27">
        <f t="shared" si="167"/>
        <v>0</v>
      </c>
      <c r="N290" s="7">
        <f t="shared" si="157"/>
        <v>0</v>
      </c>
    </row>
    <row r="291" spans="1:14" ht="31.5" x14ac:dyDescent="0.25">
      <c r="A291" s="26" t="s">
        <v>184</v>
      </c>
      <c r="B291" s="6" t="s">
        <v>227</v>
      </c>
      <c r="C291" s="10" t="s">
        <v>169</v>
      </c>
      <c r="D291" s="10" t="s">
        <v>191</v>
      </c>
      <c r="E291" s="10" t="s">
        <v>185</v>
      </c>
      <c r="F291" s="27"/>
      <c r="G291" s="27">
        <f>'Прил.№4 ведомств.'!G87</f>
        <v>50</v>
      </c>
      <c r="H291" s="27">
        <f>'Прил.№4 ведомств.'!I87</f>
        <v>50</v>
      </c>
      <c r="I291" s="27">
        <f>'Прил.№4 ведомств.'!J87</f>
        <v>70</v>
      </c>
      <c r="J291" s="27">
        <f>'Прил.№4 ведомств.'!K87</f>
        <v>70</v>
      </c>
      <c r="K291" s="27">
        <f>'Прил.№4 ведомств.'!L87</f>
        <v>70</v>
      </c>
      <c r="L291" s="27">
        <f>'Прил.№4 ведомств.'!M87</f>
        <v>70</v>
      </c>
      <c r="M291" s="27">
        <f>'Прил.№4 ведомств.'!N87</f>
        <v>0</v>
      </c>
      <c r="N291" s="7">
        <f t="shared" si="157"/>
        <v>0</v>
      </c>
    </row>
    <row r="292" spans="1:14" ht="15.75" x14ac:dyDescent="0.25">
      <c r="A292" s="31" t="s">
        <v>199</v>
      </c>
      <c r="B292" s="6" t="s">
        <v>225</v>
      </c>
      <c r="C292" s="42" t="s">
        <v>169</v>
      </c>
      <c r="D292" s="42" t="s">
        <v>191</v>
      </c>
      <c r="E292" s="42"/>
      <c r="F292" s="42" t="s">
        <v>718</v>
      </c>
      <c r="G292" s="7">
        <f>G286</f>
        <v>50</v>
      </c>
      <c r="H292" s="7">
        <f t="shared" ref="H292:L292" si="168">H286</f>
        <v>50</v>
      </c>
      <c r="I292" s="7">
        <f t="shared" si="168"/>
        <v>70</v>
      </c>
      <c r="J292" s="7">
        <f t="shared" si="168"/>
        <v>70</v>
      </c>
      <c r="K292" s="7">
        <f t="shared" si="168"/>
        <v>70</v>
      </c>
      <c r="L292" s="7">
        <f t="shared" si="168"/>
        <v>70</v>
      </c>
      <c r="M292" s="7">
        <f t="shared" ref="M292" si="169">M286</f>
        <v>0</v>
      </c>
      <c r="N292" s="7">
        <f t="shared" si="157"/>
        <v>0</v>
      </c>
    </row>
    <row r="293" spans="1:14" ht="47.25" x14ac:dyDescent="0.25">
      <c r="A293" s="24" t="s">
        <v>228</v>
      </c>
      <c r="B293" s="276" t="s">
        <v>229</v>
      </c>
      <c r="C293" s="8"/>
      <c r="D293" s="8"/>
      <c r="E293" s="8"/>
      <c r="F293" s="8"/>
      <c r="G293" s="68">
        <f>G294</f>
        <v>15</v>
      </c>
      <c r="H293" s="68">
        <f t="shared" ref="H293:M297" si="170">H294</f>
        <v>15</v>
      </c>
      <c r="I293" s="68">
        <f t="shared" si="170"/>
        <v>25</v>
      </c>
      <c r="J293" s="68">
        <f t="shared" si="170"/>
        <v>25</v>
      </c>
      <c r="K293" s="68">
        <f t="shared" si="170"/>
        <v>25</v>
      </c>
      <c r="L293" s="68">
        <f t="shared" si="170"/>
        <v>25</v>
      </c>
      <c r="M293" s="68">
        <f t="shared" si="170"/>
        <v>0</v>
      </c>
      <c r="N293" s="4">
        <f t="shared" si="157"/>
        <v>0</v>
      </c>
    </row>
    <row r="294" spans="1:14" ht="15.75" x14ac:dyDescent="0.25">
      <c r="A294" s="47" t="s">
        <v>168</v>
      </c>
      <c r="B294" s="6" t="s">
        <v>229</v>
      </c>
      <c r="C294" s="42" t="s">
        <v>169</v>
      </c>
      <c r="D294" s="42"/>
      <c r="E294" s="42"/>
      <c r="F294" s="42"/>
      <c r="G294" s="11">
        <f>G295</f>
        <v>15</v>
      </c>
      <c r="H294" s="11">
        <f t="shared" si="170"/>
        <v>15</v>
      </c>
      <c r="I294" s="11">
        <f t="shared" si="170"/>
        <v>25</v>
      </c>
      <c r="J294" s="11">
        <f t="shared" si="170"/>
        <v>25</v>
      </c>
      <c r="K294" s="11">
        <f t="shared" si="170"/>
        <v>25</v>
      </c>
      <c r="L294" s="11">
        <f t="shared" si="170"/>
        <v>25</v>
      </c>
      <c r="M294" s="11">
        <f t="shared" si="170"/>
        <v>0</v>
      </c>
      <c r="N294" s="7">
        <f t="shared" si="157"/>
        <v>0</v>
      </c>
    </row>
    <row r="295" spans="1:14" ht="15.75" x14ac:dyDescent="0.25">
      <c r="A295" s="47" t="s">
        <v>190</v>
      </c>
      <c r="B295" s="6" t="s">
        <v>229</v>
      </c>
      <c r="C295" s="42" t="s">
        <v>169</v>
      </c>
      <c r="D295" s="42" t="s">
        <v>191</v>
      </c>
      <c r="E295" s="42"/>
      <c r="F295" s="42"/>
      <c r="G295" s="11">
        <f>G296</f>
        <v>15</v>
      </c>
      <c r="H295" s="11">
        <f t="shared" si="170"/>
        <v>15</v>
      </c>
      <c r="I295" s="11">
        <f t="shared" si="170"/>
        <v>25</v>
      </c>
      <c r="J295" s="11">
        <f t="shared" si="170"/>
        <v>25</v>
      </c>
      <c r="K295" s="11">
        <f t="shared" si="170"/>
        <v>25</v>
      </c>
      <c r="L295" s="11">
        <f t="shared" si="170"/>
        <v>25</v>
      </c>
      <c r="M295" s="11">
        <f t="shared" si="170"/>
        <v>0</v>
      </c>
      <c r="N295" s="7">
        <f t="shared" si="157"/>
        <v>0</v>
      </c>
    </row>
    <row r="296" spans="1:14" ht="32.25" customHeight="1" x14ac:dyDescent="0.25">
      <c r="A296" s="47" t="s">
        <v>230</v>
      </c>
      <c r="B296" s="6" t="s">
        <v>231</v>
      </c>
      <c r="C296" s="42" t="s">
        <v>169</v>
      </c>
      <c r="D296" s="42" t="s">
        <v>191</v>
      </c>
      <c r="E296" s="42"/>
      <c r="F296" s="42"/>
      <c r="G296" s="11">
        <f>G297</f>
        <v>15</v>
      </c>
      <c r="H296" s="11">
        <f t="shared" si="170"/>
        <v>15</v>
      </c>
      <c r="I296" s="11">
        <f t="shared" si="170"/>
        <v>25</v>
      </c>
      <c r="J296" s="11">
        <f t="shared" si="170"/>
        <v>25</v>
      </c>
      <c r="K296" s="11">
        <f t="shared" si="170"/>
        <v>25</v>
      </c>
      <c r="L296" s="11">
        <f t="shared" si="170"/>
        <v>25</v>
      </c>
      <c r="M296" s="11">
        <f t="shared" si="170"/>
        <v>0</v>
      </c>
      <c r="N296" s="7">
        <f t="shared" si="157"/>
        <v>0</v>
      </c>
    </row>
    <row r="297" spans="1:14" ht="31.5" x14ac:dyDescent="0.25">
      <c r="A297" s="31" t="s">
        <v>182</v>
      </c>
      <c r="B297" s="6" t="s">
        <v>231</v>
      </c>
      <c r="C297" s="42" t="s">
        <v>169</v>
      </c>
      <c r="D297" s="42" t="s">
        <v>191</v>
      </c>
      <c r="E297" s="42" t="s">
        <v>183</v>
      </c>
      <c r="F297" s="42"/>
      <c r="G297" s="11">
        <f>G298</f>
        <v>15</v>
      </c>
      <c r="H297" s="11">
        <f t="shared" si="170"/>
        <v>15</v>
      </c>
      <c r="I297" s="11">
        <f t="shared" si="170"/>
        <v>25</v>
      </c>
      <c r="J297" s="11">
        <f t="shared" si="170"/>
        <v>25</v>
      </c>
      <c r="K297" s="11">
        <f t="shared" si="170"/>
        <v>25</v>
      </c>
      <c r="L297" s="11">
        <f t="shared" si="170"/>
        <v>25</v>
      </c>
      <c r="M297" s="11">
        <f t="shared" si="170"/>
        <v>0</v>
      </c>
      <c r="N297" s="7">
        <f t="shared" si="157"/>
        <v>0</v>
      </c>
    </row>
    <row r="298" spans="1:14" ht="31.5" x14ac:dyDescent="0.25">
      <c r="A298" s="31" t="s">
        <v>184</v>
      </c>
      <c r="B298" s="6" t="s">
        <v>231</v>
      </c>
      <c r="C298" s="42" t="s">
        <v>169</v>
      </c>
      <c r="D298" s="42" t="s">
        <v>191</v>
      </c>
      <c r="E298" s="42" t="s">
        <v>185</v>
      </c>
      <c r="F298" s="42"/>
      <c r="G298" s="11">
        <f>'Прил.№4 ведомств.'!G91</f>
        <v>15</v>
      </c>
      <c r="H298" s="11">
        <f>'Прил.№4 ведомств.'!I91</f>
        <v>15</v>
      </c>
      <c r="I298" s="11">
        <f>'Прил.№4 ведомств.'!J91</f>
        <v>25</v>
      </c>
      <c r="J298" s="11">
        <f>'Прил.№4 ведомств.'!K91</f>
        <v>25</v>
      </c>
      <c r="K298" s="11">
        <f>'Прил.№4 ведомств.'!L91</f>
        <v>25</v>
      </c>
      <c r="L298" s="11">
        <f>'Прил.№4 ведомств.'!M91</f>
        <v>25</v>
      </c>
      <c r="M298" s="11">
        <f>'Прил.№4 ведомств.'!N91</f>
        <v>0</v>
      </c>
      <c r="N298" s="7">
        <f t="shared" si="157"/>
        <v>0</v>
      </c>
    </row>
    <row r="299" spans="1:14" ht="15.75" x14ac:dyDescent="0.25">
      <c r="A299" s="31" t="s">
        <v>199</v>
      </c>
      <c r="B299" s="6" t="s">
        <v>229</v>
      </c>
      <c r="C299" s="42" t="s">
        <v>169</v>
      </c>
      <c r="D299" s="42" t="s">
        <v>191</v>
      </c>
      <c r="E299" s="42"/>
      <c r="F299" s="42" t="s">
        <v>718</v>
      </c>
      <c r="G299" s="11">
        <f>G293</f>
        <v>15</v>
      </c>
      <c r="H299" s="11">
        <f t="shared" ref="H299:L299" si="171">H293</f>
        <v>15</v>
      </c>
      <c r="I299" s="11">
        <f t="shared" si="171"/>
        <v>25</v>
      </c>
      <c r="J299" s="11">
        <f t="shared" si="171"/>
        <v>25</v>
      </c>
      <c r="K299" s="11">
        <f t="shared" si="171"/>
        <v>25</v>
      </c>
      <c r="L299" s="11">
        <f t="shared" si="171"/>
        <v>25</v>
      </c>
      <c r="M299" s="11">
        <f t="shared" ref="M299" si="172">M293</f>
        <v>0</v>
      </c>
      <c r="N299" s="7">
        <f t="shared" si="157"/>
        <v>0</v>
      </c>
    </row>
    <row r="300" spans="1:14" ht="69" customHeight="1" x14ac:dyDescent="0.25">
      <c r="A300" s="43" t="s">
        <v>533</v>
      </c>
      <c r="B300" s="3" t="s">
        <v>534</v>
      </c>
      <c r="C300" s="80"/>
      <c r="D300" s="80"/>
      <c r="E300" s="80"/>
      <c r="F300" s="80"/>
      <c r="G300" s="4">
        <f t="shared" ref="G300:L300" si="173">G302+G329+G353</f>
        <v>36478.9</v>
      </c>
      <c r="H300" s="4">
        <f t="shared" si="173"/>
        <v>41702</v>
      </c>
      <c r="I300" s="4">
        <f t="shared" si="173"/>
        <v>72379.399999999994</v>
      </c>
      <c r="J300" s="4">
        <f t="shared" si="173"/>
        <v>74277.600000000006</v>
      </c>
      <c r="K300" s="4">
        <f t="shared" si="173"/>
        <v>75462.8</v>
      </c>
      <c r="L300" s="4">
        <f t="shared" si="173"/>
        <v>54009.2</v>
      </c>
      <c r="M300" s="4">
        <f t="shared" ref="M300" si="174">M302+M329+M353</f>
        <v>35362.800000000003</v>
      </c>
      <c r="N300" s="4">
        <f t="shared" si="157"/>
        <v>65.475511579508677</v>
      </c>
    </row>
    <row r="301" spans="1:14" ht="63" x14ac:dyDescent="0.25">
      <c r="A301" s="43" t="s">
        <v>719</v>
      </c>
      <c r="B301" s="3" t="s">
        <v>536</v>
      </c>
      <c r="C301" s="81"/>
      <c r="D301" s="81"/>
      <c r="E301" s="81"/>
      <c r="F301" s="81"/>
      <c r="G301" s="68">
        <f>G302</f>
        <v>10758</v>
      </c>
      <c r="H301" s="68">
        <f t="shared" ref="H301:M302" si="175">H302</f>
        <v>10758</v>
      </c>
      <c r="I301" s="68">
        <f t="shared" si="175"/>
        <v>16464.5</v>
      </c>
      <c r="J301" s="68">
        <f t="shared" si="175"/>
        <v>16607.3</v>
      </c>
      <c r="K301" s="68">
        <f t="shared" si="175"/>
        <v>16742.599999999999</v>
      </c>
      <c r="L301" s="68">
        <f t="shared" si="175"/>
        <v>11848.7</v>
      </c>
      <c r="M301" s="68">
        <f t="shared" si="175"/>
        <v>8779.1</v>
      </c>
      <c r="N301" s="4">
        <f t="shared" si="157"/>
        <v>74.093360453045477</v>
      </c>
    </row>
    <row r="302" spans="1:14" ht="15.75" x14ac:dyDescent="0.25">
      <c r="A302" s="31" t="s">
        <v>314</v>
      </c>
      <c r="B302" s="42" t="s">
        <v>536</v>
      </c>
      <c r="C302" s="42" t="s">
        <v>315</v>
      </c>
      <c r="D302" s="80"/>
      <c r="E302" s="80"/>
      <c r="F302" s="80"/>
      <c r="G302" s="11">
        <f>G303</f>
        <v>10758</v>
      </c>
      <c r="H302" s="11">
        <f t="shared" si="175"/>
        <v>10758</v>
      </c>
      <c r="I302" s="11">
        <f t="shared" si="175"/>
        <v>16464.5</v>
      </c>
      <c r="J302" s="11">
        <f t="shared" si="175"/>
        <v>16607.3</v>
      </c>
      <c r="K302" s="11">
        <f t="shared" si="175"/>
        <v>16742.599999999999</v>
      </c>
      <c r="L302" s="11">
        <f t="shared" si="175"/>
        <v>11848.7</v>
      </c>
      <c r="M302" s="11">
        <f t="shared" si="175"/>
        <v>8779.1</v>
      </c>
      <c r="N302" s="7">
        <f t="shared" si="157"/>
        <v>74.093360453045477</v>
      </c>
    </row>
    <row r="303" spans="1:14" ht="15.75" x14ac:dyDescent="0.25">
      <c r="A303" s="31" t="s">
        <v>316</v>
      </c>
      <c r="B303" s="42" t="s">
        <v>536</v>
      </c>
      <c r="C303" s="42" t="s">
        <v>315</v>
      </c>
      <c r="D303" s="42" t="s">
        <v>266</v>
      </c>
      <c r="E303" s="80"/>
      <c r="F303" s="80"/>
      <c r="G303" s="11">
        <f>G304+G319+G322+G325</f>
        <v>10758</v>
      </c>
      <c r="H303" s="11">
        <f t="shared" ref="H303:L303" si="176">H304+H319+H322+H325</f>
        <v>10758</v>
      </c>
      <c r="I303" s="11">
        <f t="shared" si="176"/>
        <v>16464.5</v>
      </c>
      <c r="J303" s="11">
        <f t="shared" si="176"/>
        <v>16607.3</v>
      </c>
      <c r="K303" s="11">
        <f t="shared" si="176"/>
        <v>16742.599999999999</v>
      </c>
      <c r="L303" s="11">
        <f t="shared" si="176"/>
        <v>11848.7</v>
      </c>
      <c r="M303" s="11">
        <f t="shared" ref="M303" si="177">M304+M319+M322+M325</f>
        <v>8779.1</v>
      </c>
      <c r="N303" s="7">
        <f t="shared" si="157"/>
        <v>74.093360453045477</v>
      </c>
    </row>
    <row r="304" spans="1:14" ht="47.25" x14ac:dyDescent="0.25">
      <c r="A304" s="31" t="s">
        <v>321</v>
      </c>
      <c r="B304" s="42" t="s">
        <v>537</v>
      </c>
      <c r="C304" s="42" t="s">
        <v>315</v>
      </c>
      <c r="D304" s="42" t="s">
        <v>266</v>
      </c>
      <c r="E304" s="80"/>
      <c r="F304" s="80"/>
      <c r="G304" s="11">
        <f>G305</f>
        <v>10722</v>
      </c>
      <c r="H304" s="11">
        <f t="shared" ref="H304:M305" si="178">H305</f>
        <v>10722</v>
      </c>
      <c r="I304" s="11">
        <f t="shared" si="178"/>
        <v>15788.3</v>
      </c>
      <c r="J304" s="11">
        <f t="shared" si="178"/>
        <v>15931.1</v>
      </c>
      <c r="K304" s="11">
        <f t="shared" si="178"/>
        <v>16066.4</v>
      </c>
      <c r="L304" s="11">
        <f t="shared" si="178"/>
        <v>11390.5</v>
      </c>
      <c r="M304" s="11">
        <f t="shared" si="178"/>
        <v>8398.5</v>
      </c>
      <c r="N304" s="7">
        <f t="shared" si="157"/>
        <v>73.732496378561081</v>
      </c>
    </row>
    <row r="305" spans="1:14" ht="31.5" x14ac:dyDescent="0.25">
      <c r="A305" s="31" t="s">
        <v>323</v>
      </c>
      <c r="B305" s="42" t="s">
        <v>537</v>
      </c>
      <c r="C305" s="42" t="s">
        <v>315</v>
      </c>
      <c r="D305" s="42" t="s">
        <v>266</v>
      </c>
      <c r="E305" s="42" t="s">
        <v>324</v>
      </c>
      <c r="F305" s="80"/>
      <c r="G305" s="11">
        <f>G306</f>
        <v>10722</v>
      </c>
      <c r="H305" s="11">
        <f t="shared" si="178"/>
        <v>10722</v>
      </c>
      <c r="I305" s="11">
        <f t="shared" si="178"/>
        <v>15788.3</v>
      </c>
      <c r="J305" s="11">
        <f t="shared" si="178"/>
        <v>15931.1</v>
      </c>
      <c r="K305" s="11">
        <f t="shared" si="178"/>
        <v>16066.4</v>
      </c>
      <c r="L305" s="11">
        <f t="shared" si="178"/>
        <v>11390.5</v>
      </c>
      <c r="M305" s="11">
        <f t="shared" si="178"/>
        <v>8398.5</v>
      </c>
      <c r="N305" s="7">
        <f t="shared" si="157"/>
        <v>73.732496378561081</v>
      </c>
    </row>
    <row r="306" spans="1:14" ht="15.75" x14ac:dyDescent="0.25">
      <c r="A306" s="31" t="s">
        <v>325</v>
      </c>
      <c r="B306" s="42" t="s">
        <v>537</v>
      </c>
      <c r="C306" s="42" t="s">
        <v>315</v>
      </c>
      <c r="D306" s="42" t="s">
        <v>266</v>
      </c>
      <c r="E306" s="42" t="s">
        <v>326</v>
      </c>
      <c r="F306" s="80"/>
      <c r="G306" s="11">
        <f>'Прил.№4 ведомств.'!G794</f>
        <v>10722</v>
      </c>
      <c r="H306" s="11">
        <f>'Прил.№4 ведомств.'!I794</f>
        <v>10722</v>
      </c>
      <c r="I306" s="11">
        <f>'Прил.№4 ведомств.'!J794</f>
        <v>15788.3</v>
      </c>
      <c r="J306" s="11">
        <f>'Прил.№4 ведомств.'!K794</f>
        <v>15931.1</v>
      </c>
      <c r="K306" s="11">
        <f>'Прил.№4 ведомств.'!L794</f>
        <v>16066.4</v>
      </c>
      <c r="L306" s="11">
        <f>'Прил.№4 ведомств.'!M794</f>
        <v>11390.5</v>
      </c>
      <c r="M306" s="11">
        <f>'Прил.№4 ведомств.'!N794</f>
        <v>8398.5</v>
      </c>
      <c r="N306" s="7">
        <f t="shared" si="157"/>
        <v>73.732496378561081</v>
      </c>
    </row>
    <row r="307" spans="1:14" ht="78.75" hidden="1" customHeight="1" x14ac:dyDescent="0.25">
      <c r="A307" s="31" t="s">
        <v>657</v>
      </c>
      <c r="B307" s="42" t="s">
        <v>720</v>
      </c>
      <c r="C307" s="42" t="s">
        <v>315</v>
      </c>
      <c r="D307" s="42" t="s">
        <v>266</v>
      </c>
      <c r="E307" s="42"/>
      <c r="F307" s="80"/>
      <c r="G307" s="11">
        <f>G308</f>
        <v>0</v>
      </c>
      <c r="H307" s="11">
        <f t="shared" ref="H307:M309" si="179">H308</f>
        <v>0</v>
      </c>
      <c r="I307" s="11">
        <f t="shared" si="179"/>
        <v>0</v>
      </c>
      <c r="J307" s="11">
        <f t="shared" si="179"/>
        <v>0</v>
      </c>
      <c r="K307" s="11">
        <f t="shared" si="179"/>
        <v>0</v>
      </c>
      <c r="L307" s="11">
        <f t="shared" si="179"/>
        <v>0</v>
      </c>
      <c r="M307" s="11">
        <f t="shared" si="179"/>
        <v>0</v>
      </c>
      <c r="N307" s="7" t="e">
        <f t="shared" si="157"/>
        <v>#DIV/0!</v>
      </c>
    </row>
    <row r="308" spans="1:14" ht="31.5" hidden="1" x14ac:dyDescent="0.25">
      <c r="A308" s="31" t="s">
        <v>323</v>
      </c>
      <c r="B308" s="42" t="s">
        <v>720</v>
      </c>
      <c r="C308" s="42" t="s">
        <v>315</v>
      </c>
      <c r="D308" s="42" t="s">
        <v>266</v>
      </c>
      <c r="E308" s="42" t="s">
        <v>324</v>
      </c>
      <c r="F308" s="80"/>
      <c r="G308" s="11">
        <f>G309</f>
        <v>0</v>
      </c>
      <c r="H308" s="11">
        <f t="shared" si="179"/>
        <v>0</v>
      </c>
      <c r="I308" s="11">
        <f t="shared" si="179"/>
        <v>0</v>
      </c>
      <c r="J308" s="11">
        <f t="shared" si="179"/>
        <v>0</v>
      </c>
      <c r="K308" s="11">
        <f t="shared" si="179"/>
        <v>0</v>
      </c>
      <c r="L308" s="11">
        <f t="shared" si="179"/>
        <v>0</v>
      </c>
      <c r="M308" s="11">
        <f t="shared" si="179"/>
        <v>0</v>
      </c>
      <c r="N308" s="7" t="e">
        <f t="shared" si="157"/>
        <v>#DIV/0!</v>
      </c>
    </row>
    <row r="309" spans="1:14" ht="15.75" hidden="1" x14ac:dyDescent="0.25">
      <c r="A309" s="31" t="s">
        <v>325</v>
      </c>
      <c r="B309" s="42" t="s">
        <v>720</v>
      </c>
      <c r="C309" s="42" t="s">
        <v>315</v>
      </c>
      <c r="D309" s="42" t="s">
        <v>266</v>
      </c>
      <c r="E309" s="42" t="s">
        <v>326</v>
      </c>
      <c r="F309" s="80"/>
      <c r="G309" s="11">
        <f>G310</f>
        <v>0</v>
      </c>
      <c r="H309" s="11">
        <f t="shared" si="179"/>
        <v>0</v>
      </c>
      <c r="I309" s="11">
        <f t="shared" si="179"/>
        <v>0</v>
      </c>
      <c r="J309" s="11">
        <f t="shared" si="179"/>
        <v>0</v>
      </c>
      <c r="K309" s="11">
        <f t="shared" si="179"/>
        <v>0</v>
      </c>
      <c r="L309" s="11">
        <f t="shared" si="179"/>
        <v>0</v>
      </c>
      <c r="M309" s="11">
        <f t="shared" si="179"/>
        <v>0</v>
      </c>
      <c r="N309" s="7" t="e">
        <f t="shared" si="157"/>
        <v>#DIV/0!</v>
      </c>
    </row>
    <row r="310" spans="1:14" ht="31.5" hidden="1" x14ac:dyDescent="0.25">
      <c r="A310" s="48" t="s">
        <v>532</v>
      </c>
      <c r="B310" s="42" t="s">
        <v>720</v>
      </c>
      <c r="C310" s="42" t="s">
        <v>315</v>
      </c>
      <c r="D310" s="42" t="s">
        <v>266</v>
      </c>
      <c r="E310" s="42"/>
      <c r="F310" s="2">
        <v>907</v>
      </c>
      <c r="G310" s="11">
        <f>1500-1500</f>
        <v>0</v>
      </c>
      <c r="H310" s="11">
        <f t="shared" ref="H310:M310" si="180">1500-1500</f>
        <v>0</v>
      </c>
      <c r="I310" s="11">
        <f t="shared" si="180"/>
        <v>0</v>
      </c>
      <c r="J310" s="11">
        <f t="shared" si="180"/>
        <v>0</v>
      </c>
      <c r="K310" s="11">
        <f t="shared" si="180"/>
        <v>0</v>
      </c>
      <c r="L310" s="11">
        <f t="shared" si="180"/>
        <v>0</v>
      </c>
      <c r="M310" s="11">
        <f t="shared" si="180"/>
        <v>0</v>
      </c>
      <c r="N310" s="7" t="e">
        <f t="shared" si="157"/>
        <v>#DIV/0!</v>
      </c>
    </row>
    <row r="311" spans="1:14" ht="31.5" hidden="1" x14ac:dyDescent="0.25">
      <c r="A311" s="31" t="s">
        <v>329</v>
      </c>
      <c r="B311" s="42" t="s">
        <v>721</v>
      </c>
      <c r="C311" s="42" t="s">
        <v>315</v>
      </c>
      <c r="D311" s="42" t="s">
        <v>266</v>
      </c>
      <c r="E311" s="42"/>
      <c r="F311" s="80"/>
      <c r="G311" s="11">
        <f>G312</f>
        <v>0</v>
      </c>
      <c r="H311" s="11">
        <f t="shared" ref="H311:M312" si="181">H312</f>
        <v>0</v>
      </c>
      <c r="I311" s="11">
        <f t="shared" si="181"/>
        <v>0</v>
      </c>
      <c r="J311" s="11">
        <f t="shared" si="181"/>
        <v>0</v>
      </c>
      <c r="K311" s="11">
        <f t="shared" si="181"/>
        <v>0</v>
      </c>
      <c r="L311" s="11">
        <f t="shared" si="181"/>
        <v>0</v>
      </c>
      <c r="M311" s="11">
        <f t="shared" si="181"/>
        <v>0</v>
      </c>
      <c r="N311" s="7" t="e">
        <f t="shared" si="157"/>
        <v>#DIV/0!</v>
      </c>
    </row>
    <row r="312" spans="1:14" ht="31.5" hidden="1" x14ac:dyDescent="0.25">
      <c r="A312" s="31" t="s">
        <v>323</v>
      </c>
      <c r="B312" s="42" t="s">
        <v>721</v>
      </c>
      <c r="C312" s="42" t="s">
        <v>315</v>
      </c>
      <c r="D312" s="42" t="s">
        <v>266</v>
      </c>
      <c r="E312" s="42" t="s">
        <v>324</v>
      </c>
      <c r="F312" s="80"/>
      <c r="G312" s="11">
        <f>G313</f>
        <v>0</v>
      </c>
      <c r="H312" s="11">
        <f t="shared" si="181"/>
        <v>0</v>
      </c>
      <c r="I312" s="11">
        <f t="shared" si="181"/>
        <v>0</v>
      </c>
      <c r="J312" s="11">
        <f t="shared" si="181"/>
        <v>0</v>
      </c>
      <c r="K312" s="11">
        <f t="shared" si="181"/>
        <v>0</v>
      </c>
      <c r="L312" s="11">
        <f t="shared" si="181"/>
        <v>0</v>
      </c>
      <c r="M312" s="11">
        <f t="shared" si="181"/>
        <v>0</v>
      </c>
      <c r="N312" s="7" t="e">
        <f t="shared" si="157"/>
        <v>#DIV/0!</v>
      </c>
    </row>
    <row r="313" spans="1:14" ht="15.75" hidden="1" x14ac:dyDescent="0.25">
      <c r="A313" s="31" t="s">
        <v>325</v>
      </c>
      <c r="B313" s="42" t="s">
        <v>721</v>
      </c>
      <c r="C313" s="42" t="s">
        <v>315</v>
      </c>
      <c r="D313" s="42" t="s">
        <v>266</v>
      </c>
      <c r="E313" s="42" t="s">
        <v>326</v>
      </c>
      <c r="F313" s="80"/>
      <c r="G313" s="11"/>
      <c r="H313" s="11"/>
      <c r="I313" s="11"/>
      <c r="J313" s="11"/>
      <c r="K313" s="11"/>
      <c r="L313" s="11"/>
      <c r="M313" s="11"/>
      <c r="N313" s="7" t="e">
        <f t="shared" si="157"/>
        <v>#DIV/0!</v>
      </c>
    </row>
    <row r="314" spans="1:14" ht="31.5" hidden="1" x14ac:dyDescent="0.25">
      <c r="A314" s="48" t="s">
        <v>532</v>
      </c>
      <c r="B314" s="42" t="s">
        <v>721</v>
      </c>
      <c r="C314" s="42" t="s">
        <v>315</v>
      </c>
      <c r="D314" s="42" t="s">
        <v>266</v>
      </c>
      <c r="E314" s="42"/>
      <c r="F314" s="2">
        <v>907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7" t="e">
        <f t="shared" si="157"/>
        <v>#DIV/0!</v>
      </c>
    </row>
    <row r="315" spans="1:14" ht="31.5" hidden="1" x14ac:dyDescent="0.25">
      <c r="A315" s="31" t="s">
        <v>331</v>
      </c>
      <c r="B315" s="42" t="s">
        <v>722</v>
      </c>
      <c r="C315" s="42" t="s">
        <v>315</v>
      </c>
      <c r="D315" s="42" t="s">
        <v>266</v>
      </c>
      <c r="E315" s="42"/>
      <c r="F315" s="80"/>
      <c r="G315" s="11">
        <f>G316</f>
        <v>0</v>
      </c>
      <c r="H315" s="11">
        <f t="shared" ref="H315:M316" si="182">H316</f>
        <v>0</v>
      </c>
      <c r="I315" s="11">
        <f t="shared" si="182"/>
        <v>0</v>
      </c>
      <c r="J315" s="11">
        <f t="shared" si="182"/>
        <v>0</v>
      </c>
      <c r="K315" s="11">
        <f t="shared" si="182"/>
        <v>0</v>
      </c>
      <c r="L315" s="11">
        <f t="shared" si="182"/>
        <v>0</v>
      </c>
      <c r="M315" s="11">
        <f t="shared" si="182"/>
        <v>0</v>
      </c>
      <c r="N315" s="7" t="e">
        <f t="shared" si="157"/>
        <v>#DIV/0!</v>
      </c>
    </row>
    <row r="316" spans="1:14" ht="31.5" hidden="1" x14ac:dyDescent="0.25">
      <c r="A316" s="31" t="s">
        <v>323</v>
      </c>
      <c r="B316" s="42" t="s">
        <v>722</v>
      </c>
      <c r="C316" s="42" t="s">
        <v>315</v>
      </c>
      <c r="D316" s="42" t="s">
        <v>266</v>
      </c>
      <c r="E316" s="42" t="s">
        <v>324</v>
      </c>
      <c r="F316" s="80"/>
      <c r="G316" s="11">
        <f>G317</f>
        <v>0</v>
      </c>
      <c r="H316" s="11">
        <f t="shared" si="182"/>
        <v>0</v>
      </c>
      <c r="I316" s="11">
        <f t="shared" si="182"/>
        <v>0</v>
      </c>
      <c r="J316" s="11">
        <f t="shared" si="182"/>
        <v>0</v>
      </c>
      <c r="K316" s="11">
        <f t="shared" si="182"/>
        <v>0</v>
      </c>
      <c r="L316" s="11">
        <f t="shared" si="182"/>
        <v>0</v>
      </c>
      <c r="M316" s="11">
        <f t="shared" si="182"/>
        <v>0</v>
      </c>
      <c r="N316" s="7" t="e">
        <f t="shared" si="157"/>
        <v>#DIV/0!</v>
      </c>
    </row>
    <row r="317" spans="1:14" ht="15.75" hidden="1" x14ac:dyDescent="0.25">
      <c r="A317" s="31" t="s">
        <v>325</v>
      </c>
      <c r="B317" s="42" t="s">
        <v>722</v>
      </c>
      <c r="C317" s="42" t="s">
        <v>315</v>
      </c>
      <c r="D317" s="42" t="s">
        <v>266</v>
      </c>
      <c r="E317" s="42" t="s">
        <v>326</v>
      </c>
      <c r="F317" s="80"/>
      <c r="G317" s="11"/>
      <c r="H317" s="11"/>
      <c r="I317" s="11"/>
      <c r="J317" s="11"/>
      <c r="K317" s="11"/>
      <c r="L317" s="11"/>
      <c r="M317" s="11"/>
      <c r="N317" s="7" t="e">
        <f t="shared" si="157"/>
        <v>#DIV/0!</v>
      </c>
    </row>
    <row r="318" spans="1:14" ht="31.5" hidden="1" x14ac:dyDescent="0.25">
      <c r="A318" s="48" t="s">
        <v>532</v>
      </c>
      <c r="B318" s="42" t="s">
        <v>722</v>
      </c>
      <c r="C318" s="42" t="s">
        <v>315</v>
      </c>
      <c r="D318" s="42" t="s">
        <v>266</v>
      </c>
      <c r="E318" s="42"/>
      <c r="F318" s="2">
        <v>907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7" t="e">
        <f t="shared" si="157"/>
        <v>#DIV/0!</v>
      </c>
    </row>
    <row r="319" spans="1:14" ht="31.5" x14ac:dyDescent="0.25">
      <c r="A319" s="31" t="s">
        <v>333</v>
      </c>
      <c r="B319" s="42" t="s">
        <v>540</v>
      </c>
      <c r="C319" s="42" t="s">
        <v>315</v>
      </c>
      <c r="D319" s="42" t="s">
        <v>266</v>
      </c>
      <c r="E319" s="42"/>
      <c r="F319" s="80"/>
      <c r="G319" s="11">
        <f>G320</f>
        <v>36</v>
      </c>
      <c r="H319" s="11">
        <f t="shared" ref="H319:M320" si="183">H320</f>
        <v>36</v>
      </c>
      <c r="I319" s="11">
        <f t="shared" si="183"/>
        <v>36</v>
      </c>
      <c r="J319" s="11">
        <f t="shared" si="183"/>
        <v>36</v>
      </c>
      <c r="K319" s="11">
        <f t="shared" si="183"/>
        <v>36</v>
      </c>
      <c r="L319" s="11">
        <f t="shared" si="183"/>
        <v>36</v>
      </c>
      <c r="M319" s="11">
        <f t="shared" si="183"/>
        <v>15.4</v>
      </c>
      <c r="N319" s="7">
        <f t="shared" si="157"/>
        <v>42.777777777777779</v>
      </c>
    </row>
    <row r="320" spans="1:14" ht="31.5" x14ac:dyDescent="0.25">
      <c r="A320" s="31" t="s">
        <v>323</v>
      </c>
      <c r="B320" s="42" t="s">
        <v>540</v>
      </c>
      <c r="C320" s="42" t="s">
        <v>315</v>
      </c>
      <c r="D320" s="42" t="s">
        <v>266</v>
      </c>
      <c r="E320" s="42" t="s">
        <v>324</v>
      </c>
      <c r="F320" s="80"/>
      <c r="G320" s="11">
        <f>G321</f>
        <v>36</v>
      </c>
      <c r="H320" s="11">
        <f t="shared" si="183"/>
        <v>36</v>
      </c>
      <c r="I320" s="11">
        <f t="shared" si="183"/>
        <v>36</v>
      </c>
      <c r="J320" s="11">
        <f t="shared" si="183"/>
        <v>36</v>
      </c>
      <c r="K320" s="11">
        <f t="shared" si="183"/>
        <v>36</v>
      </c>
      <c r="L320" s="11">
        <f t="shared" si="183"/>
        <v>36</v>
      </c>
      <c r="M320" s="11">
        <f t="shared" si="183"/>
        <v>15.4</v>
      </c>
      <c r="N320" s="7">
        <f t="shared" si="157"/>
        <v>42.777777777777779</v>
      </c>
    </row>
    <row r="321" spans="1:14" ht="15.75" x14ac:dyDescent="0.25">
      <c r="A321" s="31" t="s">
        <v>325</v>
      </c>
      <c r="B321" s="42" t="s">
        <v>540</v>
      </c>
      <c r="C321" s="42" t="s">
        <v>315</v>
      </c>
      <c r="D321" s="42" t="s">
        <v>266</v>
      </c>
      <c r="E321" s="42" t="s">
        <v>326</v>
      </c>
      <c r="F321" s="80"/>
      <c r="G321" s="11">
        <f>'Прил.№4 ведомств.'!G803</f>
        <v>36</v>
      </c>
      <c r="H321" s="11">
        <f>'Прил.№4 ведомств.'!I803</f>
        <v>36</v>
      </c>
      <c r="I321" s="11">
        <f>'Прил.№4 ведомств.'!J803</f>
        <v>36</v>
      </c>
      <c r="J321" s="11">
        <f>'Прил.№4 ведомств.'!K803</f>
        <v>36</v>
      </c>
      <c r="K321" s="11">
        <f>'Прил.№4 ведомств.'!L803</f>
        <v>36</v>
      </c>
      <c r="L321" s="11">
        <f>'Прил.№4 ведомств.'!M803</f>
        <v>36</v>
      </c>
      <c r="M321" s="11">
        <f>'Прил.№4 ведомств.'!N803</f>
        <v>15.4</v>
      </c>
      <c r="N321" s="7">
        <f t="shared" si="157"/>
        <v>42.777777777777779</v>
      </c>
    </row>
    <row r="322" spans="1:14" ht="31.5" hidden="1" x14ac:dyDescent="0.25">
      <c r="A322" s="26" t="s">
        <v>335</v>
      </c>
      <c r="B322" s="21" t="s">
        <v>541</v>
      </c>
      <c r="C322" s="42" t="s">
        <v>315</v>
      </c>
      <c r="D322" s="42" t="s">
        <v>266</v>
      </c>
      <c r="E322" s="42"/>
      <c r="F322" s="80"/>
      <c r="G322" s="11">
        <f>G323</f>
        <v>0</v>
      </c>
      <c r="H322" s="11">
        <f t="shared" ref="H322:M323" si="184">H323</f>
        <v>0</v>
      </c>
      <c r="I322" s="11">
        <f t="shared" si="184"/>
        <v>275</v>
      </c>
      <c r="J322" s="11">
        <f t="shared" si="184"/>
        <v>275</v>
      </c>
      <c r="K322" s="11">
        <f t="shared" si="184"/>
        <v>275</v>
      </c>
      <c r="L322" s="11">
        <f t="shared" si="184"/>
        <v>0</v>
      </c>
      <c r="M322" s="11">
        <f t="shared" si="184"/>
        <v>0</v>
      </c>
      <c r="N322" s="7" t="e">
        <f t="shared" si="157"/>
        <v>#DIV/0!</v>
      </c>
    </row>
    <row r="323" spans="1:14" ht="31.5" hidden="1" x14ac:dyDescent="0.25">
      <c r="A323" s="26" t="s">
        <v>323</v>
      </c>
      <c r="B323" s="21" t="s">
        <v>541</v>
      </c>
      <c r="C323" s="42" t="s">
        <v>315</v>
      </c>
      <c r="D323" s="42" t="s">
        <v>266</v>
      </c>
      <c r="E323" s="42" t="s">
        <v>324</v>
      </c>
      <c r="F323" s="80"/>
      <c r="G323" s="11">
        <f>G324</f>
        <v>0</v>
      </c>
      <c r="H323" s="11">
        <f t="shared" si="184"/>
        <v>0</v>
      </c>
      <c r="I323" s="11">
        <f t="shared" si="184"/>
        <v>275</v>
      </c>
      <c r="J323" s="11">
        <f t="shared" si="184"/>
        <v>275</v>
      </c>
      <c r="K323" s="11">
        <f t="shared" si="184"/>
        <v>275</v>
      </c>
      <c r="L323" s="11">
        <f t="shared" si="184"/>
        <v>0</v>
      </c>
      <c r="M323" s="11">
        <f t="shared" si="184"/>
        <v>0</v>
      </c>
      <c r="N323" s="7" t="e">
        <f t="shared" si="157"/>
        <v>#DIV/0!</v>
      </c>
    </row>
    <row r="324" spans="1:14" ht="15.75" hidden="1" x14ac:dyDescent="0.25">
      <c r="A324" s="26" t="s">
        <v>325</v>
      </c>
      <c r="B324" s="21" t="s">
        <v>541</v>
      </c>
      <c r="C324" s="42" t="s">
        <v>315</v>
      </c>
      <c r="D324" s="42" t="s">
        <v>266</v>
      </c>
      <c r="E324" s="42" t="s">
        <v>326</v>
      </c>
      <c r="F324" s="80"/>
      <c r="G324" s="11">
        <f>'Прил.№4 ведомств.'!G806</f>
        <v>0</v>
      </c>
      <c r="H324" s="11">
        <f>'Прил.№4 ведомств.'!I806</f>
        <v>0</v>
      </c>
      <c r="I324" s="11">
        <f>'Прил.№4 ведомств.'!J806</f>
        <v>275</v>
      </c>
      <c r="J324" s="11">
        <f>'Прил.№4 ведомств.'!K806</f>
        <v>275</v>
      </c>
      <c r="K324" s="11">
        <f>'Прил.№4 ведомств.'!L806</f>
        <v>275</v>
      </c>
      <c r="L324" s="11">
        <f>'Прил.№4 ведомств.'!M806</f>
        <v>0</v>
      </c>
      <c r="M324" s="11">
        <f>'Прил.№4 ведомств.'!N806</f>
        <v>0</v>
      </c>
      <c r="N324" s="7" t="e">
        <f t="shared" si="157"/>
        <v>#DIV/0!</v>
      </c>
    </row>
    <row r="325" spans="1:14" ht="31.5" x14ac:dyDescent="0.25">
      <c r="A325" s="47" t="s">
        <v>861</v>
      </c>
      <c r="B325" s="21" t="s">
        <v>868</v>
      </c>
      <c r="C325" s="42" t="s">
        <v>315</v>
      </c>
      <c r="D325" s="42" t="s">
        <v>266</v>
      </c>
      <c r="E325" s="42"/>
      <c r="F325" s="80"/>
      <c r="G325" s="11">
        <f>G326</f>
        <v>0</v>
      </c>
      <c r="H325" s="11">
        <f t="shared" ref="H325:M326" si="185">H326</f>
        <v>0</v>
      </c>
      <c r="I325" s="11">
        <f t="shared" si="185"/>
        <v>365.2</v>
      </c>
      <c r="J325" s="11">
        <f t="shared" si="185"/>
        <v>365.2</v>
      </c>
      <c r="K325" s="11">
        <f t="shared" si="185"/>
        <v>365.2</v>
      </c>
      <c r="L325" s="11">
        <f t="shared" si="185"/>
        <v>422.2</v>
      </c>
      <c r="M325" s="11">
        <f t="shared" si="185"/>
        <v>365.2</v>
      </c>
      <c r="N325" s="7">
        <f t="shared" si="157"/>
        <v>86.499289436286119</v>
      </c>
    </row>
    <row r="326" spans="1:14" ht="31.5" x14ac:dyDescent="0.25">
      <c r="A326" s="33" t="s">
        <v>323</v>
      </c>
      <c r="B326" s="21" t="s">
        <v>868</v>
      </c>
      <c r="C326" s="42" t="s">
        <v>315</v>
      </c>
      <c r="D326" s="42" t="s">
        <v>266</v>
      </c>
      <c r="E326" s="42" t="s">
        <v>324</v>
      </c>
      <c r="F326" s="80"/>
      <c r="G326" s="11">
        <f>G327</f>
        <v>0</v>
      </c>
      <c r="H326" s="11">
        <f t="shared" si="185"/>
        <v>0</v>
      </c>
      <c r="I326" s="11">
        <f t="shared" si="185"/>
        <v>365.2</v>
      </c>
      <c r="J326" s="11">
        <f t="shared" si="185"/>
        <v>365.2</v>
      </c>
      <c r="K326" s="11">
        <f t="shared" si="185"/>
        <v>365.2</v>
      </c>
      <c r="L326" s="11">
        <f t="shared" si="185"/>
        <v>422.2</v>
      </c>
      <c r="M326" s="11">
        <f t="shared" si="185"/>
        <v>365.2</v>
      </c>
      <c r="N326" s="7">
        <f t="shared" si="157"/>
        <v>86.499289436286119</v>
      </c>
    </row>
    <row r="327" spans="1:14" ht="15.75" x14ac:dyDescent="0.25">
      <c r="A327" s="33" t="s">
        <v>325</v>
      </c>
      <c r="B327" s="21" t="s">
        <v>868</v>
      </c>
      <c r="C327" s="42" t="s">
        <v>315</v>
      </c>
      <c r="D327" s="42" t="s">
        <v>266</v>
      </c>
      <c r="E327" s="42" t="s">
        <v>326</v>
      </c>
      <c r="F327" s="80"/>
      <c r="G327" s="11">
        <f>'Прил.№4 ведомств.'!G809</f>
        <v>0</v>
      </c>
      <c r="H327" s="11">
        <f>'Прил.№4 ведомств.'!I809</f>
        <v>0</v>
      </c>
      <c r="I327" s="11">
        <f>'Прил.№4 ведомств.'!J809</f>
        <v>365.2</v>
      </c>
      <c r="J327" s="11">
        <f>'Прил.№4 ведомств.'!K809</f>
        <v>365.2</v>
      </c>
      <c r="K327" s="11">
        <f>'Прил.№4 ведомств.'!L809</f>
        <v>365.2</v>
      </c>
      <c r="L327" s="11">
        <f>'Прил.№4 ведомств.'!M809</f>
        <v>422.2</v>
      </c>
      <c r="M327" s="11">
        <f>'Прил.№4 ведомств.'!N809</f>
        <v>365.2</v>
      </c>
      <c r="N327" s="7">
        <f t="shared" si="157"/>
        <v>86.499289436286119</v>
      </c>
    </row>
    <row r="328" spans="1:14" ht="58.5" customHeight="1" x14ac:dyDescent="0.25">
      <c r="A328" s="82" t="s">
        <v>532</v>
      </c>
      <c r="B328" s="42" t="s">
        <v>536</v>
      </c>
      <c r="C328" s="42" t="s">
        <v>315</v>
      </c>
      <c r="D328" s="42" t="s">
        <v>266</v>
      </c>
      <c r="E328" s="42"/>
      <c r="F328" s="2">
        <v>907</v>
      </c>
      <c r="G328" s="11">
        <f>G301</f>
        <v>10758</v>
      </c>
      <c r="H328" s="11">
        <f t="shared" ref="H328:L328" si="186">H301</f>
        <v>10758</v>
      </c>
      <c r="I328" s="11">
        <f t="shared" si="186"/>
        <v>16464.5</v>
      </c>
      <c r="J328" s="11">
        <f t="shared" si="186"/>
        <v>16607.3</v>
      </c>
      <c r="K328" s="11">
        <f t="shared" si="186"/>
        <v>16742.599999999999</v>
      </c>
      <c r="L328" s="11">
        <f t="shared" si="186"/>
        <v>11848.7</v>
      </c>
      <c r="M328" s="11">
        <f t="shared" ref="M328" si="187">M301</f>
        <v>8779.1</v>
      </c>
      <c r="N328" s="7">
        <f t="shared" si="157"/>
        <v>74.093360453045477</v>
      </c>
    </row>
    <row r="329" spans="1:14" ht="47.25" x14ac:dyDescent="0.25">
      <c r="A329" s="64" t="s">
        <v>545</v>
      </c>
      <c r="B329" s="8" t="s">
        <v>546</v>
      </c>
      <c r="C329" s="8"/>
      <c r="D329" s="8"/>
      <c r="E329" s="8"/>
      <c r="F329" s="3"/>
      <c r="G329" s="68">
        <f>G330</f>
        <v>22673.9</v>
      </c>
      <c r="H329" s="68">
        <f t="shared" ref="H329:M330" si="188">H330</f>
        <v>27897</v>
      </c>
      <c r="I329" s="68">
        <f t="shared" si="188"/>
        <v>52737</v>
      </c>
      <c r="J329" s="68">
        <f t="shared" si="188"/>
        <v>54355.7</v>
      </c>
      <c r="K329" s="68">
        <f t="shared" si="188"/>
        <v>55263.1</v>
      </c>
      <c r="L329" s="68">
        <f t="shared" si="188"/>
        <v>39760.5</v>
      </c>
      <c r="M329" s="68">
        <f t="shared" si="188"/>
        <v>24929.300000000003</v>
      </c>
      <c r="N329" s="4">
        <f t="shared" si="157"/>
        <v>62.698658216068715</v>
      </c>
    </row>
    <row r="330" spans="1:14" ht="15.75" x14ac:dyDescent="0.25">
      <c r="A330" s="31" t="s">
        <v>542</v>
      </c>
      <c r="B330" s="42" t="s">
        <v>546</v>
      </c>
      <c r="C330" s="2">
        <v>11</v>
      </c>
      <c r="D330" s="80"/>
      <c r="E330" s="80"/>
      <c r="F330" s="80"/>
      <c r="G330" s="11">
        <f>G331</f>
        <v>22673.9</v>
      </c>
      <c r="H330" s="11">
        <f t="shared" si="188"/>
        <v>27897</v>
      </c>
      <c r="I330" s="11">
        <f t="shared" si="188"/>
        <v>52737</v>
      </c>
      <c r="J330" s="11">
        <f t="shared" si="188"/>
        <v>54355.7</v>
      </c>
      <c r="K330" s="11">
        <f t="shared" si="188"/>
        <v>55263.1</v>
      </c>
      <c r="L330" s="11">
        <f t="shared" si="188"/>
        <v>39760.5</v>
      </c>
      <c r="M330" s="11">
        <f t="shared" si="188"/>
        <v>24929.300000000003</v>
      </c>
      <c r="N330" s="7">
        <f t="shared" si="157"/>
        <v>62.698658216068715</v>
      </c>
    </row>
    <row r="331" spans="1:14" ht="20.25" customHeight="1" x14ac:dyDescent="0.25">
      <c r="A331" s="31" t="s">
        <v>544</v>
      </c>
      <c r="B331" s="42" t="s">
        <v>546</v>
      </c>
      <c r="C331" s="42" t="s">
        <v>543</v>
      </c>
      <c r="D331" s="42" t="s">
        <v>169</v>
      </c>
      <c r="E331" s="83"/>
      <c r="F331" s="6"/>
      <c r="G331" s="11">
        <f>G332+G336+G340+G343+G346+G349</f>
        <v>22673.9</v>
      </c>
      <c r="H331" s="11">
        <f t="shared" ref="H331:L331" si="189">H332+H336+H340+H343+H346+H349</f>
        <v>27897</v>
      </c>
      <c r="I331" s="11">
        <f t="shared" si="189"/>
        <v>52737</v>
      </c>
      <c r="J331" s="11">
        <f t="shared" si="189"/>
        <v>54355.7</v>
      </c>
      <c r="K331" s="11">
        <f t="shared" si="189"/>
        <v>55263.1</v>
      </c>
      <c r="L331" s="11">
        <f t="shared" si="189"/>
        <v>39760.5</v>
      </c>
      <c r="M331" s="11">
        <f t="shared" ref="M331" si="190">M332+M336+M340+M343+M346+M349</f>
        <v>24929.300000000003</v>
      </c>
      <c r="N331" s="7">
        <f t="shared" si="157"/>
        <v>62.698658216068715</v>
      </c>
    </row>
    <row r="332" spans="1:14" ht="31.5" x14ac:dyDescent="0.25">
      <c r="A332" s="31" t="s">
        <v>547</v>
      </c>
      <c r="B332" s="42" t="s">
        <v>548</v>
      </c>
      <c r="C332" s="42" t="s">
        <v>543</v>
      </c>
      <c r="D332" s="42" t="s">
        <v>169</v>
      </c>
      <c r="E332" s="83"/>
      <c r="F332" s="6"/>
      <c r="G332" s="11">
        <f>G333</f>
        <v>22376.400000000001</v>
      </c>
      <c r="H332" s="11">
        <f t="shared" ref="H332:M333" si="191">H333</f>
        <v>27599.5</v>
      </c>
      <c r="I332" s="11">
        <f t="shared" si="191"/>
        <v>50955.8</v>
      </c>
      <c r="J332" s="11">
        <f t="shared" si="191"/>
        <v>52684.5</v>
      </c>
      <c r="K332" s="11">
        <f t="shared" si="191"/>
        <v>54166.9</v>
      </c>
      <c r="L332" s="11">
        <f t="shared" si="191"/>
        <v>38540.600000000006</v>
      </c>
      <c r="M332" s="11">
        <f t="shared" si="191"/>
        <v>23709.4</v>
      </c>
      <c r="N332" s="7">
        <f t="shared" si="157"/>
        <v>61.51798363284432</v>
      </c>
    </row>
    <row r="333" spans="1:14" ht="31.5" x14ac:dyDescent="0.25">
      <c r="A333" s="31" t="s">
        <v>323</v>
      </c>
      <c r="B333" s="42" t="s">
        <v>548</v>
      </c>
      <c r="C333" s="42" t="s">
        <v>543</v>
      </c>
      <c r="D333" s="42" t="s">
        <v>169</v>
      </c>
      <c r="E333" s="42" t="s">
        <v>324</v>
      </c>
      <c r="F333" s="6"/>
      <c r="G333" s="11">
        <f>G334</f>
        <v>22376.400000000001</v>
      </c>
      <c r="H333" s="11">
        <f t="shared" si="191"/>
        <v>27599.5</v>
      </c>
      <c r="I333" s="11">
        <f t="shared" si="191"/>
        <v>50955.8</v>
      </c>
      <c r="J333" s="11">
        <f t="shared" si="191"/>
        <v>52684.5</v>
      </c>
      <c r="K333" s="11">
        <f t="shared" si="191"/>
        <v>54166.9</v>
      </c>
      <c r="L333" s="11">
        <f t="shared" si="191"/>
        <v>38540.600000000006</v>
      </c>
      <c r="M333" s="11">
        <f t="shared" si="191"/>
        <v>23709.4</v>
      </c>
      <c r="N333" s="7">
        <f t="shared" ref="N333:N396" si="192">M333/L333*100</f>
        <v>61.51798363284432</v>
      </c>
    </row>
    <row r="334" spans="1:14" ht="15.75" x14ac:dyDescent="0.25">
      <c r="A334" s="31" t="s">
        <v>325</v>
      </c>
      <c r="B334" s="42" t="s">
        <v>548</v>
      </c>
      <c r="C334" s="42" t="s">
        <v>543</v>
      </c>
      <c r="D334" s="42" t="s">
        <v>169</v>
      </c>
      <c r="E334" s="42" t="s">
        <v>326</v>
      </c>
      <c r="F334" s="6"/>
      <c r="G334" s="11">
        <f>'Прил.№4 ведомств.'!G827</f>
        <v>22376.400000000001</v>
      </c>
      <c r="H334" s="11">
        <f>'Прил.№4 ведомств.'!I827</f>
        <v>27599.5</v>
      </c>
      <c r="I334" s="11">
        <f>'Прил.№4 ведомств.'!J827</f>
        <v>50955.8</v>
      </c>
      <c r="J334" s="11">
        <f>'Прил.№4 ведомств.'!K827</f>
        <v>52684.5</v>
      </c>
      <c r="K334" s="11">
        <f>'Прил.№4 ведомств.'!L827</f>
        <v>54166.9</v>
      </c>
      <c r="L334" s="11">
        <f>'Прил.№4 ведомств.'!M827</f>
        <v>38540.600000000006</v>
      </c>
      <c r="M334" s="11">
        <f>'Прил.№4 ведомств.'!N827</f>
        <v>23709.4</v>
      </c>
      <c r="N334" s="7">
        <f t="shared" si="192"/>
        <v>61.51798363284432</v>
      </c>
    </row>
    <row r="335" spans="1:14" ht="31.5" x14ac:dyDescent="0.25">
      <c r="A335" s="48" t="s">
        <v>532</v>
      </c>
      <c r="B335" s="42" t="s">
        <v>546</v>
      </c>
      <c r="C335" s="42" t="s">
        <v>543</v>
      </c>
      <c r="D335" s="42" t="s">
        <v>169</v>
      </c>
      <c r="E335" s="42"/>
      <c r="F335" s="6">
        <v>907</v>
      </c>
      <c r="G335" s="11">
        <f>G329</f>
        <v>22673.9</v>
      </c>
      <c r="H335" s="11">
        <f t="shared" ref="H335:L335" si="193">H329</f>
        <v>27897</v>
      </c>
      <c r="I335" s="11">
        <f t="shared" si="193"/>
        <v>52737</v>
      </c>
      <c r="J335" s="11">
        <f t="shared" si="193"/>
        <v>54355.7</v>
      </c>
      <c r="K335" s="11">
        <f t="shared" si="193"/>
        <v>55263.1</v>
      </c>
      <c r="L335" s="11">
        <f t="shared" si="193"/>
        <v>39760.5</v>
      </c>
      <c r="M335" s="11">
        <f t="shared" ref="M335" si="194">M329</f>
        <v>24929.300000000003</v>
      </c>
      <c r="N335" s="7">
        <f t="shared" si="192"/>
        <v>62.698658216068715</v>
      </c>
    </row>
    <row r="336" spans="1:14" ht="47.25" hidden="1" x14ac:dyDescent="0.25">
      <c r="A336" s="31" t="s">
        <v>657</v>
      </c>
      <c r="B336" s="42" t="s">
        <v>723</v>
      </c>
      <c r="C336" s="42" t="s">
        <v>543</v>
      </c>
      <c r="D336" s="42" t="s">
        <v>169</v>
      </c>
      <c r="E336" s="42"/>
      <c r="F336" s="6"/>
      <c r="G336" s="11">
        <f>G337</f>
        <v>0</v>
      </c>
      <c r="H336" s="11">
        <f t="shared" ref="H336:M338" si="195">H337</f>
        <v>0</v>
      </c>
      <c r="I336" s="11">
        <f t="shared" si="195"/>
        <v>0</v>
      </c>
      <c r="J336" s="11">
        <f t="shared" si="195"/>
        <v>0</v>
      </c>
      <c r="K336" s="11">
        <f t="shared" si="195"/>
        <v>0</v>
      </c>
      <c r="L336" s="11">
        <f t="shared" si="195"/>
        <v>0</v>
      </c>
      <c r="M336" s="11">
        <f t="shared" si="195"/>
        <v>0</v>
      </c>
      <c r="N336" s="7" t="e">
        <f t="shared" si="192"/>
        <v>#DIV/0!</v>
      </c>
    </row>
    <row r="337" spans="1:14" ht="31.5" hidden="1" x14ac:dyDescent="0.25">
      <c r="A337" s="31" t="s">
        <v>323</v>
      </c>
      <c r="B337" s="42" t="s">
        <v>723</v>
      </c>
      <c r="C337" s="42" t="s">
        <v>543</v>
      </c>
      <c r="D337" s="42" t="s">
        <v>169</v>
      </c>
      <c r="E337" s="42" t="s">
        <v>324</v>
      </c>
      <c r="F337" s="6"/>
      <c r="G337" s="11">
        <f>G338</f>
        <v>0</v>
      </c>
      <c r="H337" s="11">
        <f t="shared" si="195"/>
        <v>0</v>
      </c>
      <c r="I337" s="11">
        <f t="shared" si="195"/>
        <v>0</v>
      </c>
      <c r="J337" s="11">
        <f t="shared" si="195"/>
        <v>0</v>
      </c>
      <c r="K337" s="11">
        <f t="shared" si="195"/>
        <v>0</v>
      </c>
      <c r="L337" s="11">
        <f t="shared" si="195"/>
        <v>0</v>
      </c>
      <c r="M337" s="11">
        <f t="shared" si="195"/>
        <v>0</v>
      </c>
      <c r="N337" s="7" t="e">
        <f t="shared" si="192"/>
        <v>#DIV/0!</v>
      </c>
    </row>
    <row r="338" spans="1:14" ht="15.75" hidden="1" x14ac:dyDescent="0.25">
      <c r="A338" s="31" t="s">
        <v>325</v>
      </c>
      <c r="B338" s="42" t="s">
        <v>723</v>
      </c>
      <c r="C338" s="42" t="s">
        <v>543</v>
      </c>
      <c r="D338" s="42" t="s">
        <v>169</v>
      </c>
      <c r="E338" s="42" t="s">
        <v>326</v>
      </c>
      <c r="F338" s="6"/>
      <c r="G338" s="11">
        <f>G339</f>
        <v>0</v>
      </c>
      <c r="H338" s="11">
        <f t="shared" si="195"/>
        <v>0</v>
      </c>
      <c r="I338" s="11">
        <f t="shared" si="195"/>
        <v>0</v>
      </c>
      <c r="J338" s="11">
        <f t="shared" si="195"/>
        <v>0</v>
      </c>
      <c r="K338" s="11">
        <f t="shared" si="195"/>
        <v>0</v>
      </c>
      <c r="L338" s="11">
        <f t="shared" si="195"/>
        <v>0</v>
      </c>
      <c r="M338" s="11">
        <f t="shared" si="195"/>
        <v>0</v>
      </c>
      <c r="N338" s="7" t="e">
        <f t="shared" si="192"/>
        <v>#DIV/0!</v>
      </c>
    </row>
    <row r="339" spans="1:14" ht="31.5" hidden="1" x14ac:dyDescent="0.25">
      <c r="A339" s="82" t="s">
        <v>532</v>
      </c>
      <c r="B339" s="42" t="s">
        <v>723</v>
      </c>
      <c r="C339" s="42" t="s">
        <v>543</v>
      </c>
      <c r="D339" s="42" t="s">
        <v>169</v>
      </c>
      <c r="E339" s="42"/>
      <c r="F339" s="6">
        <v>907</v>
      </c>
      <c r="G339" s="11">
        <f>1500-1500</f>
        <v>0</v>
      </c>
      <c r="H339" s="11">
        <f t="shared" ref="H339:M339" si="196">1500-1500</f>
        <v>0</v>
      </c>
      <c r="I339" s="11">
        <f t="shared" si="196"/>
        <v>0</v>
      </c>
      <c r="J339" s="11">
        <f t="shared" si="196"/>
        <v>0</v>
      </c>
      <c r="K339" s="11">
        <f t="shared" si="196"/>
        <v>0</v>
      </c>
      <c r="L339" s="11">
        <f t="shared" si="196"/>
        <v>0</v>
      </c>
      <c r="M339" s="11">
        <f t="shared" si="196"/>
        <v>0</v>
      </c>
      <c r="N339" s="7" t="e">
        <f t="shared" si="192"/>
        <v>#DIV/0!</v>
      </c>
    </row>
    <row r="340" spans="1:14" ht="31.5" hidden="1" x14ac:dyDescent="0.25">
      <c r="A340" s="31" t="s">
        <v>329</v>
      </c>
      <c r="B340" s="42" t="s">
        <v>549</v>
      </c>
      <c r="C340" s="42" t="s">
        <v>543</v>
      </c>
      <c r="D340" s="42" t="s">
        <v>169</v>
      </c>
      <c r="E340" s="42"/>
      <c r="F340" s="6"/>
      <c r="G340" s="11">
        <f>G341</f>
        <v>297.5</v>
      </c>
      <c r="H340" s="11">
        <f t="shared" ref="H340:M341" si="197">H341</f>
        <v>297.5</v>
      </c>
      <c r="I340" s="11">
        <f t="shared" si="197"/>
        <v>0</v>
      </c>
      <c r="J340" s="11">
        <f t="shared" si="197"/>
        <v>0</v>
      </c>
      <c r="K340" s="11">
        <f t="shared" si="197"/>
        <v>0</v>
      </c>
      <c r="L340" s="11">
        <f t="shared" si="197"/>
        <v>398.7</v>
      </c>
      <c r="M340" s="11">
        <f t="shared" si="197"/>
        <v>398.7</v>
      </c>
      <c r="N340" s="7">
        <f t="shared" si="192"/>
        <v>100</v>
      </c>
    </row>
    <row r="341" spans="1:14" ht="31.5" hidden="1" x14ac:dyDescent="0.25">
      <c r="A341" s="31" t="s">
        <v>323</v>
      </c>
      <c r="B341" s="42" t="s">
        <v>549</v>
      </c>
      <c r="C341" s="42" t="s">
        <v>543</v>
      </c>
      <c r="D341" s="42" t="s">
        <v>169</v>
      </c>
      <c r="E341" s="42" t="s">
        <v>324</v>
      </c>
      <c r="F341" s="6"/>
      <c r="G341" s="11">
        <f>G342</f>
        <v>297.5</v>
      </c>
      <c r="H341" s="11">
        <f t="shared" si="197"/>
        <v>297.5</v>
      </c>
      <c r="I341" s="11">
        <f t="shared" si="197"/>
        <v>0</v>
      </c>
      <c r="J341" s="11">
        <f t="shared" si="197"/>
        <v>0</v>
      </c>
      <c r="K341" s="11">
        <f t="shared" si="197"/>
        <v>0</v>
      </c>
      <c r="L341" s="11">
        <f t="shared" si="197"/>
        <v>398.7</v>
      </c>
      <c r="M341" s="11">
        <f t="shared" si="197"/>
        <v>398.7</v>
      </c>
      <c r="N341" s="7">
        <f t="shared" si="192"/>
        <v>100</v>
      </c>
    </row>
    <row r="342" spans="1:14" ht="15.75" hidden="1" x14ac:dyDescent="0.25">
      <c r="A342" s="31" t="s">
        <v>325</v>
      </c>
      <c r="B342" s="42" t="s">
        <v>549</v>
      </c>
      <c r="C342" s="42" t="s">
        <v>543</v>
      </c>
      <c r="D342" s="42" t="s">
        <v>169</v>
      </c>
      <c r="E342" s="42" t="s">
        <v>326</v>
      </c>
      <c r="F342" s="6"/>
      <c r="G342" s="11">
        <f>'Прил.№4 ведомств.'!G830</f>
        <v>297.5</v>
      </c>
      <c r="H342" s="11">
        <f>'Прил.№4 ведомств.'!I830</f>
        <v>297.5</v>
      </c>
      <c r="I342" s="11">
        <f>'Прил.№4 ведомств.'!J830</f>
        <v>0</v>
      </c>
      <c r="J342" s="11">
        <f>'Прил.№4 ведомств.'!K830</f>
        <v>0</v>
      </c>
      <c r="K342" s="11">
        <f>'Прил.№4 ведомств.'!L830</f>
        <v>0</v>
      </c>
      <c r="L342" s="11">
        <f>'Прил.№4 ведомств.'!M830</f>
        <v>398.7</v>
      </c>
      <c r="M342" s="11">
        <f>'Прил.№4 ведомств.'!N830</f>
        <v>398.7</v>
      </c>
      <c r="N342" s="7">
        <f t="shared" si="192"/>
        <v>100</v>
      </c>
    </row>
    <row r="343" spans="1:14" ht="31.5" hidden="1" x14ac:dyDescent="0.25">
      <c r="A343" s="31" t="s">
        <v>331</v>
      </c>
      <c r="B343" s="42" t="s">
        <v>550</v>
      </c>
      <c r="C343" s="42" t="s">
        <v>543</v>
      </c>
      <c r="D343" s="42" t="s">
        <v>169</v>
      </c>
      <c r="E343" s="42"/>
      <c r="F343" s="6"/>
      <c r="G343" s="11">
        <f>G344</f>
        <v>0</v>
      </c>
      <c r="H343" s="11">
        <f t="shared" ref="H343:M344" si="198">H344</f>
        <v>0</v>
      </c>
      <c r="I343" s="11">
        <f t="shared" si="198"/>
        <v>685</v>
      </c>
      <c r="J343" s="11">
        <f t="shared" si="198"/>
        <v>300</v>
      </c>
      <c r="K343" s="11">
        <f t="shared" si="198"/>
        <v>0</v>
      </c>
      <c r="L343" s="11">
        <f t="shared" si="198"/>
        <v>0</v>
      </c>
      <c r="M343" s="11">
        <f t="shared" si="198"/>
        <v>0</v>
      </c>
      <c r="N343" s="7" t="e">
        <f t="shared" si="192"/>
        <v>#DIV/0!</v>
      </c>
    </row>
    <row r="344" spans="1:14" ht="31.5" hidden="1" x14ac:dyDescent="0.25">
      <c r="A344" s="31" t="s">
        <v>323</v>
      </c>
      <c r="B344" s="42" t="s">
        <v>550</v>
      </c>
      <c r="C344" s="42" t="s">
        <v>543</v>
      </c>
      <c r="D344" s="42" t="s">
        <v>169</v>
      </c>
      <c r="E344" s="42" t="s">
        <v>324</v>
      </c>
      <c r="F344" s="6"/>
      <c r="G344" s="11">
        <f>G345</f>
        <v>0</v>
      </c>
      <c r="H344" s="11">
        <f t="shared" si="198"/>
        <v>0</v>
      </c>
      <c r="I344" s="11">
        <f t="shared" si="198"/>
        <v>685</v>
      </c>
      <c r="J344" s="11">
        <f t="shared" si="198"/>
        <v>300</v>
      </c>
      <c r="K344" s="11">
        <f t="shared" si="198"/>
        <v>0</v>
      </c>
      <c r="L344" s="11">
        <f t="shared" si="198"/>
        <v>0</v>
      </c>
      <c r="M344" s="11">
        <f t="shared" si="198"/>
        <v>0</v>
      </c>
      <c r="N344" s="7" t="e">
        <f t="shared" si="192"/>
        <v>#DIV/0!</v>
      </c>
    </row>
    <row r="345" spans="1:14" ht="15.75" hidden="1" x14ac:dyDescent="0.25">
      <c r="A345" s="31" t="s">
        <v>325</v>
      </c>
      <c r="B345" s="42" t="s">
        <v>550</v>
      </c>
      <c r="C345" s="42" t="s">
        <v>543</v>
      </c>
      <c r="D345" s="42" t="s">
        <v>169</v>
      </c>
      <c r="E345" s="42" t="s">
        <v>326</v>
      </c>
      <c r="F345" s="6"/>
      <c r="G345" s="11">
        <f>'Прил.№4 ведомств.'!G833</f>
        <v>0</v>
      </c>
      <c r="H345" s="11">
        <f>'Прил.№4 ведомств.'!I833</f>
        <v>0</v>
      </c>
      <c r="I345" s="11">
        <f>'Прил.№4 ведомств.'!J833</f>
        <v>685</v>
      </c>
      <c r="J345" s="11">
        <f>'Прил.№4 ведомств.'!K833</f>
        <v>300</v>
      </c>
      <c r="K345" s="11">
        <f>'Прил.№4 ведомств.'!L833</f>
        <v>0</v>
      </c>
      <c r="L345" s="11">
        <f>'Прил.№4 ведомств.'!M833</f>
        <v>0</v>
      </c>
      <c r="M345" s="11">
        <f>'Прил.№4 ведомств.'!N833</f>
        <v>0</v>
      </c>
      <c r="N345" s="7" t="e">
        <f t="shared" si="192"/>
        <v>#DIV/0!</v>
      </c>
    </row>
    <row r="346" spans="1:14" ht="31.5" x14ac:dyDescent="0.25">
      <c r="A346" s="31" t="s">
        <v>335</v>
      </c>
      <c r="B346" s="42" t="s">
        <v>551</v>
      </c>
      <c r="C346" s="42" t="s">
        <v>543</v>
      </c>
      <c r="D346" s="42" t="s">
        <v>169</v>
      </c>
      <c r="E346" s="42"/>
      <c r="F346" s="6"/>
      <c r="G346" s="11">
        <f>G347</f>
        <v>0</v>
      </c>
      <c r="H346" s="11">
        <f t="shared" ref="H346:M347" si="199">H347</f>
        <v>0</v>
      </c>
      <c r="I346" s="11">
        <f t="shared" si="199"/>
        <v>275</v>
      </c>
      <c r="J346" s="11">
        <f t="shared" si="199"/>
        <v>550</v>
      </c>
      <c r="K346" s="11">
        <f t="shared" si="199"/>
        <v>275</v>
      </c>
      <c r="L346" s="11">
        <f t="shared" si="199"/>
        <v>100</v>
      </c>
      <c r="M346" s="11">
        <f t="shared" si="199"/>
        <v>100</v>
      </c>
      <c r="N346" s="7">
        <f t="shared" si="192"/>
        <v>100</v>
      </c>
    </row>
    <row r="347" spans="1:14" ht="31.5" x14ac:dyDescent="0.25">
      <c r="A347" s="31" t="s">
        <v>323</v>
      </c>
      <c r="B347" s="42" t="s">
        <v>551</v>
      </c>
      <c r="C347" s="42" t="s">
        <v>543</v>
      </c>
      <c r="D347" s="42" t="s">
        <v>169</v>
      </c>
      <c r="E347" s="42" t="s">
        <v>324</v>
      </c>
      <c r="F347" s="6"/>
      <c r="G347" s="11">
        <f>G348</f>
        <v>0</v>
      </c>
      <c r="H347" s="11">
        <f t="shared" si="199"/>
        <v>0</v>
      </c>
      <c r="I347" s="11">
        <f t="shared" si="199"/>
        <v>275</v>
      </c>
      <c r="J347" s="11">
        <f t="shared" si="199"/>
        <v>550</v>
      </c>
      <c r="K347" s="11">
        <f t="shared" si="199"/>
        <v>275</v>
      </c>
      <c r="L347" s="11">
        <f t="shared" si="199"/>
        <v>100</v>
      </c>
      <c r="M347" s="11">
        <f t="shared" si="199"/>
        <v>100</v>
      </c>
      <c r="N347" s="7">
        <f t="shared" si="192"/>
        <v>100</v>
      </c>
    </row>
    <row r="348" spans="1:14" ht="15.75" x14ac:dyDescent="0.25">
      <c r="A348" s="31" t="s">
        <v>325</v>
      </c>
      <c r="B348" s="42" t="s">
        <v>551</v>
      </c>
      <c r="C348" s="42" t="s">
        <v>543</v>
      </c>
      <c r="D348" s="42" t="s">
        <v>169</v>
      </c>
      <c r="E348" s="42" t="s">
        <v>326</v>
      </c>
      <c r="F348" s="6"/>
      <c r="G348" s="11">
        <f>'Прил.№4 ведомств.'!G836</f>
        <v>0</v>
      </c>
      <c r="H348" s="11">
        <f>'Прил.№4 ведомств.'!I836</f>
        <v>0</v>
      </c>
      <c r="I348" s="11">
        <f>'Прил.№4 ведомств.'!J836</f>
        <v>275</v>
      </c>
      <c r="J348" s="11">
        <f>'Прил.№4 ведомств.'!K836</f>
        <v>550</v>
      </c>
      <c r="K348" s="11">
        <f>'Прил.№4 ведомств.'!L836</f>
        <v>275</v>
      </c>
      <c r="L348" s="11">
        <f>'Прил.№4 ведомств.'!M836</f>
        <v>100</v>
      </c>
      <c r="M348" s="11">
        <f>'Прил.№4 ведомств.'!N836</f>
        <v>100</v>
      </c>
      <c r="N348" s="7">
        <f t="shared" si="192"/>
        <v>100</v>
      </c>
    </row>
    <row r="349" spans="1:14" ht="31.5" x14ac:dyDescent="0.25">
      <c r="A349" s="47" t="s">
        <v>861</v>
      </c>
      <c r="B349" s="42" t="s">
        <v>869</v>
      </c>
      <c r="C349" s="42" t="s">
        <v>543</v>
      </c>
      <c r="D349" s="42" t="s">
        <v>169</v>
      </c>
      <c r="E349" s="42"/>
      <c r="F349" s="6"/>
      <c r="G349" s="11">
        <f>G350</f>
        <v>0</v>
      </c>
      <c r="H349" s="11">
        <f t="shared" ref="H349:M350" si="200">H350</f>
        <v>0</v>
      </c>
      <c r="I349" s="11">
        <f t="shared" si="200"/>
        <v>821.2</v>
      </c>
      <c r="J349" s="11">
        <f t="shared" si="200"/>
        <v>821.2</v>
      </c>
      <c r="K349" s="11">
        <f t="shared" si="200"/>
        <v>821.2</v>
      </c>
      <c r="L349" s="11">
        <f t="shared" si="200"/>
        <v>721.2</v>
      </c>
      <c r="M349" s="11">
        <f t="shared" si="200"/>
        <v>721.2</v>
      </c>
      <c r="N349" s="7">
        <f t="shared" si="192"/>
        <v>100</v>
      </c>
    </row>
    <row r="350" spans="1:14" ht="31.5" x14ac:dyDescent="0.25">
      <c r="A350" s="33" t="s">
        <v>323</v>
      </c>
      <c r="B350" s="42" t="s">
        <v>869</v>
      </c>
      <c r="C350" s="42" t="s">
        <v>543</v>
      </c>
      <c r="D350" s="42" t="s">
        <v>169</v>
      </c>
      <c r="E350" s="42" t="s">
        <v>324</v>
      </c>
      <c r="F350" s="6"/>
      <c r="G350" s="11">
        <f>G351</f>
        <v>0</v>
      </c>
      <c r="H350" s="11">
        <f t="shared" si="200"/>
        <v>0</v>
      </c>
      <c r="I350" s="11">
        <f t="shared" si="200"/>
        <v>821.2</v>
      </c>
      <c r="J350" s="11">
        <f t="shared" si="200"/>
        <v>821.2</v>
      </c>
      <c r="K350" s="11">
        <f t="shared" si="200"/>
        <v>821.2</v>
      </c>
      <c r="L350" s="11">
        <f t="shared" si="200"/>
        <v>721.2</v>
      </c>
      <c r="M350" s="11">
        <f t="shared" si="200"/>
        <v>721.2</v>
      </c>
      <c r="N350" s="7">
        <f t="shared" si="192"/>
        <v>100</v>
      </c>
    </row>
    <row r="351" spans="1:14" ht="15.75" x14ac:dyDescent="0.25">
      <c r="A351" s="33" t="s">
        <v>325</v>
      </c>
      <c r="B351" s="42" t="s">
        <v>869</v>
      </c>
      <c r="C351" s="42" t="s">
        <v>543</v>
      </c>
      <c r="D351" s="42" t="s">
        <v>169</v>
      </c>
      <c r="E351" s="42" t="s">
        <v>326</v>
      </c>
      <c r="F351" s="6"/>
      <c r="G351" s="11">
        <f>'Прил.№4 ведомств.'!G839</f>
        <v>0</v>
      </c>
      <c r="H351" s="11">
        <f>'Прил.№4 ведомств.'!I839</f>
        <v>0</v>
      </c>
      <c r="I351" s="11">
        <f>'Прил.№4 ведомств.'!J839</f>
        <v>821.2</v>
      </c>
      <c r="J351" s="11">
        <f>'Прил.№4 ведомств.'!K839</f>
        <v>821.2</v>
      </c>
      <c r="K351" s="11">
        <f>'Прил.№4 ведомств.'!L839</f>
        <v>821.2</v>
      </c>
      <c r="L351" s="11">
        <f>'Прил.№4 ведомств.'!M839</f>
        <v>721.2</v>
      </c>
      <c r="M351" s="11">
        <f>'Прил.№4 ведомств.'!N839</f>
        <v>721.2</v>
      </c>
      <c r="N351" s="7">
        <f t="shared" si="192"/>
        <v>100</v>
      </c>
    </row>
    <row r="352" spans="1:14" ht="31.5" x14ac:dyDescent="0.25">
      <c r="A352" s="82" t="s">
        <v>532</v>
      </c>
      <c r="B352" s="42" t="s">
        <v>546</v>
      </c>
      <c r="C352" s="42" t="s">
        <v>543</v>
      </c>
      <c r="D352" s="42" t="s">
        <v>169</v>
      </c>
      <c r="E352" s="42"/>
      <c r="F352" s="6">
        <v>907</v>
      </c>
      <c r="G352" s="11">
        <f>G329</f>
        <v>22673.9</v>
      </c>
      <c r="H352" s="11">
        <f t="shared" ref="H352:L352" si="201">H329</f>
        <v>27897</v>
      </c>
      <c r="I352" s="11">
        <f t="shared" si="201"/>
        <v>52737</v>
      </c>
      <c r="J352" s="11">
        <f t="shared" si="201"/>
        <v>54355.7</v>
      </c>
      <c r="K352" s="11">
        <f t="shared" si="201"/>
        <v>55263.1</v>
      </c>
      <c r="L352" s="11">
        <f t="shared" si="201"/>
        <v>39760.5</v>
      </c>
      <c r="M352" s="11">
        <f t="shared" ref="M352" si="202">M329</f>
        <v>24929.300000000003</v>
      </c>
      <c r="N352" s="7">
        <f t="shared" si="192"/>
        <v>62.698658216068715</v>
      </c>
    </row>
    <row r="353" spans="1:18" ht="47.25" x14ac:dyDescent="0.25">
      <c r="A353" s="64" t="s">
        <v>553</v>
      </c>
      <c r="B353" s="8" t="s">
        <v>554</v>
      </c>
      <c r="C353" s="8"/>
      <c r="D353" s="8"/>
      <c r="E353" s="8"/>
      <c r="F353" s="290"/>
      <c r="G353" s="4">
        <f>G354</f>
        <v>3047</v>
      </c>
      <c r="H353" s="4">
        <f t="shared" ref="H353:M355" si="203">H354</f>
        <v>3047</v>
      </c>
      <c r="I353" s="4">
        <f t="shared" si="203"/>
        <v>3177.9</v>
      </c>
      <c r="J353" s="4">
        <f t="shared" si="203"/>
        <v>3314.6</v>
      </c>
      <c r="K353" s="4">
        <f t="shared" si="203"/>
        <v>3457.1</v>
      </c>
      <c r="L353" s="4">
        <f t="shared" si="203"/>
        <v>2400</v>
      </c>
      <c r="M353" s="4">
        <f t="shared" si="203"/>
        <v>1654.4</v>
      </c>
      <c r="N353" s="4">
        <f t="shared" si="192"/>
        <v>68.933333333333337</v>
      </c>
    </row>
    <row r="354" spans="1:18" ht="15.75" x14ac:dyDescent="0.25">
      <c r="A354" s="31" t="s">
        <v>542</v>
      </c>
      <c r="B354" s="42" t="s">
        <v>554</v>
      </c>
      <c r="C354" s="2">
        <v>11</v>
      </c>
      <c r="D354" s="42"/>
      <c r="E354" s="42"/>
      <c r="F354" s="6"/>
      <c r="G354" s="7">
        <f>G355</f>
        <v>3047</v>
      </c>
      <c r="H354" s="7">
        <f t="shared" si="203"/>
        <v>3047</v>
      </c>
      <c r="I354" s="7">
        <f t="shared" si="203"/>
        <v>3177.9</v>
      </c>
      <c r="J354" s="7">
        <f t="shared" si="203"/>
        <v>3314.6</v>
      </c>
      <c r="K354" s="7">
        <f t="shared" si="203"/>
        <v>3457.1</v>
      </c>
      <c r="L354" s="7">
        <f t="shared" si="203"/>
        <v>2400</v>
      </c>
      <c r="M354" s="7">
        <f t="shared" si="203"/>
        <v>1654.4</v>
      </c>
      <c r="N354" s="7">
        <f t="shared" si="192"/>
        <v>68.933333333333337</v>
      </c>
    </row>
    <row r="355" spans="1:18" ht="31.5" x14ac:dyDescent="0.25">
      <c r="A355" s="26" t="s">
        <v>552</v>
      </c>
      <c r="B355" s="42" t="s">
        <v>554</v>
      </c>
      <c r="C355" s="42" t="s">
        <v>543</v>
      </c>
      <c r="D355" s="42" t="s">
        <v>285</v>
      </c>
      <c r="E355" s="42"/>
      <c r="F355" s="6"/>
      <c r="G355" s="7">
        <f>G356</f>
        <v>3047</v>
      </c>
      <c r="H355" s="7">
        <f t="shared" si="203"/>
        <v>3047</v>
      </c>
      <c r="I355" s="7">
        <f t="shared" si="203"/>
        <v>3177.9</v>
      </c>
      <c r="J355" s="7">
        <f t="shared" si="203"/>
        <v>3314.6</v>
      </c>
      <c r="K355" s="7">
        <f t="shared" si="203"/>
        <v>3457.1</v>
      </c>
      <c r="L355" s="7">
        <f t="shared" si="203"/>
        <v>2400</v>
      </c>
      <c r="M355" s="7">
        <f t="shared" si="203"/>
        <v>1654.4</v>
      </c>
      <c r="N355" s="7">
        <f t="shared" si="192"/>
        <v>68.933333333333337</v>
      </c>
    </row>
    <row r="356" spans="1:18" ht="31.5" x14ac:dyDescent="0.25">
      <c r="A356" s="31" t="s">
        <v>208</v>
      </c>
      <c r="B356" s="42" t="s">
        <v>555</v>
      </c>
      <c r="C356" s="42" t="s">
        <v>543</v>
      </c>
      <c r="D356" s="42" t="s">
        <v>285</v>
      </c>
      <c r="E356" s="42"/>
      <c r="F356" s="6"/>
      <c r="G356" s="7">
        <f>G359+G357</f>
        <v>3047</v>
      </c>
      <c r="H356" s="7">
        <f t="shared" ref="H356:L356" si="204">H359+H357</f>
        <v>3047</v>
      </c>
      <c r="I356" s="7">
        <f t="shared" si="204"/>
        <v>3177.9</v>
      </c>
      <c r="J356" s="7">
        <f t="shared" si="204"/>
        <v>3314.6</v>
      </c>
      <c r="K356" s="7">
        <f t="shared" si="204"/>
        <v>3457.1</v>
      </c>
      <c r="L356" s="7">
        <f t="shared" si="204"/>
        <v>2400</v>
      </c>
      <c r="M356" s="7">
        <f t="shared" ref="M356" si="205">M359+M357</f>
        <v>1654.4</v>
      </c>
      <c r="N356" s="7">
        <f t="shared" si="192"/>
        <v>68.933333333333337</v>
      </c>
    </row>
    <row r="357" spans="1:18" ht="78.75" x14ac:dyDescent="0.25">
      <c r="A357" s="26" t="s">
        <v>178</v>
      </c>
      <c r="B357" s="42" t="s">
        <v>555</v>
      </c>
      <c r="C357" s="42" t="s">
        <v>543</v>
      </c>
      <c r="D357" s="42" t="s">
        <v>285</v>
      </c>
      <c r="E357" s="42" t="s">
        <v>179</v>
      </c>
      <c r="F357" s="6"/>
      <c r="G357" s="7">
        <f>G358</f>
        <v>2111</v>
      </c>
      <c r="H357" s="7">
        <f t="shared" ref="H357:M357" si="206">H358</f>
        <v>2111</v>
      </c>
      <c r="I357" s="7">
        <f t="shared" si="206"/>
        <v>2111</v>
      </c>
      <c r="J357" s="7">
        <f t="shared" si="206"/>
        <v>2111</v>
      </c>
      <c r="K357" s="7">
        <f t="shared" si="206"/>
        <v>2111</v>
      </c>
      <c r="L357" s="7">
        <f t="shared" si="206"/>
        <v>1611</v>
      </c>
      <c r="M357" s="7">
        <f t="shared" si="206"/>
        <v>1212.5</v>
      </c>
      <c r="N357" s="7">
        <f t="shared" si="192"/>
        <v>75.263811297330847</v>
      </c>
    </row>
    <row r="358" spans="1:18" ht="55.5" customHeight="1" x14ac:dyDescent="0.25">
      <c r="A358" s="26" t="s">
        <v>180</v>
      </c>
      <c r="B358" s="42" t="s">
        <v>555</v>
      </c>
      <c r="C358" s="42" t="s">
        <v>543</v>
      </c>
      <c r="D358" s="42" t="s">
        <v>285</v>
      </c>
      <c r="E358" s="42" t="s">
        <v>181</v>
      </c>
      <c r="F358" s="6"/>
      <c r="G358" s="7">
        <f>'Прил.№4 ведомств.'!G854</f>
        <v>2111</v>
      </c>
      <c r="H358" s="7">
        <f>'Прил.№4 ведомств.'!I854</f>
        <v>2111</v>
      </c>
      <c r="I358" s="7">
        <f>'Прил.№4 ведомств.'!J854</f>
        <v>2111</v>
      </c>
      <c r="J358" s="7">
        <f>'Прил.№4 ведомств.'!K854</f>
        <v>2111</v>
      </c>
      <c r="K358" s="7">
        <f>'Прил.№4 ведомств.'!L854</f>
        <v>2111</v>
      </c>
      <c r="L358" s="7">
        <f>'Прил.№4 ведомств.'!M854</f>
        <v>1611</v>
      </c>
      <c r="M358" s="7">
        <f>'Прил.№4 ведомств.'!N854</f>
        <v>1212.5</v>
      </c>
      <c r="N358" s="7">
        <f t="shared" si="192"/>
        <v>75.263811297330847</v>
      </c>
    </row>
    <row r="359" spans="1:18" ht="31.5" x14ac:dyDescent="0.25">
      <c r="A359" s="31" t="s">
        <v>182</v>
      </c>
      <c r="B359" s="42" t="s">
        <v>555</v>
      </c>
      <c r="C359" s="42" t="s">
        <v>543</v>
      </c>
      <c r="D359" s="42" t="s">
        <v>285</v>
      </c>
      <c r="E359" s="42" t="s">
        <v>183</v>
      </c>
      <c r="F359" s="6"/>
      <c r="G359" s="7">
        <f>G360</f>
        <v>936</v>
      </c>
      <c r="H359" s="7">
        <f t="shared" ref="H359:M359" si="207">H360</f>
        <v>936</v>
      </c>
      <c r="I359" s="7">
        <f t="shared" si="207"/>
        <v>1066.9000000000001</v>
      </c>
      <c r="J359" s="7">
        <f t="shared" si="207"/>
        <v>1203.5999999999999</v>
      </c>
      <c r="K359" s="7">
        <f t="shared" si="207"/>
        <v>1346.1</v>
      </c>
      <c r="L359" s="7">
        <f t="shared" si="207"/>
        <v>789</v>
      </c>
      <c r="M359" s="7">
        <f t="shared" si="207"/>
        <v>441.9</v>
      </c>
      <c r="N359" s="7">
        <f t="shared" si="192"/>
        <v>56.007604562737647</v>
      </c>
    </row>
    <row r="360" spans="1:18" ht="31.5" x14ac:dyDescent="0.25">
      <c r="A360" s="31" t="s">
        <v>184</v>
      </c>
      <c r="B360" s="42" t="s">
        <v>555</v>
      </c>
      <c r="C360" s="42" t="s">
        <v>543</v>
      </c>
      <c r="D360" s="42" t="s">
        <v>285</v>
      </c>
      <c r="E360" s="42" t="s">
        <v>185</v>
      </c>
      <c r="F360" s="6"/>
      <c r="G360" s="7">
        <f>'Прил.№4 ведомств.'!G856</f>
        <v>936</v>
      </c>
      <c r="H360" s="7">
        <f>'Прил.№4 ведомств.'!I856</f>
        <v>936</v>
      </c>
      <c r="I360" s="7">
        <f>'Прил.№4 ведомств.'!J856</f>
        <v>1066.9000000000001</v>
      </c>
      <c r="J360" s="7">
        <f>'Прил.№4 ведомств.'!K856</f>
        <v>1203.5999999999999</v>
      </c>
      <c r="K360" s="7">
        <f>'Прил.№4 ведомств.'!L856</f>
        <v>1346.1</v>
      </c>
      <c r="L360" s="7">
        <f>'Прил.№4 ведомств.'!M856</f>
        <v>789</v>
      </c>
      <c r="M360" s="7">
        <f>'Прил.№4 ведомств.'!N856</f>
        <v>441.9</v>
      </c>
      <c r="N360" s="7">
        <f t="shared" si="192"/>
        <v>56.007604562737647</v>
      </c>
    </row>
    <row r="361" spans="1:18" ht="31.5" x14ac:dyDescent="0.25">
      <c r="A361" s="82" t="s">
        <v>532</v>
      </c>
      <c r="B361" s="42" t="s">
        <v>554</v>
      </c>
      <c r="C361" s="42" t="s">
        <v>543</v>
      </c>
      <c r="D361" s="42" t="s">
        <v>285</v>
      </c>
      <c r="E361" s="42"/>
      <c r="F361" s="6">
        <v>907</v>
      </c>
      <c r="G361" s="11">
        <f>G353</f>
        <v>3047</v>
      </c>
      <c r="H361" s="11">
        <f t="shared" ref="H361:L361" si="208">H353</f>
        <v>3047</v>
      </c>
      <c r="I361" s="11">
        <f t="shared" si="208"/>
        <v>3177.9</v>
      </c>
      <c r="J361" s="11">
        <f t="shared" si="208"/>
        <v>3314.6</v>
      </c>
      <c r="K361" s="11">
        <f t="shared" si="208"/>
        <v>3457.1</v>
      </c>
      <c r="L361" s="11">
        <f t="shared" si="208"/>
        <v>2400</v>
      </c>
      <c r="M361" s="11">
        <f t="shared" ref="M361" si="209">M353</f>
        <v>1654.4</v>
      </c>
      <c r="N361" s="7">
        <f t="shared" si="192"/>
        <v>68.933333333333337</v>
      </c>
    </row>
    <row r="362" spans="1:18" ht="31.5" x14ac:dyDescent="0.25">
      <c r="A362" s="43" t="s">
        <v>317</v>
      </c>
      <c r="B362" s="8" t="s">
        <v>318</v>
      </c>
      <c r="C362" s="84"/>
      <c r="D362" s="84"/>
      <c r="E362" s="84"/>
      <c r="F362" s="3"/>
      <c r="G362" s="68">
        <f t="shared" ref="G362:L362" si="210">G363+G394+G419</f>
        <v>58528.7</v>
      </c>
      <c r="H362" s="68">
        <f t="shared" si="210"/>
        <v>53466.433333333334</v>
      </c>
      <c r="I362" s="68">
        <f t="shared" si="210"/>
        <v>72150.8</v>
      </c>
      <c r="J362" s="68">
        <f t="shared" si="210"/>
        <v>72948.7</v>
      </c>
      <c r="K362" s="68">
        <f t="shared" si="210"/>
        <v>73823.600000000006</v>
      </c>
      <c r="L362" s="68">
        <f t="shared" si="210"/>
        <v>57777.3</v>
      </c>
      <c r="M362" s="68">
        <f t="shared" ref="M362" si="211">M363+M394+M419</f>
        <v>47079.199999999997</v>
      </c>
      <c r="N362" s="4">
        <f t="shared" si="192"/>
        <v>81.483904578441695</v>
      </c>
    </row>
    <row r="363" spans="1:18" ht="47.25" x14ac:dyDescent="0.25">
      <c r="A363" s="43" t="s">
        <v>319</v>
      </c>
      <c r="B363" s="8" t="s">
        <v>320</v>
      </c>
      <c r="C363" s="84"/>
      <c r="D363" s="84"/>
      <c r="E363" s="84"/>
      <c r="F363" s="3"/>
      <c r="G363" s="68">
        <f>G364</f>
        <v>16445.599999999999</v>
      </c>
      <c r="H363" s="68">
        <f t="shared" ref="H363:M364" si="212">H364</f>
        <v>11383.333333333334</v>
      </c>
      <c r="I363" s="68">
        <f t="shared" si="212"/>
        <v>21824</v>
      </c>
      <c r="J363" s="68">
        <f t="shared" si="212"/>
        <v>21497.599999999999</v>
      </c>
      <c r="K363" s="68">
        <f t="shared" si="212"/>
        <v>21724.799999999999</v>
      </c>
      <c r="L363" s="68">
        <f t="shared" si="212"/>
        <v>16723.800000000003</v>
      </c>
      <c r="M363" s="68">
        <f t="shared" si="212"/>
        <v>13739.999999999998</v>
      </c>
      <c r="N363" s="4">
        <f t="shared" si="192"/>
        <v>82.158361138018847</v>
      </c>
      <c r="O363" s="23"/>
      <c r="P363" s="23"/>
      <c r="Q363" s="23"/>
      <c r="R363" s="23"/>
    </row>
    <row r="364" spans="1:18" ht="15.75" x14ac:dyDescent="0.25">
      <c r="A364" s="31" t="s">
        <v>314</v>
      </c>
      <c r="B364" s="42" t="s">
        <v>320</v>
      </c>
      <c r="C364" s="42" t="s">
        <v>315</v>
      </c>
      <c r="D364" s="84"/>
      <c r="E364" s="84"/>
      <c r="F364" s="3"/>
      <c r="G364" s="11">
        <f>G365</f>
        <v>16445.599999999999</v>
      </c>
      <c r="H364" s="11">
        <f t="shared" si="212"/>
        <v>11383.333333333334</v>
      </c>
      <c r="I364" s="11">
        <f t="shared" si="212"/>
        <v>21824</v>
      </c>
      <c r="J364" s="11">
        <f t="shared" si="212"/>
        <v>21497.599999999999</v>
      </c>
      <c r="K364" s="11">
        <f t="shared" si="212"/>
        <v>21724.799999999999</v>
      </c>
      <c r="L364" s="11">
        <f t="shared" si="212"/>
        <v>16723.800000000003</v>
      </c>
      <c r="M364" s="11">
        <f t="shared" si="212"/>
        <v>13739.999999999998</v>
      </c>
      <c r="N364" s="7">
        <f t="shared" si="192"/>
        <v>82.158361138018847</v>
      </c>
    </row>
    <row r="365" spans="1:18" ht="15.75" x14ac:dyDescent="0.25">
      <c r="A365" s="31" t="s">
        <v>477</v>
      </c>
      <c r="B365" s="42" t="s">
        <v>320</v>
      </c>
      <c r="C365" s="42" t="s">
        <v>315</v>
      </c>
      <c r="D365" s="42" t="s">
        <v>266</v>
      </c>
      <c r="E365" s="84"/>
      <c r="F365" s="3"/>
      <c r="G365" s="11">
        <f>G366+G381+G384+G387+G390</f>
        <v>16445.599999999999</v>
      </c>
      <c r="H365" s="11">
        <f t="shared" ref="H365:K365" si="213">H366+H381+H384+H387+H390</f>
        <v>11383.333333333334</v>
      </c>
      <c r="I365" s="11">
        <f t="shared" si="213"/>
        <v>21824</v>
      </c>
      <c r="J365" s="11">
        <f t="shared" si="213"/>
        <v>21497.599999999999</v>
      </c>
      <c r="K365" s="11">
        <f t="shared" si="213"/>
        <v>21724.799999999999</v>
      </c>
      <c r="L365" s="11">
        <f>L366+L381+L384+L387+L390+L373</f>
        <v>16723.800000000003</v>
      </c>
      <c r="M365" s="11">
        <f t="shared" ref="M365" si="214">M366+M381+M384+M387+M390+M373</f>
        <v>13739.999999999998</v>
      </c>
      <c r="N365" s="7">
        <f t="shared" si="192"/>
        <v>82.158361138018847</v>
      </c>
    </row>
    <row r="366" spans="1:18" ht="47.25" x14ac:dyDescent="0.25">
      <c r="A366" s="31" t="s">
        <v>321</v>
      </c>
      <c r="B366" s="42" t="s">
        <v>322</v>
      </c>
      <c r="C366" s="42" t="s">
        <v>315</v>
      </c>
      <c r="D366" s="42" t="s">
        <v>266</v>
      </c>
      <c r="E366" s="84"/>
      <c r="F366" s="3"/>
      <c r="G366" s="11">
        <f>G367</f>
        <v>16395.599999999999</v>
      </c>
      <c r="H366" s="11">
        <f t="shared" ref="H366:M367" si="215">H367</f>
        <v>11333.333333333334</v>
      </c>
      <c r="I366" s="11">
        <f t="shared" si="215"/>
        <v>20227.2</v>
      </c>
      <c r="J366" s="11">
        <f t="shared" si="215"/>
        <v>20500.8</v>
      </c>
      <c r="K366" s="11">
        <f t="shared" si="215"/>
        <v>20728</v>
      </c>
      <c r="L366" s="11">
        <f t="shared" si="215"/>
        <v>15846.66</v>
      </c>
      <c r="M366" s="11">
        <f t="shared" si="215"/>
        <v>12900.8</v>
      </c>
      <c r="N366" s="7">
        <f t="shared" si="192"/>
        <v>81.410215149438429</v>
      </c>
    </row>
    <row r="367" spans="1:18" ht="31.5" x14ac:dyDescent="0.25">
      <c r="A367" s="31" t="s">
        <v>323</v>
      </c>
      <c r="B367" s="42" t="s">
        <v>322</v>
      </c>
      <c r="C367" s="42" t="s">
        <v>315</v>
      </c>
      <c r="D367" s="42" t="s">
        <v>266</v>
      </c>
      <c r="E367" s="42" t="s">
        <v>324</v>
      </c>
      <c r="F367" s="3"/>
      <c r="G367" s="11">
        <f>G368</f>
        <v>16395.599999999999</v>
      </c>
      <c r="H367" s="11">
        <f t="shared" si="215"/>
        <v>11333.333333333334</v>
      </c>
      <c r="I367" s="11">
        <f t="shared" si="215"/>
        <v>20227.2</v>
      </c>
      <c r="J367" s="11">
        <f t="shared" si="215"/>
        <v>20500.8</v>
      </c>
      <c r="K367" s="11">
        <f t="shared" si="215"/>
        <v>20728</v>
      </c>
      <c r="L367" s="11">
        <f t="shared" si="215"/>
        <v>15846.66</v>
      </c>
      <c r="M367" s="11">
        <f t="shared" si="215"/>
        <v>12900.8</v>
      </c>
      <c r="N367" s="7">
        <f t="shared" si="192"/>
        <v>81.410215149438429</v>
      </c>
    </row>
    <row r="368" spans="1:18" ht="15.75" x14ac:dyDescent="0.25">
      <c r="A368" s="31" t="s">
        <v>325</v>
      </c>
      <c r="B368" s="42" t="s">
        <v>322</v>
      </c>
      <c r="C368" s="42" t="s">
        <v>315</v>
      </c>
      <c r="D368" s="42" t="s">
        <v>266</v>
      </c>
      <c r="E368" s="42" t="s">
        <v>326</v>
      </c>
      <c r="F368" s="3"/>
      <c r="G368" s="7">
        <f>'Прил.№4 ведомств.'!G288</f>
        <v>16395.599999999999</v>
      </c>
      <c r="H368" s="7">
        <f>'Прил.№4 ведомств.'!I288</f>
        <v>11333.333333333334</v>
      </c>
      <c r="I368" s="7">
        <f>'Прил.№4 ведомств.'!J288</f>
        <v>20227.2</v>
      </c>
      <c r="J368" s="7">
        <f>'Прил.№4 ведомств.'!K288</f>
        <v>20500.8</v>
      </c>
      <c r="K368" s="7">
        <f>'Прил.№4 ведомств.'!L288</f>
        <v>20728</v>
      </c>
      <c r="L368" s="7">
        <f>'Прил.№4 ведомств.'!M288</f>
        <v>15846.66</v>
      </c>
      <c r="M368" s="7">
        <f>'Прил.№4 ведомств.'!N288</f>
        <v>12900.8</v>
      </c>
      <c r="N368" s="7">
        <f t="shared" si="192"/>
        <v>81.410215149438429</v>
      </c>
    </row>
    <row r="369" spans="1:14" ht="47.25" hidden="1" x14ac:dyDescent="0.25">
      <c r="A369" s="31" t="s">
        <v>327</v>
      </c>
      <c r="B369" s="42" t="s">
        <v>726</v>
      </c>
      <c r="C369" s="42" t="s">
        <v>315</v>
      </c>
      <c r="D369" s="42" t="s">
        <v>266</v>
      </c>
      <c r="E369" s="42"/>
      <c r="F369" s="3"/>
      <c r="G369" s="11">
        <f>G370</f>
        <v>0</v>
      </c>
      <c r="H369" s="11">
        <f t="shared" ref="H369:M370" si="216">H370</f>
        <v>0</v>
      </c>
      <c r="I369" s="11">
        <f t="shared" si="216"/>
        <v>0</v>
      </c>
      <c r="J369" s="11">
        <f t="shared" si="216"/>
        <v>0</v>
      </c>
      <c r="K369" s="11">
        <f t="shared" si="216"/>
        <v>0</v>
      </c>
      <c r="L369" s="11">
        <f t="shared" si="216"/>
        <v>0</v>
      </c>
      <c r="M369" s="11">
        <f t="shared" si="216"/>
        <v>0</v>
      </c>
      <c r="N369" s="7" t="e">
        <f t="shared" si="192"/>
        <v>#DIV/0!</v>
      </c>
    </row>
    <row r="370" spans="1:14" ht="31.5" hidden="1" x14ac:dyDescent="0.25">
      <c r="A370" s="31" t="s">
        <v>323</v>
      </c>
      <c r="B370" s="42" t="s">
        <v>726</v>
      </c>
      <c r="C370" s="42" t="s">
        <v>315</v>
      </c>
      <c r="D370" s="42" t="s">
        <v>266</v>
      </c>
      <c r="E370" s="42" t="s">
        <v>324</v>
      </c>
      <c r="F370" s="3"/>
      <c r="G370" s="11">
        <f>G371</f>
        <v>0</v>
      </c>
      <c r="H370" s="11">
        <f t="shared" si="216"/>
        <v>0</v>
      </c>
      <c r="I370" s="11">
        <f t="shared" si="216"/>
        <v>0</v>
      </c>
      <c r="J370" s="11">
        <f t="shared" si="216"/>
        <v>0</v>
      </c>
      <c r="K370" s="11">
        <f t="shared" si="216"/>
        <v>0</v>
      </c>
      <c r="L370" s="11">
        <f t="shared" si="216"/>
        <v>0</v>
      </c>
      <c r="M370" s="11">
        <f t="shared" si="216"/>
        <v>0</v>
      </c>
      <c r="N370" s="7" t="e">
        <f t="shared" si="192"/>
        <v>#DIV/0!</v>
      </c>
    </row>
    <row r="371" spans="1:14" ht="15.75" hidden="1" x14ac:dyDescent="0.25">
      <c r="A371" s="31" t="s">
        <v>325</v>
      </c>
      <c r="B371" s="42" t="s">
        <v>726</v>
      </c>
      <c r="C371" s="42" t="s">
        <v>315</v>
      </c>
      <c r="D371" s="42" t="s">
        <v>266</v>
      </c>
      <c r="E371" s="42" t="s">
        <v>326</v>
      </c>
      <c r="F371" s="3"/>
      <c r="G371" s="11"/>
      <c r="H371" s="11"/>
      <c r="I371" s="11"/>
      <c r="J371" s="11"/>
      <c r="K371" s="11"/>
      <c r="L371" s="11"/>
      <c r="M371" s="11"/>
      <c r="N371" s="7" t="e">
        <f t="shared" si="192"/>
        <v>#DIV/0!</v>
      </c>
    </row>
    <row r="372" spans="1:14" ht="47.25" hidden="1" x14ac:dyDescent="0.25">
      <c r="A372" s="47" t="s">
        <v>312</v>
      </c>
      <c r="B372" s="42" t="s">
        <v>726</v>
      </c>
      <c r="C372" s="42" t="s">
        <v>315</v>
      </c>
      <c r="D372" s="42" t="s">
        <v>266</v>
      </c>
      <c r="E372" s="42"/>
      <c r="F372" s="2">
        <v>903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7" t="e">
        <f t="shared" si="192"/>
        <v>#DIV/0!</v>
      </c>
    </row>
    <row r="373" spans="1:14" ht="31.5" x14ac:dyDescent="0.25">
      <c r="A373" s="31" t="s">
        <v>329</v>
      </c>
      <c r="B373" s="42" t="s">
        <v>330</v>
      </c>
      <c r="C373" s="42" t="s">
        <v>315</v>
      </c>
      <c r="D373" s="42" t="s">
        <v>266</v>
      </c>
      <c r="E373" s="42"/>
      <c r="F373" s="3"/>
      <c r="G373" s="11">
        <f>G374</f>
        <v>0</v>
      </c>
      <c r="H373" s="11">
        <f t="shared" ref="H373:M374" si="217">H374</f>
        <v>0</v>
      </c>
      <c r="I373" s="11">
        <f t="shared" si="217"/>
        <v>0</v>
      </c>
      <c r="J373" s="11">
        <f t="shared" si="217"/>
        <v>0</v>
      </c>
      <c r="K373" s="11">
        <f t="shared" si="217"/>
        <v>0</v>
      </c>
      <c r="L373" s="11">
        <f t="shared" si="217"/>
        <v>127.39999999999999</v>
      </c>
      <c r="M373" s="11">
        <f t="shared" si="217"/>
        <v>127.4</v>
      </c>
      <c r="N373" s="7">
        <f t="shared" si="192"/>
        <v>100.00000000000003</v>
      </c>
    </row>
    <row r="374" spans="1:14" ht="31.5" x14ac:dyDescent="0.25">
      <c r="A374" s="31" t="s">
        <v>323</v>
      </c>
      <c r="B374" s="42" t="s">
        <v>330</v>
      </c>
      <c r="C374" s="42" t="s">
        <v>315</v>
      </c>
      <c r="D374" s="42" t="s">
        <v>266</v>
      </c>
      <c r="E374" s="42" t="s">
        <v>324</v>
      </c>
      <c r="F374" s="3"/>
      <c r="G374" s="11">
        <f>G375</f>
        <v>0</v>
      </c>
      <c r="H374" s="11">
        <f t="shared" si="217"/>
        <v>0</v>
      </c>
      <c r="I374" s="11">
        <f t="shared" si="217"/>
        <v>0</v>
      </c>
      <c r="J374" s="11">
        <f t="shared" si="217"/>
        <v>0</v>
      </c>
      <c r="K374" s="11">
        <f t="shared" si="217"/>
        <v>0</v>
      </c>
      <c r="L374" s="11">
        <f t="shared" si="217"/>
        <v>127.39999999999999</v>
      </c>
      <c r="M374" s="11">
        <f t="shared" si="217"/>
        <v>127.4</v>
      </c>
      <c r="N374" s="7">
        <f t="shared" si="192"/>
        <v>100.00000000000003</v>
      </c>
    </row>
    <row r="375" spans="1:14" ht="15.75" x14ac:dyDescent="0.25">
      <c r="A375" s="31" t="s">
        <v>325</v>
      </c>
      <c r="B375" s="42" t="s">
        <v>330</v>
      </c>
      <c r="C375" s="42" t="s">
        <v>315</v>
      </c>
      <c r="D375" s="42" t="s">
        <v>266</v>
      </c>
      <c r="E375" s="42" t="s">
        <v>326</v>
      </c>
      <c r="F375" s="3"/>
      <c r="G375" s="11"/>
      <c r="H375" s="11"/>
      <c r="I375" s="11"/>
      <c r="J375" s="11"/>
      <c r="K375" s="11"/>
      <c r="L375" s="11">
        <f>'Прил.№4 ведомств.'!M294</f>
        <v>127.39999999999999</v>
      </c>
      <c r="M375" s="11">
        <f>'Прил.№4 ведомств.'!N294</f>
        <v>127.4</v>
      </c>
      <c r="N375" s="7">
        <f t="shared" si="192"/>
        <v>100.00000000000003</v>
      </c>
    </row>
    <row r="376" spans="1:14" ht="47.25" hidden="1" x14ac:dyDescent="0.25">
      <c r="A376" s="47" t="s">
        <v>312</v>
      </c>
      <c r="B376" s="42" t="s">
        <v>727</v>
      </c>
      <c r="C376" s="42" t="s">
        <v>315</v>
      </c>
      <c r="D376" s="42" t="s">
        <v>266</v>
      </c>
      <c r="E376" s="42"/>
      <c r="F376" s="2">
        <v>903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7" t="e">
        <f t="shared" si="192"/>
        <v>#DIV/0!</v>
      </c>
    </row>
    <row r="377" spans="1:14" ht="31.5" hidden="1" x14ac:dyDescent="0.25">
      <c r="A377" s="31" t="s">
        <v>331</v>
      </c>
      <c r="B377" s="42" t="s">
        <v>728</v>
      </c>
      <c r="C377" s="42" t="s">
        <v>315</v>
      </c>
      <c r="D377" s="42" t="s">
        <v>266</v>
      </c>
      <c r="E377" s="42"/>
      <c r="F377" s="3"/>
      <c r="G377" s="11">
        <f>G378</f>
        <v>0</v>
      </c>
      <c r="H377" s="11">
        <f t="shared" ref="H377:M378" si="218">H378</f>
        <v>0</v>
      </c>
      <c r="I377" s="11">
        <f t="shared" si="218"/>
        <v>0</v>
      </c>
      <c r="J377" s="11">
        <f t="shared" si="218"/>
        <v>0</v>
      </c>
      <c r="K377" s="11">
        <f t="shared" si="218"/>
        <v>0</v>
      </c>
      <c r="L377" s="11">
        <f t="shared" si="218"/>
        <v>0</v>
      </c>
      <c r="M377" s="11">
        <f t="shared" si="218"/>
        <v>0</v>
      </c>
      <c r="N377" s="7" t="e">
        <f t="shared" si="192"/>
        <v>#DIV/0!</v>
      </c>
    </row>
    <row r="378" spans="1:14" ht="69" hidden="1" customHeight="1" x14ac:dyDescent="0.25">
      <c r="A378" s="31" t="s">
        <v>323</v>
      </c>
      <c r="B378" s="42" t="s">
        <v>728</v>
      </c>
      <c r="C378" s="42" t="s">
        <v>315</v>
      </c>
      <c r="D378" s="42" t="s">
        <v>266</v>
      </c>
      <c r="E378" s="42" t="s">
        <v>324</v>
      </c>
      <c r="F378" s="3"/>
      <c r="G378" s="11">
        <f>G379</f>
        <v>0</v>
      </c>
      <c r="H378" s="11">
        <f t="shared" si="218"/>
        <v>0</v>
      </c>
      <c r="I378" s="11">
        <f t="shared" si="218"/>
        <v>0</v>
      </c>
      <c r="J378" s="11">
        <f t="shared" si="218"/>
        <v>0</v>
      </c>
      <c r="K378" s="11">
        <f t="shared" si="218"/>
        <v>0</v>
      </c>
      <c r="L378" s="11">
        <f t="shared" si="218"/>
        <v>0</v>
      </c>
      <c r="M378" s="11">
        <f t="shared" si="218"/>
        <v>0</v>
      </c>
      <c r="N378" s="7" t="e">
        <f t="shared" si="192"/>
        <v>#DIV/0!</v>
      </c>
    </row>
    <row r="379" spans="1:14" ht="15.75" hidden="1" x14ac:dyDescent="0.25">
      <c r="A379" s="31" t="s">
        <v>325</v>
      </c>
      <c r="B379" s="42" t="s">
        <v>728</v>
      </c>
      <c r="C379" s="42" t="s">
        <v>315</v>
      </c>
      <c r="D379" s="42" t="s">
        <v>266</v>
      </c>
      <c r="E379" s="42" t="s">
        <v>326</v>
      </c>
      <c r="F379" s="3"/>
      <c r="G379" s="11"/>
      <c r="H379" s="11"/>
      <c r="I379" s="11"/>
      <c r="J379" s="11"/>
      <c r="K379" s="11"/>
      <c r="L379" s="11"/>
      <c r="M379" s="11"/>
      <c r="N379" s="7" t="e">
        <f t="shared" si="192"/>
        <v>#DIV/0!</v>
      </c>
    </row>
    <row r="380" spans="1:14" ht="47.25" hidden="1" x14ac:dyDescent="0.25">
      <c r="A380" s="47" t="s">
        <v>312</v>
      </c>
      <c r="B380" s="42" t="s">
        <v>728</v>
      </c>
      <c r="C380" s="42" t="s">
        <v>315</v>
      </c>
      <c r="D380" s="42" t="s">
        <v>266</v>
      </c>
      <c r="E380" s="42"/>
      <c r="F380" s="2">
        <v>903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7" t="e">
        <f t="shared" si="192"/>
        <v>#DIV/0!</v>
      </c>
    </row>
    <row r="381" spans="1:14" ht="31.5" x14ac:dyDescent="0.25">
      <c r="A381" s="31" t="s">
        <v>333</v>
      </c>
      <c r="B381" s="42" t="s">
        <v>334</v>
      </c>
      <c r="C381" s="42" t="s">
        <v>315</v>
      </c>
      <c r="D381" s="42" t="s">
        <v>266</v>
      </c>
      <c r="E381" s="42"/>
      <c r="F381" s="3"/>
      <c r="G381" s="11">
        <f>G382</f>
        <v>50</v>
      </c>
      <c r="H381" s="11">
        <f t="shared" ref="H381:M382" si="219">H382</f>
        <v>50</v>
      </c>
      <c r="I381" s="11">
        <f t="shared" si="219"/>
        <v>60</v>
      </c>
      <c r="J381" s="11">
        <f t="shared" si="219"/>
        <v>60</v>
      </c>
      <c r="K381" s="11">
        <f t="shared" si="219"/>
        <v>60</v>
      </c>
      <c r="L381" s="11">
        <f t="shared" si="219"/>
        <v>50</v>
      </c>
      <c r="M381" s="11">
        <f t="shared" si="219"/>
        <v>50</v>
      </c>
      <c r="N381" s="7">
        <f t="shared" si="192"/>
        <v>100</v>
      </c>
    </row>
    <row r="382" spans="1:14" ht="31.5" x14ac:dyDescent="0.25">
      <c r="A382" s="31" t="s">
        <v>323</v>
      </c>
      <c r="B382" s="42" t="s">
        <v>334</v>
      </c>
      <c r="C382" s="42" t="s">
        <v>315</v>
      </c>
      <c r="D382" s="42" t="s">
        <v>266</v>
      </c>
      <c r="E382" s="42" t="s">
        <v>324</v>
      </c>
      <c r="F382" s="3"/>
      <c r="G382" s="11">
        <f>G383</f>
        <v>50</v>
      </c>
      <c r="H382" s="11">
        <f t="shared" si="219"/>
        <v>50</v>
      </c>
      <c r="I382" s="11">
        <f t="shared" si="219"/>
        <v>60</v>
      </c>
      <c r="J382" s="11">
        <f t="shared" si="219"/>
        <v>60</v>
      </c>
      <c r="K382" s="11">
        <f t="shared" si="219"/>
        <v>60</v>
      </c>
      <c r="L382" s="11">
        <f t="shared" si="219"/>
        <v>50</v>
      </c>
      <c r="M382" s="11">
        <f t="shared" si="219"/>
        <v>50</v>
      </c>
      <c r="N382" s="7">
        <f t="shared" si="192"/>
        <v>100</v>
      </c>
    </row>
    <row r="383" spans="1:14" ht="15.75" x14ac:dyDescent="0.25">
      <c r="A383" s="31" t="s">
        <v>325</v>
      </c>
      <c r="B383" s="42" t="s">
        <v>334</v>
      </c>
      <c r="C383" s="42" t="s">
        <v>315</v>
      </c>
      <c r="D383" s="42" t="s">
        <v>266</v>
      </c>
      <c r="E383" s="42" t="s">
        <v>326</v>
      </c>
      <c r="F383" s="3"/>
      <c r="G383" s="7">
        <f>'Прил.№4 ведомств.'!G300</f>
        <v>50</v>
      </c>
      <c r="H383" s="7">
        <f>'Прил.№4 ведомств.'!I300</f>
        <v>50</v>
      </c>
      <c r="I383" s="7">
        <f>'Прил.№4 ведомств.'!J300</f>
        <v>60</v>
      </c>
      <c r="J383" s="7">
        <f>'Прил.№4 ведомств.'!K300</f>
        <v>60</v>
      </c>
      <c r="K383" s="7">
        <f>'Прил.№4 ведомств.'!L300</f>
        <v>60</v>
      </c>
      <c r="L383" s="7">
        <f>'Прил.№4 ведомств.'!M300</f>
        <v>50</v>
      </c>
      <c r="M383" s="7">
        <f>'Прил.№4 ведомств.'!N300</f>
        <v>50</v>
      </c>
      <c r="N383" s="7">
        <f t="shared" si="192"/>
        <v>100</v>
      </c>
    </row>
    <row r="384" spans="1:14" ht="31.5" x14ac:dyDescent="0.25">
      <c r="A384" s="26" t="s">
        <v>335</v>
      </c>
      <c r="B384" s="42" t="s">
        <v>337</v>
      </c>
      <c r="C384" s="42" t="s">
        <v>315</v>
      </c>
      <c r="D384" s="42" t="s">
        <v>266</v>
      </c>
      <c r="E384" s="42"/>
      <c r="F384" s="3"/>
      <c r="G384" s="11">
        <f>G385</f>
        <v>0</v>
      </c>
      <c r="H384" s="11">
        <f t="shared" ref="H384:M385" si="220">H385</f>
        <v>0</v>
      </c>
      <c r="I384" s="11">
        <f t="shared" si="220"/>
        <v>275</v>
      </c>
      <c r="J384" s="11">
        <f t="shared" si="220"/>
        <v>275</v>
      </c>
      <c r="K384" s="11">
        <f t="shared" si="220"/>
        <v>275</v>
      </c>
      <c r="L384" s="11">
        <f t="shared" si="220"/>
        <v>37.94</v>
      </c>
      <c r="M384" s="11">
        <f t="shared" si="220"/>
        <v>0</v>
      </c>
      <c r="N384" s="7">
        <f t="shared" si="192"/>
        <v>0</v>
      </c>
    </row>
    <row r="385" spans="1:14" ht="31.5" x14ac:dyDescent="0.25">
      <c r="A385" s="26" t="s">
        <v>323</v>
      </c>
      <c r="B385" s="42" t="s">
        <v>337</v>
      </c>
      <c r="C385" s="42" t="s">
        <v>315</v>
      </c>
      <c r="D385" s="42" t="s">
        <v>266</v>
      </c>
      <c r="E385" s="42" t="s">
        <v>324</v>
      </c>
      <c r="F385" s="3"/>
      <c r="G385" s="11">
        <f>G386</f>
        <v>0</v>
      </c>
      <c r="H385" s="11">
        <f t="shared" si="220"/>
        <v>0</v>
      </c>
      <c r="I385" s="11">
        <f t="shared" si="220"/>
        <v>275</v>
      </c>
      <c r="J385" s="11">
        <f t="shared" si="220"/>
        <v>275</v>
      </c>
      <c r="K385" s="11">
        <f t="shared" si="220"/>
        <v>275</v>
      </c>
      <c r="L385" s="11">
        <f t="shared" si="220"/>
        <v>37.94</v>
      </c>
      <c r="M385" s="11">
        <f t="shared" si="220"/>
        <v>0</v>
      </c>
      <c r="N385" s="7">
        <f t="shared" si="192"/>
        <v>0</v>
      </c>
    </row>
    <row r="386" spans="1:14" ht="15.75" x14ac:dyDescent="0.25">
      <c r="A386" s="26" t="s">
        <v>325</v>
      </c>
      <c r="B386" s="42" t="s">
        <v>337</v>
      </c>
      <c r="C386" s="42" t="s">
        <v>315</v>
      </c>
      <c r="D386" s="42" t="s">
        <v>266</v>
      </c>
      <c r="E386" s="42" t="s">
        <v>326</v>
      </c>
      <c r="F386" s="3"/>
      <c r="G386" s="11">
        <f>'Прил.№4 ведомств.'!G303</f>
        <v>0</v>
      </c>
      <c r="H386" s="11">
        <f>'Прил.№4 ведомств.'!I303</f>
        <v>0</v>
      </c>
      <c r="I386" s="11">
        <f>'Прил.№4 ведомств.'!J303</f>
        <v>275</v>
      </c>
      <c r="J386" s="11">
        <f>'Прил.№4 ведомств.'!K303</f>
        <v>275</v>
      </c>
      <c r="K386" s="11">
        <f>'Прил.№4 ведомств.'!L303</f>
        <v>275</v>
      </c>
      <c r="L386" s="11">
        <f>'Прил.№4 ведомств.'!M303</f>
        <v>37.94</v>
      </c>
      <c r="M386" s="11">
        <f>'Прил.№4 ведомств.'!N303</f>
        <v>0</v>
      </c>
      <c r="N386" s="7">
        <f t="shared" si="192"/>
        <v>0</v>
      </c>
    </row>
    <row r="387" spans="1:14" ht="31.5" hidden="1" x14ac:dyDescent="0.25">
      <c r="A387" s="70" t="s">
        <v>338</v>
      </c>
      <c r="B387" s="21" t="s">
        <v>339</v>
      </c>
      <c r="C387" s="42" t="s">
        <v>315</v>
      </c>
      <c r="D387" s="42" t="s">
        <v>266</v>
      </c>
      <c r="E387" s="42"/>
      <c r="F387" s="3"/>
      <c r="G387" s="11">
        <f>G388</f>
        <v>0</v>
      </c>
      <c r="H387" s="11">
        <f t="shared" ref="H387:M388" si="221">H388</f>
        <v>0</v>
      </c>
      <c r="I387" s="11">
        <f t="shared" si="221"/>
        <v>600</v>
      </c>
      <c r="J387" s="11">
        <f t="shared" si="221"/>
        <v>0</v>
      </c>
      <c r="K387" s="11">
        <f t="shared" si="221"/>
        <v>0</v>
      </c>
      <c r="L387" s="11">
        <f t="shared" si="221"/>
        <v>0</v>
      </c>
      <c r="M387" s="11">
        <f t="shared" si="221"/>
        <v>0</v>
      </c>
      <c r="N387" s="7" t="e">
        <f t="shared" si="192"/>
        <v>#DIV/0!</v>
      </c>
    </row>
    <row r="388" spans="1:14" ht="31.5" hidden="1" x14ac:dyDescent="0.25">
      <c r="A388" s="31" t="s">
        <v>323</v>
      </c>
      <c r="B388" s="21" t="s">
        <v>339</v>
      </c>
      <c r="C388" s="42" t="s">
        <v>315</v>
      </c>
      <c r="D388" s="42" t="s">
        <v>266</v>
      </c>
      <c r="E388" s="42" t="s">
        <v>324</v>
      </c>
      <c r="F388" s="3"/>
      <c r="G388" s="11">
        <f>G389</f>
        <v>0</v>
      </c>
      <c r="H388" s="11">
        <f t="shared" si="221"/>
        <v>0</v>
      </c>
      <c r="I388" s="11">
        <f t="shared" si="221"/>
        <v>600</v>
      </c>
      <c r="J388" s="11">
        <f t="shared" si="221"/>
        <v>0</v>
      </c>
      <c r="K388" s="11">
        <f t="shared" si="221"/>
        <v>0</v>
      </c>
      <c r="L388" s="11">
        <f t="shared" si="221"/>
        <v>0</v>
      </c>
      <c r="M388" s="11">
        <f t="shared" si="221"/>
        <v>0</v>
      </c>
      <c r="N388" s="7" t="e">
        <f t="shared" si="192"/>
        <v>#DIV/0!</v>
      </c>
    </row>
    <row r="389" spans="1:14" ht="15.75" hidden="1" x14ac:dyDescent="0.25">
      <c r="A389" s="262" t="s">
        <v>325</v>
      </c>
      <c r="B389" s="21" t="s">
        <v>339</v>
      </c>
      <c r="C389" s="42" t="s">
        <v>315</v>
      </c>
      <c r="D389" s="42" t="s">
        <v>266</v>
      </c>
      <c r="E389" s="42" t="s">
        <v>326</v>
      </c>
      <c r="F389" s="3"/>
      <c r="G389" s="11">
        <f>'Прил.№4 ведомств.'!G306</f>
        <v>0</v>
      </c>
      <c r="H389" s="11">
        <f>'Прил.№4 ведомств.'!I306</f>
        <v>0</v>
      </c>
      <c r="I389" s="11">
        <f>'Прил.№4 ведомств.'!J306</f>
        <v>600</v>
      </c>
      <c r="J389" s="11">
        <f>'Прил.№4 ведомств.'!K306</f>
        <v>0</v>
      </c>
      <c r="K389" s="11">
        <f>'Прил.№4 ведомств.'!L306</f>
        <v>0</v>
      </c>
      <c r="L389" s="11">
        <f>'Прил.№4 ведомств.'!M306</f>
        <v>0</v>
      </c>
      <c r="M389" s="11">
        <f>'Прил.№4 ведомств.'!N306</f>
        <v>0</v>
      </c>
      <c r="N389" s="7" t="e">
        <f t="shared" si="192"/>
        <v>#DIV/0!</v>
      </c>
    </row>
    <row r="390" spans="1:14" ht="31.5" x14ac:dyDescent="0.25">
      <c r="A390" s="70" t="s">
        <v>861</v>
      </c>
      <c r="B390" s="21" t="s">
        <v>867</v>
      </c>
      <c r="C390" s="42" t="s">
        <v>315</v>
      </c>
      <c r="D390" s="42" t="s">
        <v>266</v>
      </c>
      <c r="E390" s="42"/>
      <c r="F390" s="3"/>
      <c r="G390" s="11">
        <f>G391</f>
        <v>0</v>
      </c>
      <c r="H390" s="11">
        <f t="shared" ref="H390:M391" si="222">H391</f>
        <v>0</v>
      </c>
      <c r="I390" s="11">
        <f t="shared" si="222"/>
        <v>661.8</v>
      </c>
      <c r="J390" s="11">
        <f t="shared" si="222"/>
        <v>661.8</v>
      </c>
      <c r="K390" s="11">
        <f t="shared" si="222"/>
        <v>661.8</v>
      </c>
      <c r="L390" s="11">
        <f t="shared" si="222"/>
        <v>661.8</v>
      </c>
      <c r="M390" s="11">
        <f t="shared" si="222"/>
        <v>661.8</v>
      </c>
      <c r="N390" s="7">
        <f t="shared" si="192"/>
        <v>100</v>
      </c>
    </row>
    <row r="391" spans="1:14" ht="31.5" x14ac:dyDescent="0.25">
      <c r="A391" s="31" t="s">
        <v>323</v>
      </c>
      <c r="B391" s="21" t="s">
        <v>867</v>
      </c>
      <c r="C391" s="42" t="s">
        <v>315</v>
      </c>
      <c r="D391" s="42" t="s">
        <v>266</v>
      </c>
      <c r="E391" s="42" t="s">
        <v>324</v>
      </c>
      <c r="F391" s="3"/>
      <c r="G391" s="11">
        <f>G392</f>
        <v>0</v>
      </c>
      <c r="H391" s="11">
        <f t="shared" si="222"/>
        <v>0</v>
      </c>
      <c r="I391" s="11">
        <f t="shared" si="222"/>
        <v>661.8</v>
      </c>
      <c r="J391" s="11">
        <f t="shared" si="222"/>
        <v>661.8</v>
      </c>
      <c r="K391" s="11">
        <f t="shared" si="222"/>
        <v>661.8</v>
      </c>
      <c r="L391" s="11">
        <f t="shared" si="222"/>
        <v>661.8</v>
      </c>
      <c r="M391" s="11">
        <f t="shared" si="222"/>
        <v>661.8</v>
      </c>
      <c r="N391" s="7">
        <f t="shared" si="192"/>
        <v>100</v>
      </c>
    </row>
    <row r="392" spans="1:14" ht="15.75" x14ac:dyDescent="0.25">
      <c r="A392" s="262" t="s">
        <v>325</v>
      </c>
      <c r="B392" s="21" t="s">
        <v>867</v>
      </c>
      <c r="C392" s="42" t="s">
        <v>315</v>
      </c>
      <c r="D392" s="42" t="s">
        <v>266</v>
      </c>
      <c r="E392" s="42" t="s">
        <v>326</v>
      </c>
      <c r="F392" s="3"/>
      <c r="G392" s="11">
        <f>'Прил.№4 ведомств.'!G309</f>
        <v>0</v>
      </c>
      <c r="H392" s="11">
        <f>'Прил.№4 ведомств.'!I309</f>
        <v>0</v>
      </c>
      <c r="I392" s="11">
        <f>'Прил.№4 ведомств.'!J309</f>
        <v>661.8</v>
      </c>
      <c r="J392" s="11">
        <f>'Прил.№4 ведомств.'!K309</f>
        <v>661.8</v>
      </c>
      <c r="K392" s="11">
        <f>'Прил.№4 ведомств.'!L309</f>
        <v>661.8</v>
      </c>
      <c r="L392" s="11">
        <f>'Прил.№4 ведомств.'!M309</f>
        <v>661.8</v>
      </c>
      <c r="M392" s="11">
        <f>'Прил.№4 ведомств.'!N309</f>
        <v>661.8</v>
      </c>
      <c r="N392" s="7">
        <f t="shared" si="192"/>
        <v>100</v>
      </c>
    </row>
    <row r="393" spans="1:14" ht="47.25" x14ac:dyDescent="0.25">
      <c r="A393" s="47" t="s">
        <v>312</v>
      </c>
      <c r="B393" s="42" t="s">
        <v>320</v>
      </c>
      <c r="C393" s="42" t="s">
        <v>315</v>
      </c>
      <c r="D393" s="42" t="s">
        <v>266</v>
      </c>
      <c r="E393" s="42"/>
      <c r="F393" s="2">
        <v>903</v>
      </c>
      <c r="G393" s="11">
        <f>G363</f>
        <v>16445.599999999999</v>
      </c>
      <c r="H393" s="11">
        <f t="shared" ref="H393:L393" si="223">H363</f>
        <v>11383.333333333334</v>
      </c>
      <c r="I393" s="11">
        <f t="shared" si="223"/>
        <v>21824</v>
      </c>
      <c r="J393" s="11">
        <f t="shared" si="223"/>
        <v>21497.599999999999</v>
      </c>
      <c r="K393" s="11">
        <f t="shared" si="223"/>
        <v>21724.799999999999</v>
      </c>
      <c r="L393" s="11">
        <f t="shared" si="223"/>
        <v>16723.800000000003</v>
      </c>
      <c r="M393" s="11">
        <f t="shared" ref="M393" si="224">M363</f>
        <v>13739.999999999998</v>
      </c>
      <c r="N393" s="7">
        <f t="shared" si="192"/>
        <v>82.158361138018847</v>
      </c>
    </row>
    <row r="394" spans="1:14" ht="62.25" customHeight="1" x14ac:dyDescent="0.25">
      <c r="A394" s="43" t="s">
        <v>352</v>
      </c>
      <c r="B394" s="8" t="s">
        <v>353</v>
      </c>
      <c r="C394" s="8"/>
      <c r="D394" s="8"/>
      <c r="E394" s="84"/>
      <c r="F394" s="3"/>
      <c r="G394" s="68">
        <f>G395</f>
        <v>25422.5</v>
      </c>
      <c r="H394" s="68">
        <f t="shared" ref="H394:M395" si="225">H395</f>
        <v>25422.5</v>
      </c>
      <c r="I394" s="68">
        <f t="shared" si="225"/>
        <v>30257.599999999999</v>
      </c>
      <c r="J394" s="68">
        <f t="shared" si="225"/>
        <v>31110.899999999998</v>
      </c>
      <c r="K394" s="68">
        <f t="shared" si="225"/>
        <v>31536.199999999997</v>
      </c>
      <c r="L394" s="68">
        <f t="shared" si="225"/>
        <v>23859.3</v>
      </c>
      <c r="M394" s="68">
        <f t="shared" si="225"/>
        <v>19307.499999999996</v>
      </c>
      <c r="N394" s="4">
        <f t="shared" si="192"/>
        <v>80.922323789884857</v>
      </c>
    </row>
    <row r="395" spans="1:14" ht="15.75" x14ac:dyDescent="0.25">
      <c r="A395" s="85" t="s">
        <v>349</v>
      </c>
      <c r="B395" s="42" t="s">
        <v>353</v>
      </c>
      <c r="C395" s="42" t="s">
        <v>350</v>
      </c>
      <c r="D395" s="85"/>
      <c r="E395" s="85"/>
      <c r="F395" s="2"/>
      <c r="G395" s="11">
        <f>G396</f>
        <v>25422.5</v>
      </c>
      <c r="H395" s="11">
        <f t="shared" si="225"/>
        <v>25422.5</v>
      </c>
      <c r="I395" s="11">
        <f t="shared" si="225"/>
        <v>30257.599999999999</v>
      </c>
      <c r="J395" s="11">
        <f t="shared" si="225"/>
        <v>31110.899999999998</v>
      </c>
      <c r="K395" s="11">
        <f t="shared" si="225"/>
        <v>31536.199999999997</v>
      </c>
      <c r="L395" s="11">
        <f t="shared" si="225"/>
        <v>23859.3</v>
      </c>
      <c r="M395" s="11">
        <f t="shared" si="225"/>
        <v>19307.499999999996</v>
      </c>
      <c r="N395" s="7">
        <f t="shared" si="192"/>
        <v>80.922323789884857</v>
      </c>
    </row>
    <row r="396" spans="1:14" ht="15.75" x14ac:dyDescent="0.25">
      <c r="A396" s="85" t="s">
        <v>351</v>
      </c>
      <c r="B396" s="42" t="s">
        <v>353</v>
      </c>
      <c r="C396" s="42" t="s">
        <v>350</v>
      </c>
      <c r="D396" s="42" t="s">
        <v>169</v>
      </c>
      <c r="E396" s="85"/>
      <c r="F396" s="2"/>
      <c r="G396" s="11">
        <f>G397+G403+G406+G400+G409+G412+G415</f>
        <v>25422.5</v>
      </c>
      <c r="H396" s="11">
        <f t="shared" ref="H396:K396" si="226">H397+H403+H406+H400+H409+H412+H415</f>
        <v>25422.5</v>
      </c>
      <c r="I396" s="11">
        <f t="shared" si="226"/>
        <v>30257.599999999999</v>
      </c>
      <c r="J396" s="11">
        <f t="shared" si="226"/>
        <v>31110.899999999998</v>
      </c>
      <c r="K396" s="11">
        <f t="shared" si="226"/>
        <v>31536.199999999997</v>
      </c>
      <c r="L396" s="11">
        <f>L397+L403+L406+L400+L409+L412+L415</f>
        <v>23859.3</v>
      </c>
      <c r="M396" s="11">
        <f t="shared" ref="M396" si="227">M397+M403+M406+M400+M409+M412+M415</f>
        <v>19307.499999999996</v>
      </c>
      <c r="N396" s="7">
        <f t="shared" si="192"/>
        <v>80.922323789884857</v>
      </c>
    </row>
    <row r="397" spans="1:14" ht="31.5" x14ac:dyDescent="0.25">
      <c r="A397" s="31" t="s">
        <v>354</v>
      </c>
      <c r="B397" s="42" t="s">
        <v>355</v>
      </c>
      <c r="C397" s="42" t="s">
        <v>350</v>
      </c>
      <c r="D397" s="42" t="s">
        <v>169</v>
      </c>
      <c r="E397" s="85"/>
      <c r="F397" s="2"/>
      <c r="G397" s="11">
        <f>G398</f>
        <v>23654.800000000003</v>
      </c>
      <c r="H397" s="11">
        <f t="shared" ref="H397:M398" si="228">H398</f>
        <v>23654.800000000003</v>
      </c>
      <c r="I397" s="11">
        <f t="shared" si="228"/>
        <v>26579.5</v>
      </c>
      <c r="J397" s="11">
        <f t="shared" si="228"/>
        <v>27182.799999999999</v>
      </c>
      <c r="K397" s="11">
        <f t="shared" si="228"/>
        <v>27608.1</v>
      </c>
      <c r="L397" s="11">
        <f t="shared" si="228"/>
        <v>21919.9</v>
      </c>
      <c r="M397" s="11">
        <f t="shared" si="228"/>
        <v>18409.3</v>
      </c>
      <c r="N397" s="7">
        <f t="shared" ref="N397:N460" si="229">M397/L397*100</f>
        <v>83.984415987299201</v>
      </c>
    </row>
    <row r="398" spans="1:14" ht="31.5" x14ac:dyDescent="0.25">
      <c r="A398" s="31" t="s">
        <v>323</v>
      </c>
      <c r="B398" s="42" t="s">
        <v>355</v>
      </c>
      <c r="C398" s="42" t="s">
        <v>350</v>
      </c>
      <c r="D398" s="42" t="s">
        <v>169</v>
      </c>
      <c r="E398" s="42" t="s">
        <v>324</v>
      </c>
      <c r="F398" s="2"/>
      <c r="G398" s="11">
        <f>G399</f>
        <v>23654.800000000003</v>
      </c>
      <c r="H398" s="11">
        <f t="shared" si="228"/>
        <v>23654.800000000003</v>
      </c>
      <c r="I398" s="11">
        <f t="shared" si="228"/>
        <v>26579.5</v>
      </c>
      <c r="J398" s="11">
        <f t="shared" si="228"/>
        <v>27182.799999999999</v>
      </c>
      <c r="K398" s="11">
        <f t="shared" si="228"/>
        <v>27608.1</v>
      </c>
      <c r="L398" s="11">
        <f t="shared" si="228"/>
        <v>21919.9</v>
      </c>
      <c r="M398" s="11">
        <f t="shared" si="228"/>
        <v>18409.3</v>
      </c>
      <c r="N398" s="7">
        <f t="shared" si="229"/>
        <v>83.984415987299201</v>
      </c>
    </row>
    <row r="399" spans="1:14" ht="15.75" x14ac:dyDescent="0.25">
      <c r="A399" s="31" t="s">
        <v>325</v>
      </c>
      <c r="B399" s="42" t="s">
        <v>355</v>
      </c>
      <c r="C399" s="42" t="s">
        <v>350</v>
      </c>
      <c r="D399" s="42" t="s">
        <v>169</v>
      </c>
      <c r="E399" s="42" t="s">
        <v>326</v>
      </c>
      <c r="F399" s="2"/>
      <c r="G399" s="11">
        <f>'Прил.№4 ведомств.'!G333</f>
        <v>23654.800000000003</v>
      </c>
      <c r="H399" s="11">
        <f>'Прил.№4 ведомств.'!I333</f>
        <v>23654.800000000003</v>
      </c>
      <c r="I399" s="11">
        <f>'Прил.№4 ведомств.'!J333</f>
        <v>26579.5</v>
      </c>
      <c r="J399" s="11">
        <f>'Прил.№4 ведомств.'!K333</f>
        <v>27182.799999999999</v>
      </c>
      <c r="K399" s="11">
        <f>'Прил.№4 ведомств.'!L333</f>
        <v>27608.1</v>
      </c>
      <c r="L399" s="11">
        <f>'Прил.№4 ведомств.'!M333</f>
        <v>21919.9</v>
      </c>
      <c r="M399" s="11">
        <f>'Прил.№4 ведомств.'!N333</f>
        <v>18409.3</v>
      </c>
      <c r="N399" s="7">
        <f t="shared" si="229"/>
        <v>83.984415987299201</v>
      </c>
    </row>
    <row r="400" spans="1:14" ht="47.25" x14ac:dyDescent="0.25">
      <c r="A400" s="31" t="s">
        <v>327</v>
      </c>
      <c r="B400" s="42" t="s">
        <v>356</v>
      </c>
      <c r="C400" s="42" t="s">
        <v>350</v>
      </c>
      <c r="D400" s="42" t="s">
        <v>169</v>
      </c>
      <c r="E400" s="42"/>
      <c r="F400" s="2"/>
      <c r="G400" s="11">
        <f>G401</f>
        <v>96.1</v>
      </c>
      <c r="H400" s="11">
        <f t="shared" ref="H400:M401" si="230">H401</f>
        <v>96.1</v>
      </c>
      <c r="I400" s="11">
        <f t="shared" si="230"/>
        <v>650</v>
      </c>
      <c r="J400" s="11">
        <f t="shared" si="230"/>
        <v>800</v>
      </c>
      <c r="K400" s="11">
        <f t="shared" si="230"/>
        <v>900</v>
      </c>
      <c r="L400" s="11">
        <f t="shared" si="230"/>
        <v>1086.3</v>
      </c>
      <c r="M400" s="11">
        <f t="shared" si="230"/>
        <v>145.1</v>
      </c>
      <c r="N400" s="7">
        <f t="shared" si="229"/>
        <v>13.357267789745006</v>
      </c>
    </row>
    <row r="401" spans="1:14" ht="31.5" x14ac:dyDescent="0.25">
      <c r="A401" s="31" t="s">
        <v>323</v>
      </c>
      <c r="B401" s="42" t="s">
        <v>356</v>
      </c>
      <c r="C401" s="42" t="s">
        <v>350</v>
      </c>
      <c r="D401" s="42" t="s">
        <v>169</v>
      </c>
      <c r="E401" s="42" t="s">
        <v>324</v>
      </c>
      <c r="F401" s="2"/>
      <c r="G401" s="11">
        <f>G402</f>
        <v>96.1</v>
      </c>
      <c r="H401" s="11">
        <f t="shared" si="230"/>
        <v>96.1</v>
      </c>
      <c r="I401" s="11">
        <f t="shared" si="230"/>
        <v>650</v>
      </c>
      <c r="J401" s="11">
        <f t="shared" si="230"/>
        <v>800</v>
      </c>
      <c r="K401" s="11">
        <f t="shared" si="230"/>
        <v>900</v>
      </c>
      <c r="L401" s="11">
        <f t="shared" si="230"/>
        <v>1086.3</v>
      </c>
      <c r="M401" s="11">
        <f t="shared" si="230"/>
        <v>145.1</v>
      </c>
      <c r="N401" s="7">
        <f t="shared" si="229"/>
        <v>13.357267789745006</v>
      </c>
    </row>
    <row r="402" spans="1:14" ht="15.75" x14ac:dyDescent="0.25">
      <c r="A402" s="31" t="s">
        <v>325</v>
      </c>
      <c r="B402" s="42" t="s">
        <v>356</v>
      </c>
      <c r="C402" s="42" t="s">
        <v>350</v>
      </c>
      <c r="D402" s="42" t="s">
        <v>169</v>
      </c>
      <c r="E402" s="42" t="s">
        <v>326</v>
      </c>
      <c r="F402" s="2"/>
      <c r="G402" s="11">
        <f>'Прил.№4 ведомств.'!G336</f>
        <v>96.1</v>
      </c>
      <c r="H402" s="11">
        <f>'Прил.№4 ведомств.'!I336</f>
        <v>96.1</v>
      </c>
      <c r="I402" s="11">
        <f>'Прил.№4 ведомств.'!J336</f>
        <v>650</v>
      </c>
      <c r="J402" s="11">
        <f>'Прил.№4 ведомств.'!K336</f>
        <v>800</v>
      </c>
      <c r="K402" s="11">
        <f>'Прил.№4 ведомств.'!L336</f>
        <v>900</v>
      </c>
      <c r="L402" s="11">
        <f>'Прил.№4 ведомств.'!M336</f>
        <v>1086.3</v>
      </c>
      <c r="M402" s="11">
        <f>'Прил.№4 ведомств.'!N336</f>
        <v>145.1</v>
      </c>
      <c r="N402" s="7">
        <f t="shared" si="229"/>
        <v>13.357267789745006</v>
      </c>
    </row>
    <row r="403" spans="1:14" ht="31.5" hidden="1" x14ac:dyDescent="0.25">
      <c r="A403" s="31" t="s">
        <v>679</v>
      </c>
      <c r="B403" s="42" t="s">
        <v>357</v>
      </c>
      <c r="C403" s="42" t="s">
        <v>350</v>
      </c>
      <c r="D403" s="42" t="s">
        <v>169</v>
      </c>
      <c r="E403" s="42"/>
      <c r="F403" s="2"/>
      <c r="G403" s="11">
        <f>G404</f>
        <v>142.1</v>
      </c>
      <c r="H403" s="11">
        <f t="shared" ref="H403:M404" si="231">H404</f>
        <v>142.1</v>
      </c>
      <c r="I403" s="11">
        <f t="shared" si="231"/>
        <v>2000</v>
      </c>
      <c r="J403" s="11">
        <f t="shared" si="231"/>
        <v>1500</v>
      </c>
      <c r="K403" s="11">
        <f t="shared" si="231"/>
        <v>2000</v>
      </c>
      <c r="L403" s="11">
        <f t="shared" si="231"/>
        <v>0</v>
      </c>
      <c r="M403" s="11">
        <f t="shared" si="231"/>
        <v>0</v>
      </c>
      <c r="N403" s="7" t="e">
        <f t="shared" si="229"/>
        <v>#DIV/0!</v>
      </c>
    </row>
    <row r="404" spans="1:14" ht="71.25" hidden="1" customHeight="1" x14ac:dyDescent="0.25">
      <c r="A404" s="31" t="s">
        <v>323</v>
      </c>
      <c r="B404" s="42" t="s">
        <v>357</v>
      </c>
      <c r="C404" s="42" t="s">
        <v>350</v>
      </c>
      <c r="D404" s="42" t="s">
        <v>169</v>
      </c>
      <c r="E404" s="42" t="s">
        <v>324</v>
      </c>
      <c r="F404" s="2"/>
      <c r="G404" s="11">
        <f>G405</f>
        <v>142.1</v>
      </c>
      <c r="H404" s="11">
        <f t="shared" si="231"/>
        <v>142.1</v>
      </c>
      <c r="I404" s="11">
        <f t="shared" si="231"/>
        <v>2000</v>
      </c>
      <c r="J404" s="11">
        <f t="shared" si="231"/>
        <v>1500</v>
      </c>
      <c r="K404" s="11">
        <f t="shared" si="231"/>
        <v>2000</v>
      </c>
      <c r="L404" s="11">
        <f t="shared" si="231"/>
        <v>0</v>
      </c>
      <c r="M404" s="11">
        <f t="shared" si="231"/>
        <v>0</v>
      </c>
      <c r="N404" s="7" t="e">
        <f t="shared" si="229"/>
        <v>#DIV/0!</v>
      </c>
    </row>
    <row r="405" spans="1:14" ht="15.75" hidden="1" x14ac:dyDescent="0.25">
      <c r="A405" s="31" t="s">
        <v>325</v>
      </c>
      <c r="B405" s="42" t="s">
        <v>357</v>
      </c>
      <c r="C405" s="42" t="s">
        <v>350</v>
      </c>
      <c r="D405" s="42" t="s">
        <v>169</v>
      </c>
      <c r="E405" s="42" t="s">
        <v>326</v>
      </c>
      <c r="F405" s="2"/>
      <c r="G405" s="11">
        <f>'Прил.№4 ведомств.'!G339</f>
        <v>142.1</v>
      </c>
      <c r="H405" s="11">
        <f>'Прил.№4 ведомств.'!I339</f>
        <v>142.1</v>
      </c>
      <c r="I405" s="11">
        <f>'Прил.№4 ведомств.'!J339</f>
        <v>2000</v>
      </c>
      <c r="J405" s="11">
        <f>'Прил.№4 ведомств.'!K339</f>
        <v>1500</v>
      </c>
      <c r="K405" s="11">
        <f>'Прил.№4 ведомств.'!L339</f>
        <v>2000</v>
      </c>
      <c r="L405" s="11">
        <f>'Прил.№4 ведомств.'!M339</f>
        <v>0</v>
      </c>
      <c r="M405" s="11">
        <f>'Прил.№4 ведомств.'!N339</f>
        <v>0</v>
      </c>
      <c r="N405" s="7" t="e">
        <f t="shared" si="229"/>
        <v>#DIV/0!</v>
      </c>
    </row>
    <row r="406" spans="1:14" ht="15.75" x14ac:dyDescent="0.25">
      <c r="A406" s="31" t="s">
        <v>358</v>
      </c>
      <c r="B406" s="42" t="s">
        <v>359</v>
      </c>
      <c r="C406" s="42" t="s">
        <v>350</v>
      </c>
      <c r="D406" s="42" t="s">
        <v>169</v>
      </c>
      <c r="E406" s="42"/>
      <c r="F406" s="2"/>
      <c r="G406" s="11">
        <f>G407</f>
        <v>1529.5</v>
      </c>
      <c r="H406" s="11">
        <f t="shared" ref="H406:M407" si="232">H407</f>
        <v>1529.5</v>
      </c>
      <c r="I406" s="11">
        <f t="shared" si="232"/>
        <v>0</v>
      </c>
      <c r="J406" s="11">
        <f t="shared" si="232"/>
        <v>0</v>
      </c>
      <c r="K406" s="11">
        <f t="shared" si="232"/>
        <v>0</v>
      </c>
      <c r="L406" s="11">
        <f t="shared" si="232"/>
        <v>100</v>
      </c>
      <c r="M406" s="11">
        <f t="shared" si="232"/>
        <v>0</v>
      </c>
      <c r="N406" s="7">
        <f t="shared" si="229"/>
        <v>0</v>
      </c>
    </row>
    <row r="407" spans="1:14" ht="31.5" x14ac:dyDescent="0.25">
      <c r="A407" s="31" t="s">
        <v>323</v>
      </c>
      <c r="B407" s="42" t="s">
        <v>359</v>
      </c>
      <c r="C407" s="42" t="s">
        <v>350</v>
      </c>
      <c r="D407" s="42" t="s">
        <v>169</v>
      </c>
      <c r="E407" s="42" t="s">
        <v>324</v>
      </c>
      <c r="F407" s="2"/>
      <c r="G407" s="11">
        <f>G408</f>
        <v>1529.5</v>
      </c>
      <c r="H407" s="11">
        <f t="shared" si="232"/>
        <v>1529.5</v>
      </c>
      <c r="I407" s="11">
        <f t="shared" si="232"/>
        <v>0</v>
      </c>
      <c r="J407" s="11">
        <f t="shared" si="232"/>
        <v>0</v>
      </c>
      <c r="K407" s="11">
        <f t="shared" si="232"/>
        <v>0</v>
      </c>
      <c r="L407" s="11">
        <f t="shared" si="232"/>
        <v>100</v>
      </c>
      <c r="M407" s="11">
        <f t="shared" si="232"/>
        <v>0</v>
      </c>
      <c r="N407" s="7">
        <f t="shared" si="229"/>
        <v>0</v>
      </c>
    </row>
    <row r="408" spans="1:14" ht="15.75" x14ac:dyDescent="0.25">
      <c r="A408" s="31" t="s">
        <v>325</v>
      </c>
      <c r="B408" s="42" t="s">
        <v>359</v>
      </c>
      <c r="C408" s="42" t="s">
        <v>350</v>
      </c>
      <c r="D408" s="42" t="s">
        <v>169</v>
      </c>
      <c r="E408" s="42" t="s">
        <v>326</v>
      </c>
      <c r="F408" s="2"/>
      <c r="G408" s="11">
        <f>'Прил.№4 ведомств.'!G342</f>
        <v>1529.5</v>
      </c>
      <c r="H408" s="11">
        <f>'Прил.№4 ведомств.'!I342</f>
        <v>1529.5</v>
      </c>
      <c r="I408" s="11">
        <f>'Прил.№4 ведомств.'!J342</f>
        <v>0</v>
      </c>
      <c r="J408" s="11">
        <f>'Прил.№4 ведомств.'!K342</f>
        <v>0</v>
      </c>
      <c r="K408" s="11">
        <f>'Прил.№4 ведомств.'!L342</f>
        <v>0</v>
      </c>
      <c r="L408" s="11">
        <f>'Прил.№4 ведомств.'!M342</f>
        <v>100</v>
      </c>
      <c r="M408" s="11">
        <f>'Прил.№4 ведомств.'!N342</f>
        <v>0</v>
      </c>
      <c r="N408" s="7">
        <f t="shared" si="229"/>
        <v>0</v>
      </c>
    </row>
    <row r="409" spans="1:14" ht="31.5" hidden="1" x14ac:dyDescent="0.25">
      <c r="A409" s="31" t="s">
        <v>335</v>
      </c>
      <c r="B409" s="42" t="s">
        <v>336</v>
      </c>
      <c r="C409" s="42" t="s">
        <v>350</v>
      </c>
      <c r="D409" s="42" t="s">
        <v>169</v>
      </c>
      <c r="E409" s="42"/>
      <c r="F409" s="2"/>
      <c r="G409" s="11">
        <f>G410</f>
        <v>0</v>
      </c>
      <c r="H409" s="11">
        <f t="shared" ref="H409:M410" si="233">H410</f>
        <v>0</v>
      </c>
      <c r="I409" s="11">
        <f t="shared" si="233"/>
        <v>275</v>
      </c>
      <c r="J409" s="11">
        <f t="shared" si="233"/>
        <v>275</v>
      </c>
      <c r="K409" s="11">
        <f t="shared" si="233"/>
        <v>275</v>
      </c>
      <c r="L409" s="11">
        <f t="shared" si="233"/>
        <v>0</v>
      </c>
      <c r="M409" s="11">
        <f t="shared" si="233"/>
        <v>0</v>
      </c>
      <c r="N409" s="7" t="e">
        <f t="shared" si="229"/>
        <v>#DIV/0!</v>
      </c>
    </row>
    <row r="410" spans="1:14" ht="31.5" hidden="1" x14ac:dyDescent="0.25">
      <c r="A410" s="31" t="s">
        <v>323</v>
      </c>
      <c r="B410" s="42" t="s">
        <v>336</v>
      </c>
      <c r="C410" s="42" t="s">
        <v>350</v>
      </c>
      <c r="D410" s="42" t="s">
        <v>169</v>
      </c>
      <c r="E410" s="42" t="s">
        <v>324</v>
      </c>
      <c r="F410" s="2"/>
      <c r="G410" s="11">
        <f>G411</f>
        <v>0</v>
      </c>
      <c r="H410" s="11">
        <f t="shared" si="233"/>
        <v>0</v>
      </c>
      <c r="I410" s="11">
        <f t="shared" si="233"/>
        <v>275</v>
      </c>
      <c r="J410" s="11">
        <f t="shared" si="233"/>
        <v>275</v>
      </c>
      <c r="K410" s="11">
        <f t="shared" si="233"/>
        <v>275</v>
      </c>
      <c r="L410" s="11">
        <f t="shared" si="233"/>
        <v>0</v>
      </c>
      <c r="M410" s="11">
        <f t="shared" si="233"/>
        <v>0</v>
      </c>
      <c r="N410" s="7" t="e">
        <f t="shared" si="229"/>
        <v>#DIV/0!</v>
      </c>
    </row>
    <row r="411" spans="1:14" ht="15.75" hidden="1" x14ac:dyDescent="0.25">
      <c r="A411" s="31" t="s">
        <v>325</v>
      </c>
      <c r="B411" s="42" t="s">
        <v>336</v>
      </c>
      <c r="C411" s="42" t="s">
        <v>350</v>
      </c>
      <c r="D411" s="42" t="s">
        <v>169</v>
      </c>
      <c r="E411" s="42" t="s">
        <v>326</v>
      </c>
      <c r="F411" s="2"/>
      <c r="G411" s="11">
        <f>'Прил.№4 ведомств.'!G345</f>
        <v>0</v>
      </c>
      <c r="H411" s="11">
        <f>'Прил.№4 ведомств.'!I345</f>
        <v>0</v>
      </c>
      <c r="I411" s="11">
        <f>'Прил.№4 ведомств.'!J345</f>
        <v>275</v>
      </c>
      <c r="J411" s="11">
        <f>'Прил.№4 ведомств.'!K345</f>
        <v>275</v>
      </c>
      <c r="K411" s="11">
        <f>'Прил.№4 ведомств.'!L345</f>
        <v>275</v>
      </c>
      <c r="L411" s="11">
        <f>'Прил.№4 ведомств.'!M345</f>
        <v>0</v>
      </c>
      <c r="M411" s="11">
        <f>'Прил.№4 ведомств.'!N345</f>
        <v>0</v>
      </c>
      <c r="N411" s="7" t="e">
        <f t="shared" si="229"/>
        <v>#DIV/0!</v>
      </c>
    </row>
    <row r="412" spans="1:14" ht="31.5" hidden="1" x14ac:dyDescent="0.25">
      <c r="A412" s="37" t="s">
        <v>338</v>
      </c>
      <c r="B412" s="21" t="s">
        <v>360</v>
      </c>
      <c r="C412" s="42" t="s">
        <v>350</v>
      </c>
      <c r="D412" s="42" t="s">
        <v>169</v>
      </c>
      <c r="E412" s="42"/>
      <c r="F412" s="2"/>
      <c r="G412" s="11">
        <f>G413</f>
        <v>0</v>
      </c>
      <c r="H412" s="11">
        <f t="shared" ref="H412:M413" si="234">H413</f>
        <v>0</v>
      </c>
      <c r="I412" s="11">
        <f t="shared" si="234"/>
        <v>0</v>
      </c>
      <c r="J412" s="11">
        <f t="shared" si="234"/>
        <v>600</v>
      </c>
      <c r="K412" s="11">
        <f t="shared" si="234"/>
        <v>0</v>
      </c>
      <c r="L412" s="11">
        <f t="shared" si="234"/>
        <v>0</v>
      </c>
      <c r="M412" s="11">
        <f t="shared" si="234"/>
        <v>0</v>
      </c>
      <c r="N412" s="7" t="e">
        <f t="shared" si="229"/>
        <v>#DIV/0!</v>
      </c>
    </row>
    <row r="413" spans="1:14" ht="31.5" hidden="1" x14ac:dyDescent="0.25">
      <c r="A413" s="26" t="s">
        <v>323</v>
      </c>
      <c r="B413" s="21" t="s">
        <v>360</v>
      </c>
      <c r="C413" s="42" t="s">
        <v>350</v>
      </c>
      <c r="D413" s="42" t="s">
        <v>169</v>
      </c>
      <c r="E413" s="42" t="s">
        <v>324</v>
      </c>
      <c r="F413" s="2"/>
      <c r="G413" s="11">
        <f>G414</f>
        <v>0</v>
      </c>
      <c r="H413" s="11">
        <f t="shared" si="234"/>
        <v>0</v>
      </c>
      <c r="I413" s="11">
        <f t="shared" si="234"/>
        <v>0</v>
      </c>
      <c r="J413" s="11">
        <f t="shared" si="234"/>
        <v>600</v>
      </c>
      <c r="K413" s="11">
        <f t="shared" si="234"/>
        <v>0</v>
      </c>
      <c r="L413" s="11">
        <f t="shared" si="234"/>
        <v>0</v>
      </c>
      <c r="M413" s="11">
        <f t="shared" si="234"/>
        <v>0</v>
      </c>
      <c r="N413" s="7" t="e">
        <f t="shared" si="229"/>
        <v>#DIV/0!</v>
      </c>
    </row>
    <row r="414" spans="1:14" ht="15.75" hidden="1" x14ac:dyDescent="0.25">
      <c r="A414" s="26" t="s">
        <v>325</v>
      </c>
      <c r="B414" s="21" t="s">
        <v>360</v>
      </c>
      <c r="C414" s="42" t="s">
        <v>350</v>
      </c>
      <c r="D414" s="42" t="s">
        <v>169</v>
      </c>
      <c r="E414" s="42" t="s">
        <v>326</v>
      </c>
      <c r="F414" s="2"/>
      <c r="G414" s="11">
        <f>'Прил.№4 ведомств.'!G348</f>
        <v>0</v>
      </c>
      <c r="H414" s="11">
        <f>'Прил.№4 ведомств.'!I348</f>
        <v>0</v>
      </c>
      <c r="I414" s="11">
        <f>'Прил.№4 ведомств.'!J348</f>
        <v>0</v>
      </c>
      <c r="J414" s="11">
        <f>'Прил.№4 ведомств.'!K348</f>
        <v>600</v>
      </c>
      <c r="K414" s="11">
        <f>'Прил.№4 ведомств.'!L348</f>
        <v>0</v>
      </c>
      <c r="L414" s="11">
        <f>'Прил.№4 ведомств.'!M348</f>
        <v>0</v>
      </c>
      <c r="M414" s="11">
        <f>'Прил.№4 ведомств.'!N348</f>
        <v>0</v>
      </c>
      <c r="N414" s="7" t="e">
        <f t="shared" si="229"/>
        <v>#DIV/0!</v>
      </c>
    </row>
    <row r="415" spans="1:14" ht="31.5" x14ac:dyDescent="0.25">
      <c r="A415" s="70" t="s">
        <v>861</v>
      </c>
      <c r="B415" s="21" t="s">
        <v>866</v>
      </c>
      <c r="C415" s="42" t="s">
        <v>350</v>
      </c>
      <c r="D415" s="42" t="s">
        <v>169</v>
      </c>
      <c r="E415" s="42"/>
      <c r="F415" s="2"/>
      <c r="G415" s="11">
        <f>G416</f>
        <v>0</v>
      </c>
      <c r="H415" s="11">
        <f t="shared" ref="H415:M416" si="235">H416</f>
        <v>0</v>
      </c>
      <c r="I415" s="11">
        <f t="shared" si="235"/>
        <v>753.1</v>
      </c>
      <c r="J415" s="11">
        <f t="shared" si="235"/>
        <v>753.1</v>
      </c>
      <c r="K415" s="11">
        <f t="shared" si="235"/>
        <v>753.1</v>
      </c>
      <c r="L415" s="11">
        <f t="shared" si="235"/>
        <v>753.1</v>
      </c>
      <c r="M415" s="11">
        <f t="shared" si="235"/>
        <v>753.1</v>
      </c>
      <c r="N415" s="7">
        <f t="shared" si="229"/>
        <v>100</v>
      </c>
    </row>
    <row r="416" spans="1:14" ht="31.5" x14ac:dyDescent="0.25">
      <c r="A416" s="31" t="s">
        <v>323</v>
      </c>
      <c r="B416" s="21" t="s">
        <v>866</v>
      </c>
      <c r="C416" s="42" t="s">
        <v>350</v>
      </c>
      <c r="D416" s="42" t="s">
        <v>169</v>
      </c>
      <c r="E416" s="42" t="s">
        <v>324</v>
      </c>
      <c r="F416" s="2"/>
      <c r="G416" s="11">
        <f>G417</f>
        <v>0</v>
      </c>
      <c r="H416" s="11">
        <f t="shared" si="235"/>
        <v>0</v>
      </c>
      <c r="I416" s="11">
        <f t="shared" si="235"/>
        <v>753.1</v>
      </c>
      <c r="J416" s="11">
        <f t="shared" si="235"/>
        <v>753.1</v>
      </c>
      <c r="K416" s="11">
        <f t="shared" si="235"/>
        <v>753.1</v>
      </c>
      <c r="L416" s="11">
        <f t="shared" si="235"/>
        <v>753.1</v>
      </c>
      <c r="M416" s="11">
        <f t="shared" si="235"/>
        <v>753.1</v>
      </c>
      <c r="N416" s="7">
        <f t="shared" si="229"/>
        <v>100</v>
      </c>
    </row>
    <row r="417" spans="1:14" ht="15.75" x14ac:dyDescent="0.25">
      <c r="A417" s="262" t="s">
        <v>325</v>
      </c>
      <c r="B417" s="21" t="s">
        <v>866</v>
      </c>
      <c r="C417" s="42" t="s">
        <v>350</v>
      </c>
      <c r="D417" s="42" t="s">
        <v>169</v>
      </c>
      <c r="E417" s="42" t="s">
        <v>326</v>
      </c>
      <c r="F417" s="2"/>
      <c r="G417" s="11">
        <f>'Прил.№4 ведомств.'!G351</f>
        <v>0</v>
      </c>
      <c r="H417" s="11">
        <f>'Прил.№4 ведомств.'!I351</f>
        <v>0</v>
      </c>
      <c r="I417" s="11">
        <f>'Прил.№4 ведомств.'!J351</f>
        <v>753.1</v>
      </c>
      <c r="J417" s="11">
        <f>'Прил.№4 ведомств.'!K351</f>
        <v>753.1</v>
      </c>
      <c r="K417" s="11">
        <f>'Прил.№4 ведомств.'!L351</f>
        <v>753.1</v>
      </c>
      <c r="L417" s="11">
        <f>'Прил.№4 ведомств.'!M351</f>
        <v>753.1</v>
      </c>
      <c r="M417" s="11">
        <f>'Прил.№4 ведомств.'!N351</f>
        <v>753.1</v>
      </c>
      <c r="N417" s="7">
        <f t="shared" si="229"/>
        <v>100</v>
      </c>
    </row>
    <row r="418" spans="1:14" ht="47.25" x14ac:dyDescent="0.25">
      <c r="A418" s="47" t="s">
        <v>312</v>
      </c>
      <c r="B418" s="42" t="s">
        <v>353</v>
      </c>
      <c r="C418" s="42" t="s">
        <v>350</v>
      </c>
      <c r="D418" s="42" t="s">
        <v>169</v>
      </c>
      <c r="E418" s="42"/>
      <c r="F418" s="2">
        <v>903</v>
      </c>
      <c r="G418" s="11">
        <f>G394</f>
        <v>25422.5</v>
      </c>
      <c r="H418" s="11">
        <f t="shared" ref="H418:L418" si="236">H394</f>
        <v>25422.5</v>
      </c>
      <c r="I418" s="11">
        <f t="shared" si="236"/>
        <v>30257.599999999999</v>
      </c>
      <c r="J418" s="11">
        <f t="shared" si="236"/>
        <v>31110.899999999998</v>
      </c>
      <c r="K418" s="11">
        <f t="shared" si="236"/>
        <v>31536.199999999997</v>
      </c>
      <c r="L418" s="11">
        <f t="shared" si="236"/>
        <v>23859.3</v>
      </c>
      <c r="M418" s="11">
        <f t="shared" ref="M418" si="237">M394</f>
        <v>19307.499999999996</v>
      </c>
      <c r="N418" s="7">
        <f t="shared" si="229"/>
        <v>80.922323789884857</v>
      </c>
    </row>
    <row r="419" spans="1:14" ht="31.5" x14ac:dyDescent="0.25">
      <c r="A419" s="43" t="s">
        <v>363</v>
      </c>
      <c r="B419" s="8" t="s">
        <v>364</v>
      </c>
      <c r="C419" s="8"/>
      <c r="D419" s="8"/>
      <c r="E419" s="8"/>
      <c r="F419" s="87"/>
      <c r="G419" s="68">
        <f>G420</f>
        <v>16660.600000000002</v>
      </c>
      <c r="H419" s="68">
        <f t="shared" ref="H419:M420" si="238">H420</f>
        <v>16660.600000000002</v>
      </c>
      <c r="I419" s="68">
        <f t="shared" si="238"/>
        <v>20069.2</v>
      </c>
      <c r="J419" s="68">
        <f t="shared" si="238"/>
        <v>20340.2</v>
      </c>
      <c r="K419" s="68">
        <f t="shared" si="238"/>
        <v>20562.600000000002</v>
      </c>
      <c r="L419" s="68">
        <f t="shared" si="238"/>
        <v>17194.2</v>
      </c>
      <c r="M419" s="68">
        <f t="shared" si="238"/>
        <v>14031.7</v>
      </c>
      <c r="N419" s="4">
        <f t="shared" si="229"/>
        <v>81.607169859603829</v>
      </c>
    </row>
    <row r="420" spans="1:14" ht="15.75" x14ac:dyDescent="0.25">
      <c r="A420" s="85" t="s">
        <v>349</v>
      </c>
      <c r="B420" s="42" t="s">
        <v>364</v>
      </c>
      <c r="C420" s="42" t="s">
        <v>350</v>
      </c>
      <c r="D420" s="42"/>
      <c r="E420" s="8"/>
      <c r="F420" s="87"/>
      <c r="G420" s="11">
        <f>G421</f>
        <v>16660.600000000002</v>
      </c>
      <c r="H420" s="11">
        <f t="shared" si="238"/>
        <v>16660.600000000002</v>
      </c>
      <c r="I420" s="11">
        <f t="shared" si="238"/>
        <v>20069.2</v>
      </c>
      <c r="J420" s="11">
        <f t="shared" si="238"/>
        <v>20340.2</v>
      </c>
      <c r="K420" s="11">
        <f t="shared" si="238"/>
        <v>20562.600000000002</v>
      </c>
      <c r="L420" s="11">
        <f t="shared" si="238"/>
        <v>17194.2</v>
      </c>
      <c r="M420" s="11">
        <f t="shared" si="238"/>
        <v>14031.7</v>
      </c>
      <c r="N420" s="7">
        <f t="shared" si="229"/>
        <v>81.607169859603829</v>
      </c>
    </row>
    <row r="421" spans="1:14" ht="15.75" x14ac:dyDescent="0.25">
      <c r="A421" s="85" t="s">
        <v>351</v>
      </c>
      <c r="B421" s="42" t="s">
        <v>364</v>
      </c>
      <c r="C421" s="42" t="s">
        <v>350</v>
      </c>
      <c r="D421" s="42" t="s">
        <v>169</v>
      </c>
      <c r="E421" s="8"/>
      <c r="F421" s="87"/>
      <c r="G421" s="11">
        <f>G422+G441+G446+G425+G449+G452</f>
        <v>16660.600000000002</v>
      </c>
      <c r="H421" s="11">
        <f t="shared" ref="H421:L421" si="239">H422+H441+H446+H425+H449+H452</f>
        <v>16660.600000000002</v>
      </c>
      <c r="I421" s="11">
        <f t="shared" si="239"/>
        <v>20069.2</v>
      </c>
      <c r="J421" s="11">
        <f t="shared" si="239"/>
        <v>20340.2</v>
      </c>
      <c r="K421" s="11">
        <f t="shared" si="239"/>
        <v>20562.600000000002</v>
      </c>
      <c r="L421" s="11">
        <f t="shared" si="239"/>
        <v>17194.2</v>
      </c>
      <c r="M421" s="11">
        <f t="shared" ref="M421" si="240">M422+M441+M446+M425+M449+M452</f>
        <v>14031.7</v>
      </c>
      <c r="N421" s="7">
        <f t="shared" si="229"/>
        <v>81.607169859603829</v>
      </c>
    </row>
    <row r="422" spans="1:14" ht="31.5" x14ac:dyDescent="0.25">
      <c r="A422" s="31" t="s">
        <v>354</v>
      </c>
      <c r="B422" s="42" t="s">
        <v>365</v>
      </c>
      <c r="C422" s="42" t="s">
        <v>350</v>
      </c>
      <c r="D422" s="42" t="s">
        <v>169</v>
      </c>
      <c r="E422" s="42"/>
      <c r="F422" s="86"/>
      <c r="G422" s="11">
        <f>G423</f>
        <v>16655.2</v>
      </c>
      <c r="H422" s="11">
        <f t="shared" ref="H422:M423" si="241">H423</f>
        <v>16655.2</v>
      </c>
      <c r="I422" s="11">
        <f t="shared" si="241"/>
        <v>19144</v>
      </c>
      <c r="J422" s="11">
        <f t="shared" si="241"/>
        <v>19415</v>
      </c>
      <c r="K422" s="11">
        <f t="shared" si="241"/>
        <v>19637.400000000001</v>
      </c>
      <c r="L422" s="11">
        <f t="shared" si="241"/>
        <v>16358.499999999998</v>
      </c>
      <c r="M422" s="11">
        <f t="shared" si="241"/>
        <v>13381.5</v>
      </c>
      <c r="N422" s="7">
        <f t="shared" si="229"/>
        <v>81.801509918391062</v>
      </c>
    </row>
    <row r="423" spans="1:14" ht="31.5" x14ac:dyDescent="0.25">
      <c r="A423" s="31" t="s">
        <v>323</v>
      </c>
      <c r="B423" s="42" t="s">
        <v>365</v>
      </c>
      <c r="C423" s="42" t="s">
        <v>350</v>
      </c>
      <c r="D423" s="42" t="s">
        <v>169</v>
      </c>
      <c r="E423" s="42" t="s">
        <v>324</v>
      </c>
      <c r="F423" s="86"/>
      <c r="G423" s="11">
        <f>G424</f>
        <v>16655.2</v>
      </c>
      <c r="H423" s="11">
        <f t="shared" si="241"/>
        <v>16655.2</v>
      </c>
      <c r="I423" s="11">
        <f t="shared" si="241"/>
        <v>19144</v>
      </c>
      <c r="J423" s="11">
        <f t="shared" si="241"/>
        <v>19415</v>
      </c>
      <c r="K423" s="11">
        <f t="shared" si="241"/>
        <v>19637.400000000001</v>
      </c>
      <c r="L423" s="11">
        <f t="shared" si="241"/>
        <v>16358.499999999998</v>
      </c>
      <c r="M423" s="11">
        <f t="shared" si="241"/>
        <v>13381.5</v>
      </c>
      <c r="N423" s="7">
        <f t="shared" si="229"/>
        <v>81.801509918391062</v>
      </c>
    </row>
    <row r="424" spans="1:14" ht="15.75" x14ac:dyDescent="0.25">
      <c r="A424" s="31" t="s">
        <v>325</v>
      </c>
      <c r="B424" s="42" t="s">
        <v>365</v>
      </c>
      <c r="C424" s="42" t="s">
        <v>350</v>
      </c>
      <c r="D424" s="42" t="s">
        <v>169</v>
      </c>
      <c r="E424" s="42" t="s">
        <v>326</v>
      </c>
      <c r="F424" s="86"/>
      <c r="G424" s="7">
        <f>'Прил.№4 ведомств.'!G362</f>
        <v>16655.2</v>
      </c>
      <c r="H424" s="7">
        <f>'Прил.№4 ведомств.'!I362</f>
        <v>16655.2</v>
      </c>
      <c r="I424" s="7">
        <f>'Прил.№4 ведомств.'!J362</f>
        <v>19144</v>
      </c>
      <c r="J424" s="7">
        <f>'Прил.№4 ведомств.'!K362</f>
        <v>19415</v>
      </c>
      <c r="K424" s="7">
        <f>'Прил.№4 ведомств.'!L362</f>
        <v>19637.400000000001</v>
      </c>
      <c r="L424" s="7">
        <f>'Прил.№4 ведомств.'!M362</f>
        <v>16358.499999999998</v>
      </c>
      <c r="M424" s="7">
        <f>'Прил.№4 ведомств.'!N362</f>
        <v>13381.5</v>
      </c>
      <c r="N424" s="7">
        <f t="shared" si="229"/>
        <v>81.801509918391062</v>
      </c>
    </row>
    <row r="425" spans="1:14" ht="47.25" hidden="1" x14ac:dyDescent="0.25">
      <c r="A425" s="31" t="s">
        <v>327</v>
      </c>
      <c r="B425" s="42" t="s">
        <v>368</v>
      </c>
      <c r="C425" s="42" t="s">
        <v>350</v>
      </c>
      <c r="D425" s="42" t="s">
        <v>169</v>
      </c>
      <c r="E425" s="42"/>
      <c r="F425" s="86"/>
      <c r="G425" s="11">
        <f>G426</f>
        <v>0</v>
      </c>
      <c r="H425" s="11">
        <f t="shared" ref="H425:M426" si="242">H426</f>
        <v>0</v>
      </c>
      <c r="I425" s="11">
        <f t="shared" si="242"/>
        <v>0</v>
      </c>
      <c r="J425" s="11">
        <f t="shared" si="242"/>
        <v>0</v>
      </c>
      <c r="K425" s="11">
        <f t="shared" si="242"/>
        <v>0</v>
      </c>
      <c r="L425" s="11">
        <f t="shared" si="242"/>
        <v>0</v>
      </c>
      <c r="M425" s="11">
        <f t="shared" si="242"/>
        <v>0</v>
      </c>
      <c r="N425" s="7" t="e">
        <f t="shared" si="229"/>
        <v>#DIV/0!</v>
      </c>
    </row>
    <row r="426" spans="1:14" ht="31.5" hidden="1" x14ac:dyDescent="0.25">
      <c r="A426" s="31" t="s">
        <v>323</v>
      </c>
      <c r="B426" s="42" t="s">
        <v>368</v>
      </c>
      <c r="C426" s="42" t="s">
        <v>350</v>
      </c>
      <c r="D426" s="42" t="s">
        <v>169</v>
      </c>
      <c r="E426" s="42" t="s">
        <v>324</v>
      </c>
      <c r="F426" s="86"/>
      <c r="G426" s="11">
        <f>G427</f>
        <v>0</v>
      </c>
      <c r="H426" s="11">
        <f t="shared" si="242"/>
        <v>0</v>
      </c>
      <c r="I426" s="11">
        <f t="shared" si="242"/>
        <v>0</v>
      </c>
      <c r="J426" s="11">
        <f t="shared" si="242"/>
        <v>0</v>
      </c>
      <c r="K426" s="11">
        <f t="shared" si="242"/>
        <v>0</v>
      </c>
      <c r="L426" s="11">
        <f t="shared" si="242"/>
        <v>0</v>
      </c>
      <c r="M426" s="11">
        <f t="shared" si="242"/>
        <v>0</v>
      </c>
      <c r="N426" s="7" t="e">
        <f t="shared" si="229"/>
        <v>#DIV/0!</v>
      </c>
    </row>
    <row r="427" spans="1:14" ht="15.75" hidden="1" x14ac:dyDescent="0.25">
      <c r="A427" s="31" t="s">
        <v>325</v>
      </c>
      <c r="B427" s="42" t="s">
        <v>368</v>
      </c>
      <c r="C427" s="42" t="s">
        <v>350</v>
      </c>
      <c r="D427" s="42" t="s">
        <v>169</v>
      </c>
      <c r="E427" s="42" t="s">
        <v>326</v>
      </c>
      <c r="F427" s="86"/>
      <c r="G427" s="11"/>
      <c r="H427" s="11"/>
      <c r="I427" s="11"/>
      <c r="J427" s="11"/>
      <c r="K427" s="11"/>
      <c r="L427" s="11"/>
      <c r="M427" s="11"/>
      <c r="N427" s="7" t="e">
        <f t="shared" si="229"/>
        <v>#DIV/0!</v>
      </c>
    </row>
    <row r="428" spans="1:14" ht="47.25" hidden="1" x14ac:dyDescent="0.25">
      <c r="A428" s="47" t="s">
        <v>312</v>
      </c>
      <c r="B428" s="42" t="s">
        <v>729</v>
      </c>
      <c r="C428" s="42" t="s">
        <v>350</v>
      </c>
      <c r="D428" s="42" t="s">
        <v>169</v>
      </c>
      <c r="E428" s="42"/>
      <c r="F428" s="2">
        <v>903</v>
      </c>
      <c r="G428" s="11">
        <f>G425</f>
        <v>0</v>
      </c>
      <c r="H428" s="11">
        <f t="shared" ref="H428:L428" si="243">H425</f>
        <v>0</v>
      </c>
      <c r="I428" s="11">
        <f t="shared" si="243"/>
        <v>0</v>
      </c>
      <c r="J428" s="11">
        <f t="shared" si="243"/>
        <v>0</v>
      </c>
      <c r="K428" s="11">
        <f t="shared" si="243"/>
        <v>0</v>
      </c>
      <c r="L428" s="11">
        <f t="shared" si="243"/>
        <v>0</v>
      </c>
      <c r="M428" s="11">
        <f t="shared" ref="M428" si="244">M425</f>
        <v>0</v>
      </c>
      <c r="N428" s="7" t="e">
        <f t="shared" si="229"/>
        <v>#DIV/0!</v>
      </c>
    </row>
    <row r="429" spans="1:14" ht="31.5" hidden="1" x14ac:dyDescent="0.25">
      <c r="A429" s="26" t="s">
        <v>329</v>
      </c>
      <c r="B429" s="42" t="s">
        <v>369</v>
      </c>
      <c r="C429" s="42" t="s">
        <v>350</v>
      </c>
      <c r="D429" s="42" t="s">
        <v>169</v>
      </c>
      <c r="E429" s="42"/>
      <c r="F429" s="86"/>
      <c r="G429" s="11">
        <f>G430</f>
        <v>0</v>
      </c>
      <c r="H429" s="11">
        <f t="shared" ref="H429:M430" si="245">H430</f>
        <v>0</v>
      </c>
      <c r="I429" s="11">
        <f t="shared" si="245"/>
        <v>0</v>
      </c>
      <c r="J429" s="11">
        <f t="shared" si="245"/>
        <v>0</v>
      </c>
      <c r="K429" s="11">
        <f t="shared" si="245"/>
        <v>0</v>
      </c>
      <c r="L429" s="11">
        <f t="shared" si="245"/>
        <v>0</v>
      </c>
      <c r="M429" s="11">
        <f t="shared" si="245"/>
        <v>0</v>
      </c>
      <c r="N429" s="7" t="e">
        <f t="shared" si="229"/>
        <v>#DIV/0!</v>
      </c>
    </row>
    <row r="430" spans="1:14" ht="31.5" hidden="1" x14ac:dyDescent="0.25">
      <c r="A430" s="31" t="s">
        <v>323</v>
      </c>
      <c r="B430" s="42" t="s">
        <v>369</v>
      </c>
      <c r="C430" s="42" t="s">
        <v>350</v>
      </c>
      <c r="D430" s="42" t="s">
        <v>169</v>
      </c>
      <c r="E430" s="42" t="s">
        <v>324</v>
      </c>
      <c r="F430" s="86"/>
      <c r="G430" s="11">
        <f>G431</f>
        <v>0</v>
      </c>
      <c r="H430" s="11">
        <f t="shared" si="245"/>
        <v>0</v>
      </c>
      <c r="I430" s="11">
        <f t="shared" si="245"/>
        <v>0</v>
      </c>
      <c r="J430" s="11">
        <f t="shared" si="245"/>
        <v>0</v>
      </c>
      <c r="K430" s="11">
        <f t="shared" si="245"/>
        <v>0</v>
      </c>
      <c r="L430" s="11">
        <f t="shared" si="245"/>
        <v>0</v>
      </c>
      <c r="M430" s="11">
        <f t="shared" si="245"/>
        <v>0</v>
      </c>
      <c r="N430" s="7" t="e">
        <f t="shared" si="229"/>
        <v>#DIV/0!</v>
      </c>
    </row>
    <row r="431" spans="1:14" ht="35.25" hidden="1" customHeight="1" x14ac:dyDescent="0.25">
      <c r="A431" s="31" t="s">
        <v>325</v>
      </c>
      <c r="B431" s="42" t="s">
        <v>369</v>
      </c>
      <c r="C431" s="42" t="s">
        <v>350</v>
      </c>
      <c r="D431" s="42" t="s">
        <v>169</v>
      </c>
      <c r="E431" s="42" t="s">
        <v>326</v>
      </c>
      <c r="F431" s="86"/>
      <c r="G431" s="11"/>
      <c r="H431" s="11"/>
      <c r="I431" s="11"/>
      <c r="J431" s="11"/>
      <c r="K431" s="11"/>
      <c r="L431" s="11"/>
      <c r="M431" s="11"/>
      <c r="N431" s="7" t="e">
        <f t="shared" si="229"/>
        <v>#DIV/0!</v>
      </c>
    </row>
    <row r="432" spans="1:14" ht="47.25" hidden="1" x14ac:dyDescent="0.25">
      <c r="A432" s="47" t="s">
        <v>312</v>
      </c>
      <c r="B432" s="42" t="s">
        <v>369</v>
      </c>
      <c r="C432" s="42" t="s">
        <v>350</v>
      </c>
      <c r="D432" s="42" t="s">
        <v>169</v>
      </c>
      <c r="E432" s="42"/>
      <c r="F432" s="2">
        <v>903</v>
      </c>
      <c r="G432" s="11">
        <f>G429</f>
        <v>0</v>
      </c>
      <c r="H432" s="11">
        <f t="shared" ref="H432:L432" si="246">H429</f>
        <v>0</v>
      </c>
      <c r="I432" s="11">
        <f t="shared" si="246"/>
        <v>0</v>
      </c>
      <c r="J432" s="11">
        <f t="shared" si="246"/>
        <v>0</v>
      </c>
      <c r="K432" s="11">
        <f t="shared" si="246"/>
        <v>0</v>
      </c>
      <c r="L432" s="11">
        <f t="shared" si="246"/>
        <v>0</v>
      </c>
      <c r="M432" s="11">
        <f t="shared" ref="M432" si="247">M429</f>
        <v>0</v>
      </c>
      <c r="N432" s="7" t="e">
        <f t="shared" si="229"/>
        <v>#DIV/0!</v>
      </c>
    </row>
    <row r="433" spans="1:14" ht="15.75" hidden="1" x14ac:dyDescent="0.25">
      <c r="A433" s="31" t="s">
        <v>730</v>
      </c>
      <c r="B433" s="42" t="s">
        <v>370</v>
      </c>
      <c r="C433" s="42" t="s">
        <v>350</v>
      </c>
      <c r="D433" s="42" t="s">
        <v>169</v>
      </c>
      <c r="E433" s="42"/>
      <c r="F433" s="86"/>
      <c r="G433" s="11">
        <f>G434</f>
        <v>0</v>
      </c>
      <c r="H433" s="11">
        <f t="shared" ref="H433:M434" si="248">H434</f>
        <v>0</v>
      </c>
      <c r="I433" s="11">
        <f t="shared" si="248"/>
        <v>0</v>
      </c>
      <c r="J433" s="11">
        <f t="shared" si="248"/>
        <v>0</v>
      </c>
      <c r="K433" s="11">
        <f t="shared" si="248"/>
        <v>0</v>
      </c>
      <c r="L433" s="11">
        <f t="shared" si="248"/>
        <v>0</v>
      </c>
      <c r="M433" s="11">
        <f t="shared" si="248"/>
        <v>0</v>
      </c>
      <c r="N433" s="7" t="e">
        <f t="shared" si="229"/>
        <v>#DIV/0!</v>
      </c>
    </row>
    <row r="434" spans="1:14" ht="31.5" hidden="1" x14ac:dyDescent="0.25">
      <c r="A434" s="31" t="s">
        <v>323</v>
      </c>
      <c r="B434" s="42" t="s">
        <v>370</v>
      </c>
      <c r="C434" s="42" t="s">
        <v>350</v>
      </c>
      <c r="D434" s="42" t="s">
        <v>169</v>
      </c>
      <c r="E434" s="42" t="s">
        <v>324</v>
      </c>
      <c r="F434" s="86"/>
      <c r="G434" s="11">
        <f>G435</f>
        <v>0</v>
      </c>
      <c r="H434" s="11">
        <f t="shared" si="248"/>
        <v>0</v>
      </c>
      <c r="I434" s="11">
        <f t="shared" si="248"/>
        <v>0</v>
      </c>
      <c r="J434" s="11">
        <f t="shared" si="248"/>
        <v>0</v>
      </c>
      <c r="K434" s="11">
        <f t="shared" si="248"/>
        <v>0</v>
      </c>
      <c r="L434" s="11">
        <f t="shared" si="248"/>
        <v>0</v>
      </c>
      <c r="M434" s="11">
        <f t="shared" si="248"/>
        <v>0</v>
      </c>
      <c r="N434" s="7" t="e">
        <f t="shared" si="229"/>
        <v>#DIV/0!</v>
      </c>
    </row>
    <row r="435" spans="1:14" ht="15.75" hidden="1" x14ac:dyDescent="0.25">
      <c r="A435" s="31" t="s">
        <v>325</v>
      </c>
      <c r="B435" s="42" t="s">
        <v>370</v>
      </c>
      <c r="C435" s="42" t="s">
        <v>350</v>
      </c>
      <c r="D435" s="42" t="s">
        <v>169</v>
      </c>
      <c r="E435" s="42" t="s">
        <v>326</v>
      </c>
      <c r="F435" s="86"/>
      <c r="G435" s="11"/>
      <c r="H435" s="11"/>
      <c r="I435" s="11"/>
      <c r="J435" s="11"/>
      <c r="K435" s="11"/>
      <c r="L435" s="11"/>
      <c r="M435" s="11"/>
      <c r="N435" s="7" t="e">
        <f t="shared" si="229"/>
        <v>#DIV/0!</v>
      </c>
    </row>
    <row r="436" spans="1:14" ht="47.25" hidden="1" x14ac:dyDescent="0.25">
      <c r="A436" s="47" t="s">
        <v>312</v>
      </c>
      <c r="B436" s="42" t="s">
        <v>370</v>
      </c>
      <c r="C436" s="42" t="s">
        <v>350</v>
      </c>
      <c r="D436" s="42" t="s">
        <v>169</v>
      </c>
      <c r="E436" s="42"/>
      <c r="F436" s="2">
        <v>903</v>
      </c>
      <c r="G436" s="11">
        <f>G433</f>
        <v>0</v>
      </c>
      <c r="H436" s="11">
        <f t="shared" ref="H436:L436" si="249">H433</f>
        <v>0</v>
      </c>
      <c r="I436" s="11">
        <f t="shared" si="249"/>
        <v>0</v>
      </c>
      <c r="J436" s="11">
        <f t="shared" si="249"/>
        <v>0</v>
      </c>
      <c r="K436" s="11">
        <f t="shared" si="249"/>
        <v>0</v>
      </c>
      <c r="L436" s="11">
        <f t="shared" si="249"/>
        <v>0</v>
      </c>
      <c r="M436" s="11">
        <f t="shared" ref="M436" si="250">M433</f>
        <v>0</v>
      </c>
      <c r="N436" s="7" t="e">
        <f t="shared" si="229"/>
        <v>#DIV/0!</v>
      </c>
    </row>
    <row r="437" spans="1:14" ht="31.5" hidden="1" x14ac:dyDescent="0.25">
      <c r="A437" s="31" t="s">
        <v>335</v>
      </c>
      <c r="B437" s="42" t="s">
        <v>683</v>
      </c>
      <c r="C437" s="42" t="s">
        <v>350</v>
      </c>
      <c r="D437" s="42" t="s">
        <v>169</v>
      </c>
      <c r="E437" s="42"/>
      <c r="F437" s="86"/>
      <c r="G437" s="11">
        <f>G438</f>
        <v>0</v>
      </c>
      <c r="H437" s="11">
        <f t="shared" ref="H437:M438" si="251">H438</f>
        <v>0</v>
      </c>
      <c r="I437" s="11">
        <f t="shared" si="251"/>
        <v>0</v>
      </c>
      <c r="J437" s="11">
        <f t="shared" si="251"/>
        <v>0</v>
      </c>
      <c r="K437" s="11">
        <f t="shared" si="251"/>
        <v>0</v>
      </c>
      <c r="L437" s="11">
        <f t="shared" si="251"/>
        <v>0</v>
      </c>
      <c r="M437" s="11">
        <f t="shared" si="251"/>
        <v>0</v>
      </c>
      <c r="N437" s="7" t="e">
        <f t="shared" si="229"/>
        <v>#DIV/0!</v>
      </c>
    </row>
    <row r="438" spans="1:14" ht="31.5" hidden="1" x14ac:dyDescent="0.25">
      <c r="A438" s="31" t="s">
        <v>323</v>
      </c>
      <c r="B438" s="42" t="s">
        <v>683</v>
      </c>
      <c r="C438" s="42" t="s">
        <v>350</v>
      </c>
      <c r="D438" s="42" t="s">
        <v>169</v>
      </c>
      <c r="E438" s="42" t="s">
        <v>324</v>
      </c>
      <c r="F438" s="86"/>
      <c r="G438" s="11">
        <f>G439</f>
        <v>0</v>
      </c>
      <c r="H438" s="11">
        <f t="shared" si="251"/>
        <v>0</v>
      </c>
      <c r="I438" s="11">
        <f t="shared" si="251"/>
        <v>0</v>
      </c>
      <c r="J438" s="11">
        <f t="shared" si="251"/>
        <v>0</v>
      </c>
      <c r="K438" s="11">
        <f t="shared" si="251"/>
        <v>0</v>
      </c>
      <c r="L438" s="11">
        <f t="shared" si="251"/>
        <v>0</v>
      </c>
      <c r="M438" s="11">
        <f t="shared" si="251"/>
        <v>0</v>
      </c>
      <c r="N438" s="7" t="e">
        <f t="shared" si="229"/>
        <v>#DIV/0!</v>
      </c>
    </row>
    <row r="439" spans="1:14" ht="15.75" hidden="1" x14ac:dyDescent="0.25">
      <c r="A439" s="31" t="s">
        <v>325</v>
      </c>
      <c r="B439" s="42" t="s">
        <v>683</v>
      </c>
      <c r="C439" s="42" t="s">
        <v>350</v>
      </c>
      <c r="D439" s="42" t="s">
        <v>169</v>
      </c>
      <c r="E439" s="42" t="s">
        <v>326</v>
      </c>
      <c r="F439" s="86"/>
      <c r="G439" s="11"/>
      <c r="H439" s="11"/>
      <c r="I439" s="11"/>
      <c r="J439" s="11"/>
      <c r="K439" s="11"/>
      <c r="L439" s="11"/>
      <c r="M439" s="11"/>
      <c r="N439" s="7" t="e">
        <f t="shared" si="229"/>
        <v>#DIV/0!</v>
      </c>
    </row>
    <row r="440" spans="1:14" ht="47.25" hidden="1" x14ac:dyDescent="0.25">
      <c r="A440" s="47" t="s">
        <v>312</v>
      </c>
      <c r="B440" s="42" t="s">
        <v>683</v>
      </c>
      <c r="C440" s="42" t="s">
        <v>350</v>
      </c>
      <c r="D440" s="42" t="s">
        <v>169</v>
      </c>
      <c r="E440" s="42"/>
      <c r="F440" s="2">
        <v>903</v>
      </c>
      <c r="G440" s="11">
        <f>G437</f>
        <v>0</v>
      </c>
      <c r="H440" s="11">
        <f t="shared" ref="H440:L440" si="252">H437</f>
        <v>0</v>
      </c>
      <c r="I440" s="11">
        <f t="shared" si="252"/>
        <v>0</v>
      </c>
      <c r="J440" s="11">
        <f t="shared" si="252"/>
        <v>0</v>
      </c>
      <c r="K440" s="11">
        <f t="shared" si="252"/>
        <v>0</v>
      </c>
      <c r="L440" s="11">
        <f t="shared" si="252"/>
        <v>0</v>
      </c>
      <c r="M440" s="11">
        <f t="shared" ref="M440" si="253">M437</f>
        <v>0</v>
      </c>
      <c r="N440" s="7" t="e">
        <f t="shared" si="229"/>
        <v>#DIV/0!</v>
      </c>
    </row>
    <row r="441" spans="1:14" ht="15.75" x14ac:dyDescent="0.25">
      <c r="A441" s="88" t="s">
        <v>731</v>
      </c>
      <c r="B441" s="42" t="s">
        <v>367</v>
      </c>
      <c r="C441" s="42" t="s">
        <v>350</v>
      </c>
      <c r="D441" s="42" t="s">
        <v>169</v>
      </c>
      <c r="E441" s="42"/>
      <c r="F441" s="2"/>
      <c r="G441" s="11">
        <f>G442+G444</f>
        <v>5</v>
      </c>
      <c r="H441" s="11">
        <f t="shared" ref="H441:L441" si="254">H442+H444</f>
        <v>5</v>
      </c>
      <c r="I441" s="11">
        <f t="shared" si="254"/>
        <v>0</v>
      </c>
      <c r="J441" s="11">
        <f t="shared" si="254"/>
        <v>0</v>
      </c>
      <c r="K441" s="11">
        <f t="shared" si="254"/>
        <v>0</v>
      </c>
      <c r="L441" s="11">
        <f t="shared" si="254"/>
        <v>5</v>
      </c>
      <c r="M441" s="11">
        <f t="shared" ref="M441" si="255">M442+M444</f>
        <v>0</v>
      </c>
      <c r="N441" s="7">
        <f t="shared" si="229"/>
        <v>0</v>
      </c>
    </row>
    <row r="442" spans="1:14" ht="31.5" hidden="1" x14ac:dyDescent="0.25">
      <c r="A442" s="31" t="s">
        <v>182</v>
      </c>
      <c r="B442" s="42" t="s">
        <v>367</v>
      </c>
      <c r="C442" s="42" t="s">
        <v>350</v>
      </c>
      <c r="D442" s="42" t="s">
        <v>169</v>
      </c>
      <c r="E442" s="42" t="s">
        <v>183</v>
      </c>
      <c r="F442" s="2"/>
      <c r="G442" s="11">
        <f>G443</f>
        <v>0</v>
      </c>
      <c r="H442" s="11">
        <f t="shared" ref="H442:M442" si="256">H443</f>
        <v>0</v>
      </c>
      <c r="I442" s="11">
        <f t="shared" si="256"/>
        <v>0</v>
      </c>
      <c r="J442" s="11">
        <f t="shared" si="256"/>
        <v>0</v>
      </c>
      <c r="K442" s="11">
        <f t="shared" si="256"/>
        <v>0</v>
      </c>
      <c r="L442" s="11">
        <f t="shared" si="256"/>
        <v>0</v>
      </c>
      <c r="M442" s="11">
        <f t="shared" si="256"/>
        <v>0</v>
      </c>
      <c r="N442" s="7" t="e">
        <f t="shared" si="229"/>
        <v>#DIV/0!</v>
      </c>
    </row>
    <row r="443" spans="1:14" ht="31.5" hidden="1" x14ac:dyDescent="0.25">
      <c r="A443" s="31" t="s">
        <v>184</v>
      </c>
      <c r="B443" s="42" t="s">
        <v>367</v>
      </c>
      <c r="C443" s="42" t="s">
        <v>350</v>
      </c>
      <c r="D443" s="42" t="s">
        <v>169</v>
      </c>
      <c r="E443" s="42" t="s">
        <v>185</v>
      </c>
      <c r="F443" s="2"/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7" t="e">
        <f t="shared" si="229"/>
        <v>#DIV/0!</v>
      </c>
    </row>
    <row r="444" spans="1:14" ht="62.25" customHeight="1" x14ac:dyDescent="0.25">
      <c r="A444" s="31" t="s">
        <v>323</v>
      </c>
      <c r="B444" s="42" t="s">
        <v>367</v>
      </c>
      <c r="C444" s="42" t="s">
        <v>350</v>
      </c>
      <c r="D444" s="42" t="s">
        <v>169</v>
      </c>
      <c r="E444" s="42" t="s">
        <v>324</v>
      </c>
      <c r="F444" s="2"/>
      <c r="G444" s="11">
        <f>G445</f>
        <v>5</v>
      </c>
      <c r="H444" s="11">
        <f t="shared" ref="H444:M444" si="257">H445</f>
        <v>5</v>
      </c>
      <c r="I444" s="11">
        <f t="shared" si="257"/>
        <v>0</v>
      </c>
      <c r="J444" s="11">
        <f t="shared" si="257"/>
        <v>0</v>
      </c>
      <c r="K444" s="11">
        <f t="shared" si="257"/>
        <v>0</v>
      </c>
      <c r="L444" s="11">
        <f t="shared" si="257"/>
        <v>5</v>
      </c>
      <c r="M444" s="11">
        <f t="shared" si="257"/>
        <v>0</v>
      </c>
      <c r="N444" s="7">
        <f t="shared" si="229"/>
        <v>0</v>
      </c>
    </row>
    <row r="445" spans="1:14" ht="15.75" x14ac:dyDescent="0.25">
      <c r="A445" s="31" t="s">
        <v>325</v>
      </c>
      <c r="B445" s="42" t="s">
        <v>367</v>
      </c>
      <c r="C445" s="42" t="s">
        <v>350</v>
      </c>
      <c r="D445" s="42" t="s">
        <v>169</v>
      </c>
      <c r="E445" s="42" t="s">
        <v>326</v>
      </c>
      <c r="F445" s="2"/>
      <c r="G445" s="11">
        <f>'Прил.№4 ведомств.'!G367</f>
        <v>5</v>
      </c>
      <c r="H445" s="11">
        <f>'Прил.№4 ведомств.'!I367</f>
        <v>5</v>
      </c>
      <c r="I445" s="11">
        <f>'Прил.№4 ведомств.'!J367</f>
        <v>0</v>
      </c>
      <c r="J445" s="11">
        <f>'Прил.№4 ведомств.'!K367</f>
        <v>0</v>
      </c>
      <c r="K445" s="11">
        <f>'Прил.№4 ведомств.'!L367</f>
        <v>0</v>
      </c>
      <c r="L445" s="11">
        <f>'Прил.№4 ведомств.'!M367</f>
        <v>5</v>
      </c>
      <c r="M445" s="11">
        <f>'Прил.№4 ведомств.'!N367</f>
        <v>0</v>
      </c>
      <c r="N445" s="7">
        <f t="shared" si="229"/>
        <v>0</v>
      </c>
    </row>
    <row r="446" spans="1:14" ht="15.75" x14ac:dyDescent="0.25">
      <c r="A446" s="26" t="s">
        <v>764</v>
      </c>
      <c r="B446" s="21" t="s">
        <v>765</v>
      </c>
      <c r="C446" s="42" t="s">
        <v>350</v>
      </c>
      <c r="D446" s="42" t="s">
        <v>169</v>
      </c>
      <c r="E446" s="42"/>
      <c r="F446" s="2"/>
      <c r="G446" s="11">
        <f>G447</f>
        <v>0.4</v>
      </c>
      <c r="H446" s="11">
        <f t="shared" ref="H446:M447" si="258">H447</f>
        <v>0.4</v>
      </c>
      <c r="I446" s="11">
        <f t="shared" si="258"/>
        <v>0</v>
      </c>
      <c r="J446" s="11">
        <f t="shared" si="258"/>
        <v>0</v>
      </c>
      <c r="K446" s="11">
        <f t="shared" si="258"/>
        <v>0</v>
      </c>
      <c r="L446" s="11">
        <f t="shared" si="258"/>
        <v>0.5</v>
      </c>
      <c r="M446" s="11">
        <f t="shared" si="258"/>
        <v>0</v>
      </c>
      <c r="N446" s="7">
        <f t="shared" si="229"/>
        <v>0</v>
      </c>
    </row>
    <row r="447" spans="1:14" ht="31.5" x14ac:dyDescent="0.25">
      <c r="A447" s="26" t="s">
        <v>323</v>
      </c>
      <c r="B447" s="21" t="s">
        <v>765</v>
      </c>
      <c r="C447" s="42" t="s">
        <v>350</v>
      </c>
      <c r="D447" s="42" t="s">
        <v>169</v>
      </c>
      <c r="E447" s="42" t="s">
        <v>324</v>
      </c>
      <c r="F447" s="2"/>
      <c r="G447" s="11">
        <f>G448</f>
        <v>0.4</v>
      </c>
      <c r="H447" s="11">
        <f t="shared" si="258"/>
        <v>0.4</v>
      </c>
      <c r="I447" s="11">
        <f t="shared" si="258"/>
        <v>0</v>
      </c>
      <c r="J447" s="11">
        <f t="shared" si="258"/>
        <v>0</v>
      </c>
      <c r="K447" s="11">
        <f t="shared" si="258"/>
        <v>0</v>
      </c>
      <c r="L447" s="11">
        <f t="shared" si="258"/>
        <v>0.5</v>
      </c>
      <c r="M447" s="11">
        <f t="shared" si="258"/>
        <v>0</v>
      </c>
      <c r="N447" s="7">
        <f t="shared" si="229"/>
        <v>0</v>
      </c>
    </row>
    <row r="448" spans="1:14" ht="15.75" x14ac:dyDescent="0.25">
      <c r="A448" s="26" t="s">
        <v>325</v>
      </c>
      <c r="B448" s="21" t="s">
        <v>765</v>
      </c>
      <c r="C448" s="42" t="s">
        <v>350</v>
      </c>
      <c r="D448" s="42" t="s">
        <v>169</v>
      </c>
      <c r="E448" s="42" t="s">
        <v>326</v>
      </c>
      <c r="F448" s="2"/>
      <c r="G448" s="11">
        <f>'Прил.№4 ведомств.'!G370</f>
        <v>0.4</v>
      </c>
      <c r="H448" s="11">
        <f>'Прил.№4 ведомств.'!I370</f>
        <v>0.4</v>
      </c>
      <c r="I448" s="11">
        <f>'Прил.№4 ведомств.'!J370</f>
        <v>0</v>
      </c>
      <c r="J448" s="11">
        <f>'Прил.№4 ведомств.'!K370</f>
        <v>0</v>
      </c>
      <c r="K448" s="11">
        <f>'Прил.№4 ведомств.'!L370</f>
        <v>0</v>
      </c>
      <c r="L448" s="11">
        <f>'Прил.№4 ведомств.'!M370</f>
        <v>0.5</v>
      </c>
      <c r="M448" s="11">
        <f>'Прил.№4 ведомств.'!N370</f>
        <v>0</v>
      </c>
      <c r="N448" s="7">
        <f t="shared" si="229"/>
        <v>0</v>
      </c>
    </row>
    <row r="449" spans="1:14" ht="31.5" x14ac:dyDescent="0.25">
      <c r="A449" s="37" t="s">
        <v>372</v>
      </c>
      <c r="B449" s="21" t="s">
        <v>373</v>
      </c>
      <c r="C449" s="42" t="s">
        <v>350</v>
      </c>
      <c r="D449" s="42" t="s">
        <v>169</v>
      </c>
      <c r="E449" s="42"/>
      <c r="F449" s="2"/>
      <c r="G449" s="11">
        <f>G450</f>
        <v>0</v>
      </c>
      <c r="H449" s="11">
        <f t="shared" ref="H449:M450" si="259">H450</f>
        <v>0</v>
      </c>
      <c r="I449" s="11">
        <f t="shared" si="259"/>
        <v>275</v>
      </c>
      <c r="J449" s="11">
        <f t="shared" si="259"/>
        <v>275</v>
      </c>
      <c r="K449" s="11">
        <f t="shared" si="259"/>
        <v>275</v>
      </c>
      <c r="L449" s="11">
        <f t="shared" si="259"/>
        <v>180</v>
      </c>
      <c r="M449" s="11">
        <f t="shared" si="259"/>
        <v>0</v>
      </c>
      <c r="N449" s="7">
        <f t="shared" si="229"/>
        <v>0</v>
      </c>
    </row>
    <row r="450" spans="1:14" ht="31.5" x14ac:dyDescent="0.25">
      <c r="A450" s="26" t="s">
        <v>323</v>
      </c>
      <c r="B450" s="21" t="s">
        <v>373</v>
      </c>
      <c r="C450" s="42" t="s">
        <v>350</v>
      </c>
      <c r="D450" s="42" t="s">
        <v>169</v>
      </c>
      <c r="E450" s="42" t="s">
        <v>324</v>
      </c>
      <c r="F450" s="2"/>
      <c r="G450" s="11">
        <f>G451</f>
        <v>0</v>
      </c>
      <c r="H450" s="11">
        <f t="shared" si="259"/>
        <v>0</v>
      </c>
      <c r="I450" s="11">
        <f t="shared" si="259"/>
        <v>275</v>
      </c>
      <c r="J450" s="11">
        <f t="shared" si="259"/>
        <v>275</v>
      </c>
      <c r="K450" s="11">
        <f t="shared" si="259"/>
        <v>275</v>
      </c>
      <c r="L450" s="11">
        <f t="shared" si="259"/>
        <v>180</v>
      </c>
      <c r="M450" s="11">
        <f t="shared" si="259"/>
        <v>0</v>
      </c>
      <c r="N450" s="7">
        <f t="shared" si="229"/>
        <v>0</v>
      </c>
    </row>
    <row r="451" spans="1:14" ht="15.75" x14ac:dyDescent="0.25">
      <c r="A451" s="26" t="s">
        <v>325</v>
      </c>
      <c r="B451" s="21" t="s">
        <v>373</v>
      </c>
      <c r="C451" s="42" t="s">
        <v>350</v>
      </c>
      <c r="D451" s="42" t="s">
        <v>169</v>
      </c>
      <c r="E451" s="42" t="s">
        <v>326</v>
      </c>
      <c r="F451" s="2"/>
      <c r="G451" s="11">
        <f>'Прил.№4 ведомств.'!G382</f>
        <v>0</v>
      </c>
      <c r="H451" s="11">
        <f>'Прил.№4 ведомств.'!I382</f>
        <v>0</v>
      </c>
      <c r="I451" s="11">
        <f>'Прил.№4 ведомств.'!J382</f>
        <v>275</v>
      </c>
      <c r="J451" s="11">
        <f>'Прил.№4 ведомств.'!K382</f>
        <v>275</v>
      </c>
      <c r="K451" s="11">
        <f>'Прил.№4 ведомств.'!L382</f>
        <v>275</v>
      </c>
      <c r="L451" s="11">
        <f>'Прил.№4 ведомств.'!M385</f>
        <v>180</v>
      </c>
      <c r="M451" s="11">
        <f>'Прил.№4 ведомств.'!N385</f>
        <v>0</v>
      </c>
      <c r="N451" s="7">
        <f t="shared" si="229"/>
        <v>0</v>
      </c>
    </row>
    <row r="452" spans="1:14" ht="31.5" x14ac:dyDescent="0.25">
      <c r="A452" s="70" t="s">
        <v>861</v>
      </c>
      <c r="B452" s="21" t="s">
        <v>874</v>
      </c>
      <c r="C452" s="42" t="s">
        <v>350</v>
      </c>
      <c r="D452" s="42" t="s">
        <v>169</v>
      </c>
      <c r="E452" s="42"/>
      <c r="F452" s="2"/>
      <c r="G452" s="11">
        <f>G453</f>
        <v>0</v>
      </c>
      <c r="H452" s="11">
        <f t="shared" ref="H452:M453" si="260">H453</f>
        <v>0</v>
      </c>
      <c r="I452" s="11">
        <f t="shared" si="260"/>
        <v>650.20000000000005</v>
      </c>
      <c r="J452" s="11">
        <f t="shared" si="260"/>
        <v>650.20000000000005</v>
      </c>
      <c r="K452" s="11">
        <f t="shared" si="260"/>
        <v>650.20000000000005</v>
      </c>
      <c r="L452" s="11">
        <f t="shared" si="260"/>
        <v>650.20000000000005</v>
      </c>
      <c r="M452" s="11">
        <f t="shared" si="260"/>
        <v>650.20000000000005</v>
      </c>
      <c r="N452" s="7">
        <f t="shared" si="229"/>
        <v>100</v>
      </c>
    </row>
    <row r="453" spans="1:14" ht="31.5" x14ac:dyDescent="0.25">
      <c r="A453" s="31" t="s">
        <v>323</v>
      </c>
      <c r="B453" s="21" t="s">
        <v>874</v>
      </c>
      <c r="C453" s="42" t="s">
        <v>350</v>
      </c>
      <c r="D453" s="42" t="s">
        <v>169</v>
      </c>
      <c r="E453" s="42" t="s">
        <v>324</v>
      </c>
      <c r="F453" s="2"/>
      <c r="G453" s="11">
        <f>G454</f>
        <v>0</v>
      </c>
      <c r="H453" s="11">
        <f t="shared" si="260"/>
        <v>0</v>
      </c>
      <c r="I453" s="11">
        <f t="shared" si="260"/>
        <v>650.20000000000005</v>
      </c>
      <c r="J453" s="11">
        <f t="shared" si="260"/>
        <v>650.20000000000005</v>
      </c>
      <c r="K453" s="11">
        <f t="shared" si="260"/>
        <v>650.20000000000005</v>
      </c>
      <c r="L453" s="11">
        <f t="shared" si="260"/>
        <v>650.20000000000005</v>
      </c>
      <c r="M453" s="11">
        <f t="shared" si="260"/>
        <v>650.20000000000005</v>
      </c>
      <c r="N453" s="7">
        <f t="shared" si="229"/>
        <v>100</v>
      </c>
    </row>
    <row r="454" spans="1:14" ht="15.75" x14ac:dyDescent="0.25">
      <c r="A454" s="262" t="s">
        <v>325</v>
      </c>
      <c r="B454" s="21" t="s">
        <v>874</v>
      </c>
      <c r="C454" s="42" t="s">
        <v>350</v>
      </c>
      <c r="D454" s="42" t="s">
        <v>169</v>
      </c>
      <c r="E454" s="42" t="s">
        <v>326</v>
      </c>
      <c r="F454" s="2"/>
      <c r="G454" s="11">
        <f>'Прил.№4 ведомств.'!G388</f>
        <v>0</v>
      </c>
      <c r="H454" s="11">
        <f>'Прил.№4 ведомств.'!I388</f>
        <v>0</v>
      </c>
      <c r="I454" s="11">
        <f>'Прил.№4 ведомств.'!J388</f>
        <v>650.20000000000005</v>
      </c>
      <c r="J454" s="11">
        <f>'Прил.№4 ведомств.'!K388</f>
        <v>650.20000000000005</v>
      </c>
      <c r="K454" s="11">
        <f>'Прил.№4 ведомств.'!L388</f>
        <v>650.20000000000005</v>
      </c>
      <c r="L454" s="11">
        <f>'Прил.№4 ведомств.'!M388</f>
        <v>650.20000000000005</v>
      </c>
      <c r="M454" s="11">
        <f>'Прил.№4 ведомств.'!N388</f>
        <v>650.20000000000005</v>
      </c>
      <c r="N454" s="7">
        <f t="shared" si="229"/>
        <v>100</v>
      </c>
    </row>
    <row r="455" spans="1:14" ht="47.25" x14ac:dyDescent="0.25">
      <c r="A455" s="47" t="s">
        <v>312</v>
      </c>
      <c r="B455" s="42" t="s">
        <v>364</v>
      </c>
      <c r="C455" s="42" t="s">
        <v>350</v>
      </c>
      <c r="D455" s="42" t="s">
        <v>169</v>
      </c>
      <c r="E455" s="42"/>
      <c r="F455" s="2">
        <v>903</v>
      </c>
      <c r="G455" s="11">
        <f t="shared" ref="G455:L455" si="261">G419</f>
        <v>16660.600000000002</v>
      </c>
      <c r="H455" s="11">
        <f t="shared" si="261"/>
        <v>16660.600000000002</v>
      </c>
      <c r="I455" s="11">
        <f t="shared" si="261"/>
        <v>20069.2</v>
      </c>
      <c r="J455" s="11">
        <f t="shared" si="261"/>
        <v>20340.2</v>
      </c>
      <c r="K455" s="11">
        <f t="shared" si="261"/>
        <v>20562.600000000002</v>
      </c>
      <c r="L455" s="11">
        <f t="shared" si="261"/>
        <v>17194.2</v>
      </c>
      <c r="M455" s="11">
        <f t="shared" ref="M455" si="262">M419</f>
        <v>14031.7</v>
      </c>
      <c r="N455" s="7">
        <f t="shared" si="229"/>
        <v>81.607169859603829</v>
      </c>
    </row>
    <row r="456" spans="1:14" ht="31.5" hidden="1" x14ac:dyDescent="0.25">
      <c r="A456" s="70" t="s">
        <v>372</v>
      </c>
      <c r="B456" s="42" t="s">
        <v>373</v>
      </c>
      <c r="C456" s="42" t="s">
        <v>350</v>
      </c>
      <c r="D456" s="42" t="s">
        <v>169</v>
      </c>
      <c r="E456" s="42"/>
      <c r="F456" s="2"/>
      <c r="G456" s="11">
        <f>G457</f>
        <v>0</v>
      </c>
      <c r="H456" s="11">
        <f t="shared" ref="H456:M456" si="263">H457</f>
        <v>0</v>
      </c>
      <c r="I456" s="11">
        <f t="shared" si="263"/>
        <v>0</v>
      </c>
      <c r="J456" s="11">
        <f t="shared" si="263"/>
        <v>0</v>
      </c>
      <c r="K456" s="11">
        <f t="shared" si="263"/>
        <v>0</v>
      </c>
      <c r="L456" s="11">
        <f t="shared" si="263"/>
        <v>0</v>
      </c>
      <c r="M456" s="11">
        <f t="shared" si="263"/>
        <v>0</v>
      </c>
      <c r="N456" s="4" t="e">
        <f t="shared" si="229"/>
        <v>#DIV/0!</v>
      </c>
    </row>
    <row r="457" spans="1:14" ht="31.5" hidden="1" x14ac:dyDescent="0.25">
      <c r="A457" s="31" t="s">
        <v>323</v>
      </c>
      <c r="B457" s="42" t="s">
        <v>373</v>
      </c>
      <c r="C457" s="42" t="s">
        <v>350</v>
      </c>
      <c r="D457" s="42" t="s">
        <v>169</v>
      </c>
      <c r="E457" s="42" t="s">
        <v>324</v>
      </c>
      <c r="F457" s="2"/>
      <c r="G457" s="11"/>
      <c r="H457" s="11"/>
      <c r="I457" s="11"/>
      <c r="J457" s="11"/>
      <c r="K457" s="11"/>
      <c r="L457" s="11"/>
      <c r="M457" s="11"/>
      <c r="N457" s="4" t="e">
        <f t="shared" si="229"/>
        <v>#DIV/0!</v>
      </c>
    </row>
    <row r="458" spans="1:14" ht="15.75" hidden="1" x14ac:dyDescent="0.25">
      <c r="A458" s="31" t="s">
        <v>325</v>
      </c>
      <c r="B458" s="42" t="s">
        <v>373</v>
      </c>
      <c r="C458" s="42" t="s">
        <v>350</v>
      </c>
      <c r="D458" s="42" t="s">
        <v>169</v>
      </c>
      <c r="E458" s="42" t="s">
        <v>326</v>
      </c>
      <c r="F458" s="2"/>
      <c r="G458" s="11"/>
      <c r="H458" s="11"/>
      <c r="I458" s="11"/>
      <c r="J458" s="11"/>
      <c r="K458" s="11"/>
      <c r="L458" s="11"/>
      <c r="M458" s="11"/>
      <c r="N458" s="4" t="e">
        <f t="shared" si="229"/>
        <v>#DIV/0!</v>
      </c>
    </row>
    <row r="459" spans="1:14" ht="47.25" hidden="1" x14ac:dyDescent="0.25">
      <c r="A459" s="47" t="s">
        <v>312</v>
      </c>
      <c r="B459" s="42" t="s">
        <v>373</v>
      </c>
      <c r="C459" s="42" t="s">
        <v>350</v>
      </c>
      <c r="D459" s="42" t="s">
        <v>169</v>
      </c>
      <c r="E459" s="42"/>
      <c r="F459" s="2">
        <v>903</v>
      </c>
      <c r="G459" s="11">
        <f>G458</f>
        <v>0</v>
      </c>
      <c r="H459" s="11">
        <f t="shared" ref="H459:L459" si="264">H458</f>
        <v>0</v>
      </c>
      <c r="I459" s="11">
        <f t="shared" si="264"/>
        <v>0</v>
      </c>
      <c r="J459" s="11">
        <f t="shared" si="264"/>
        <v>0</v>
      </c>
      <c r="K459" s="11">
        <f t="shared" si="264"/>
        <v>0</v>
      </c>
      <c r="L459" s="11">
        <f t="shared" si="264"/>
        <v>0</v>
      </c>
      <c r="M459" s="11">
        <f t="shared" ref="M459" si="265">M458</f>
        <v>0</v>
      </c>
      <c r="N459" s="4" t="e">
        <f t="shared" si="229"/>
        <v>#DIV/0!</v>
      </c>
    </row>
    <row r="460" spans="1:14" ht="59.25" customHeight="1" x14ac:dyDescent="0.25">
      <c r="A460" s="43" t="s">
        <v>1000</v>
      </c>
      <c r="B460" s="8" t="s">
        <v>375</v>
      </c>
      <c r="C460" s="84"/>
      <c r="D460" s="84"/>
      <c r="E460" s="84"/>
      <c r="F460" s="84"/>
      <c r="G460" s="68">
        <f>G461</f>
        <v>200</v>
      </c>
      <c r="H460" s="68">
        <f t="shared" ref="H460:M464" si="266">H461</f>
        <v>200</v>
      </c>
      <c r="I460" s="68">
        <f t="shared" si="266"/>
        <v>0</v>
      </c>
      <c r="J460" s="68">
        <f t="shared" si="266"/>
        <v>0</v>
      </c>
      <c r="K460" s="68">
        <f t="shared" si="266"/>
        <v>0</v>
      </c>
      <c r="L460" s="68">
        <f>L461</f>
        <v>545</v>
      </c>
      <c r="M460" s="68">
        <f t="shared" ref="M460:M462" si="267">M461</f>
        <v>545</v>
      </c>
      <c r="N460" s="4">
        <f t="shared" si="229"/>
        <v>100</v>
      </c>
    </row>
    <row r="461" spans="1:14" ht="15.75" x14ac:dyDescent="0.25">
      <c r="A461" s="85" t="s">
        <v>542</v>
      </c>
      <c r="B461" s="42" t="s">
        <v>375</v>
      </c>
      <c r="C461" s="42" t="s">
        <v>543</v>
      </c>
      <c r="D461" s="85"/>
      <c r="E461" s="85"/>
      <c r="F461" s="85"/>
      <c r="G461" s="11">
        <f>G462</f>
        <v>200</v>
      </c>
      <c r="H461" s="11">
        <f t="shared" si="266"/>
        <v>200</v>
      </c>
      <c r="I461" s="11">
        <f t="shared" si="266"/>
        <v>0</v>
      </c>
      <c r="J461" s="11">
        <f t="shared" si="266"/>
        <v>0</v>
      </c>
      <c r="K461" s="11">
        <f t="shared" si="266"/>
        <v>0</v>
      </c>
      <c r="L461" s="11">
        <f>L462</f>
        <v>545</v>
      </c>
      <c r="M461" s="11">
        <f t="shared" si="267"/>
        <v>545</v>
      </c>
      <c r="N461" s="7">
        <f t="shared" ref="N461:N524" si="268">M461/L461*100</f>
        <v>100</v>
      </c>
    </row>
    <row r="462" spans="1:14" ht="15.75" x14ac:dyDescent="0.25">
      <c r="A462" s="85" t="s">
        <v>544</v>
      </c>
      <c r="B462" s="42" t="s">
        <v>375</v>
      </c>
      <c r="C462" s="42" t="s">
        <v>543</v>
      </c>
      <c r="D462" s="42" t="s">
        <v>169</v>
      </c>
      <c r="E462" s="85"/>
      <c r="F462" s="85"/>
      <c r="G462" s="11">
        <f>G463</f>
        <v>200</v>
      </c>
      <c r="H462" s="11">
        <f t="shared" si="266"/>
        <v>200</v>
      </c>
      <c r="I462" s="11">
        <f t="shared" si="266"/>
        <v>0</v>
      </c>
      <c r="J462" s="11">
        <f t="shared" si="266"/>
        <v>0</v>
      </c>
      <c r="K462" s="11">
        <f t="shared" si="266"/>
        <v>0</v>
      </c>
      <c r="L462" s="11">
        <f>L463</f>
        <v>545</v>
      </c>
      <c r="M462" s="11">
        <f t="shared" si="267"/>
        <v>545</v>
      </c>
      <c r="N462" s="7">
        <f t="shared" si="268"/>
        <v>100</v>
      </c>
    </row>
    <row r="463" spans="1:14" ht="47.25" x14ac:dyDescent="0.25">
      <c r="A463" s="33" t="s">
        <v>376</v>
      </c>
      <c r="B463" s="42" t="s">
        <v>377</v>
      </c>
      <c r="C463" s="42" t="s">
        <v>543</v>
      </c>
      <c r="D463" s="42" t="s">
        <v>169</v>
      </c>
      <c r="E463" s="85"/>
      <c r="F463" s="85"/>
      <c r="G463" s="11">
        <f>G464</f>
        <v>200</v>
      </c>
      <c r="H463" s="11">
        <f t="shared" si="266"/>
        <v>200</v>
      </c>
      <c r="I463" s="11">
        <f t="shared" si="266"/>
        <v>0</v>
      </c>
      <c r="J463" s="11">
        <f t="shared" si="266"/>
        <v>0</v>
      </c>
      <c r="K463" s="11">
        <f t="shared" si="266"/>
        <v>0</v>
      </c>
      <c r="L463" s="11">
        <f t="shared" si="266"/>
        <v>545</v>
      </c>
      <c r="M463" s="11">
        <f t="shared" si="266"/>
        <v>545</v>
      </c>
      <c r="N463" s="7">
        <f t="shared" si="268"/>
        <v>100</v>
      </c>
    </row>
    <row r="464" spans="1:14" ht="31.5" x14ac:dyDescent="0.25">
      <c r="A464" s="26" t="s">
        <v>323</v>
      </c>
      <c r="B464" s="42" t="s">
        <v>377</v>
      </c>
      <c r="C464" s="42" t="s">
        <v>543</v>
      </c>
      <c r="D464" s="42" t="s">
        <v>169</v>
      </c>
      <c r="E464" s="42" t="s">
        <v>324</v>
      </c>
      <c r="F464" s="85"/>
      <c r="G464" s="11">
        <f>G465</f>
        <v>200</v>
      </c>
      <c r="H464" s="11">
        <f t="shared" si="266"/>
        <v>200</v>
      </c>
      <c r="I464" s="11">
        <f t="shared" si="266"/>
        <v>0</v>
      </c>
      <c r="J464" s="11">
        <f t="shared" si="266"/>
        <v>0</v>
      </c>
      <c r="K464" s="11">
        <f t="shared" si="266"/>
        <v>0</v>
      </c>
      <c r="L464" s="11">
        <f t="shared" si="266"/>
        <v>545</v>
      </c>
      <c r="M464" s="11">
        <f t="shared" si="266"/>
        <v>545</v>
      </c>
      <c r="N464" s="7">
        <f t="shared" si="268"/>
        <v>100</v>
      </c>
    </row>
    <row r="465" spans="1:14" ht="15.75" x14ac:dyDescent="0.25">
      <c r="A465" s="26" t="s">
        <v>325</v>
      </c>
      <c r="B465" s="42" t="s">
        <v>377</v>
      </c>
      <c r="C465" s="42" t="s">
        <v>543</v>
      </c>
      <c r="D465" s="42" t="s">
        <v>169</v>
      </c>
      <c r="E465" s="42" t="s">
        <v>326</v>
      </c>
      <c r="F465" s="85"/>
      <c r="G465" s="11">
        <f>'Прил.№4 ведомств.'!G392</f>
        <v>200</v>
      </c>
      <c r="H465" s="11">
        <f>'Прил.№4 ведомств.'!I392</f>
        <v>200</v>
      </c>
      <c r="I465" s="11">
        <f>'Прил.№4 ведомств.'!J392</f>
        <v>0</v>
      </c>
      <c r="J465" s="11">
        <f>'Прил.№4 ведомств.'!K392</f>
        <v>0</v>
      </c>
      <c r="K465" s="11">
        <f>'Прил.№4 ведомств.'!L392</f>
        <v>0</v>
      </c>
      <c r="L465" s="11">
        <f>'Прил.№4 ведомств.'!M843</f>
        <v>545</v>
      </c>
      <c r="M465" s="11">
        <f>'Прил.№4 ведомств.'!N843</f>
        <v>545</v>
      </c>
      <c r="N465" s="7">
        <f t="shared" si="268"/>
        <v>100</v>
      </c>
    </row>
    <row r="466" spans="1:14" ht="31.5" x14ac:dyDescent="0.25">
      <c r="A466" s="47" t="s">
        <v>532</v>
      </c>
      <c r="B466" s="42" t="s">
        <v>375</v>
      </c>
      <c r="C466" s="42" t="s">
        <v>543</v>
      </c>
      <c r="D466" s="42" t="s">
        <v>169</v>
      </c>
      <c r="E466" s="85"/>
      <c r="F466" s="2">
        <v>907</v>
      </c>
      <c r="G466" s="11">
        <f>G460</f>
        <v>200</v>
      </c>
      <c r="H466" s="11">
        <f>H460</f>
        <v>200</v>
      </c>
      <c r="I466" s="11">
        <f>I460</f>
        <v>0</v>
      </c>
      <c r="J466" s="11">
        <f>J460</f>
        <v>0</v>
      </c>
      <c r="K466" s="11">
        <f>K460</f>
        <v>0</v>
      </c>
      <c r="L466" s="11">
        <f>L462</f>
        <v>545</v>
      </c>
      <c r="M466" s="11">
        <f t="shared" ref="M466" si="269">M462</f>
        <v>545</v>
      </c>
      <c r="N466" s="7">
        <f t="shared" si="268"/>
        <v>100</v>
      </c>
    </row>
    <row r="467" spans="1:14" ht="47.25" x14ac:dyDescent="0.25">
      <c r="A467" s="43" t="s">
        <v>594</v>
      </c>
      <c r="B467" s="8" t="s">
        <v>595</v>
      </c>
      <c r="C467" s="2"/>
      <c r="D467" s="2"/>
      <c r="E467" s="2"/>
      <c r="F467" s="2"/>
      <c r="G467" s="68">
        <f>G468+G486</f>
        <v>12375.499999999998</v>
      </c>
      <c r="H467" s="68">
        <f t="shared" ref="H467:L467" si="270">H468+H486</f>
        <v>3394.8</v>
      </c>
      <c r="I467" s="68">
        <f t="shared" si="270"/>
        <v>16123</v>
      </c>
      <c r="J467" s="68">
        <f t="shared" si="270"/>
        <v>16291.599999999999</v>
      </c>
      <c r="K467" s="68">
        <f t="shared" si="270"/>
        <v>18205.7</v>
      </c>
      <c r="L467" s="68">
        <f t="shared" si="270"/>
        <v>18293.899999999998</v>
      </c>
      <c r="M467" s="68">
        <f t="shared" ref="M467" si="271">M468+M486</f>
        <v>3493.4</v>
      </c>
      <c r="N467" s="4">
        <f t="shared" si="268"/>
        <v>19.095982813943451</v>
      </c>
    </row>
    <row r="468" spans="1:14" ht="47.25" x14ac:dyDescent="0.25">
      <c r="A468" s="43" t="s">
        <v>596</v>
      </c>
      <c r="B468" s="8" t="s">
        <v>597</v>
      </c>
      <c r="C468" s="8"/>
      <c r="D468" s="8"/>
      <c r="E468" s="3"/>
      <c r="F468" s="3"/>
      <c r="G468" s="68">
        <f>G469</f>
        <v>8697.2999999999993</v>
      </c>
      <c r="H468" s="68">
        <f t="shared" ref="H468:M469" si="272">H469</f>
        <v>1853.4</v>
      </c>
      <c r="I468" s="68">
        <f t="shared" si="272"/>
        <v>11055.8</v>
      </c>
      <c r="J468" s="68">
        <f t="shared" si="272"/>
        <v>10998</v>
      </c>
      <c r="K468" s="68">
        <f t="shared" si="272"/>
        <v>12675.6</v>
      </c>
      <c r="L468" s="68">
        <f t="shared" si="272"/>
        <v>13226.699999999999</v>
      </c>
      <c r="M468" s="68">
        <f t="shared" si="272"/>
        <v>3377</v>
      </c>
      <c r="N468" s="4">
        <f t="shared" si="268"/>
        <v>25.531689688282039</v>
      </c>
    </row>
    <row r="469" spans="1:14" ht="15.75" x14ac:dyDescent="0.25">
      <c r="A469" s="85" t="s">
        <v>442</v>
      </c>
      <c r="B469" s="42" t="s">
        <v>597</v>
      </c>
      <c r="C469" s="42" t="s">
        <v>285</v>
      </c>
      <c r="D469" s="42"/>
      <c r="E469" s="2"/>
      <c r="F469" s="2"/>
      <c r="G469" s="11">
        <f>G470</f>
        <v>8697.2999999999993</v>
      </c>
      <c r="H469" s="11">
        <f t="shared" si="272"/>
        <v>1853.4</v>
      </c>
      <c r="I469" s="11">
        <f t="shared" si="272"/>
        <v>11055.8</v>
      </c>
      <c r="J469" s="11">
        <f t="shared" si="272"/>
        <v>10998</v>
      </c>
      <c r="K469" s="11">
        <f t="shared" si="272"/>
        <v>12675.6</v>
      </c>
      <c r="L469" s="11">
        <f t="shared" si="272"/>
        <v>13226.699999999999</v>
      </c>
      <c r="M469" s="11">
        <f t="shared" si="272"/>
        <v>3377</v>
      </c>
      <c r="N469" s="7">
        <f t="shared" si="268"/>
        <v>25.531689688282039</v>
      </c>
    </row>
    <row r="470" spans="1:14" ht="15.75" x14ac:dyDescent="0.25">
      <c r="A470" s="85" t="s">
        <v>593</v>
      </c>
      <c r="B470" s="42" t="s">
        <v>597</v>
      </c>
      <c r="C470" s="42" t="s">
        <v>285</v>
      </c>
      <c r="D470" s="42" t="s">
        <v>266</v>
      </c>
      <c r="E470" s="2"/>
      <c r="F470" s="2"/>
      <c r="G470" s="11">
        <f>G471+G474+G479</f>
        <v>8697.2999999999993</v>
      </c>
      <c r="H470" s="11">
        <f t="shared" ref="H470:K470" si="273">H471+H474+H479</f>
        <v>1853.4</v>
      </c>
      <c r="I470" s="11">
        <f t="shared" si="273"/>
        <v>11055.8</v>
      </c>
      <c r="J470" s="11">
        <f t="shared" si="273"/>
        <v>10998</v>
      </c>
      <c r="K470" s="11">
        <f t="shared" si="273"/>
        <v>12675.6</v>
      </c>
      <c r="L470" s="11">
        <f>L471+L474+L479+L482</f>
        <v>13226.699999999999</v>
      </c>
      <c r="M470" s="11">
        <f t="shared" ref="M470" si="274">M471+M474+M479+M482</f>
        <v>3377</v>
      </c>
      <c r="N470" s="7">
        <f t="shared" si="268"/>
        <v>25.531689688282039</v>
      </c>
    </row>
    <row r="471" spans="1:14" ht="15.75" x14ac:dyDescent="0.25">
      <c r="A471" s="26" t="s">
        <v>598</v>
      </c>
      <c r="B471" s="21" t="s">
        <v>599</v>
      </c>
      <c r="C471" s="42" t="s">
        <v>285</v>
      </c>
      <c r="D471" s="42" t="s">
        <v>266</v>
      </c>
      <c r="E471" s="2"/>
      <c r="F471" s="2"/>
      <c r="G471" s="11">
        <f>G472</f>
        <v>253.4</v>
      </c>
      <c r="H471" s="11">
        <f t="shared" ref="H471:M472" si="275">H472</f>
        <v>253.4</v>
      </c>
      <c r="I471" s="11">
        <f t="shared" si="275"/>
        <v>356</v>
      </c>
      <c r="J471" s="11">
        <f t="shared" si="275"/>
        <v>371</v>
      </c>
      <c r="K471" s="11">
        <f t="shared" si="275"/>
        <v>378</v>
      </c>
      <c r="L471" s="11">
        <f t="shared" si="275"/>
        <v>356</v>
      </c>
      <c r="M471" s="11">
        <f t="shared" si="275"/>
        <v>0</v>
      </c>
      <c r="N471" s="7">
        <f t="shared" si="268"/>
        <v>0</v>
      </c>
    </row>
    <row r="472" spans="1:14" ht="51" customHeight="1" x14ac:dyDescent="0.25">
      <c r="A472" s="26" t="s">
        <v>182</v>
      </c>
      <c r="B472" s="21" t="s">
        <v>599</v>
      </c>
      <c r="C472" s="42" t="s">
        <v>285</v>
      </c>
      <c r="D472" s="42" t="s">
        <v>266</v>
      </c>
      <c r="E472" s="2">
        <v>200</v>
      </c>
      <c r="F472" s="2"/>
      <c r="G472" s="11">
        <f>G473</f>
        <v>253.4</v>
      </c>
      <c r="H472" s="11">
        <f t="shared" si="275"/>
        <v>253.4</v>
      </c>
      <c r="I472" s="11">
        <f t="shared" si="275"/>
        <v>356</v>
      </c>
      <c r="J472" s="11">
        <f t="shared" si="275"/>
        <v>371</v>
      </c>
      <c r="K472" s="11">
        <f t="shared" si="275"/>
        <v>378</v>
      </c>
      <c r="L472" s="11">
        <f t="shared" si="275"/>
        <v>356</v>
      </c>
      <c r="M472" s="11">
        <f t="shared" si="275"/>
        <v>0</v>
      </c>
      <c r="N472" s="7">
        <f t="shared" si="268"/>
        <v>0</v>
      </c>
    </row>
    <row r="473" spans="1:14" ht="31.5" x14ac:dyDescent="0.25">
      <c r="A473" s="26" t="s">
        <v>184</v>
      </c>
      <c r="B473" s="21" t="s">
        <v>599</v>
      </c>
      <c r="C473" s="42" t="s">
        <v>285</v>
      </c>
      <c r="D473" s="42" t="s">
        <v>266</v>
      </c>
      <c r="E473" s="2">
        <v>240</v>
      </c>
      <c r="F473" s="2"/>
      <c r="G473" s="11">
        <f>'Прил.№4 ведомств.'!G994</f>
        <v>253.4</v>
      </c>
      <c r="H473" s="11">
        <f>'Прил.№4 ведомств.'!I994</f>
        <v>253.4</v>
      </c>
      <c r="I473" s="11">
        <f>'Прил.№4 ведомств.'!J994</f>
        <v>356</v>
      </c>
      <c r="J473" s="11">
        <f>'Прил.№4 ведомств.'!K994</f>
        <v>371</v>
      </c>
      <c r="K473" s="11">
        <f>'Прил.№4 ведомств.'!L994</f>
        <v>378</v>
      </c>
      <c r="L473" s="11">
        <f>'Прил.№4 ведомств.'!M994</f>
        <v>356</v>
      </c>
      <c r="M473" s="11">
        <f>'Прил.№4 ведомств.'!N994</f>
        <v>0</v>
      </c>
      <c r="N473" s="7">
        <f t="shared" si="268"/>
        <v>0</v>
      </c>
    </row>
    <row r="474" spans="1:14" ht="31.5" customHeight="1" x14ac:dyDescent="0.25">
      <c r="A474" s="26" t="s">
        <v>600</v>
      </c>
      <c r="B474" s="21" t="s">
        <v>601</v>
      </c>
      <c r="C474" s="42" t="s">
        <v>285</v>
      </c>
      <c r="D474" s="42" t="s">
        <v>266</v>
      </c>
      <c r="E474" s="2"/>
      <c r="F474" s="2"/>
      <c r="G474" s="11">
        <f>G475</f>
        <v>5258.6</v>
      </c>
      <c r="H474" s="11">
        <f t="shared" ref="H474:M475" si="276">H475</f>
        <v>1500</v>
      </c>
      <c r="I474" s="11">
        <f t="shared" si="276"/>
        <v>6383</v>
      </c>
      <c r="J474" s="11">
        <f t="shared" si="276"/>
        <v>6266.6</v>
      </c>
      <c r="K474" s="11">
        <f t="shared" si="276"/>
        <v>6060</v>
      </c>
      <c r="L474" s="11">
        <f>L475+L477</f>
        <v>6383</v>
      </c>
      <c r="M474" s="11">
        <f t="shared" ref="M474" si="277">M475+M477</f>
        <v>1206</v>
      </c>
      <c r="N474" s="7">
        <f t="shared" si="268"/>
        <v>18.893937020209933</v>
      </c>
    </row>
    <row r="475" spans="1:14" ht="31.5" x14ac:dyDescent="0.25">
      <c r="A475" s="26" t="s">
        <v>182</v>
      </c>
      <c r="B475" s="21" t="s">
        <v>601</v>
      </c>
      <c r="C475" s="42" t="s">
        <v>285</v>
      </c>
      <c r="D475" s="42" t="s">
        <v>266</v>
      </c>
      <c r="E475" s="2">
        <v>200</v>
      </c>
      <c r="F475" s="2"/>
      <c r="G475" s="11">
        <f>G476</f>
        <v>5258.6</v>
      </c>
      <c r="H475" s="11">
        <f t="shared" si="276"/>
        <v>1500</v>
      </c>
      <c r="I475" s="11">
        <f t="shared" si="276"/>
        <v>6383</v>
      </c>
      <c r="J475" s="11">
        <f t="shared" si="276"/>
        <v>6266.6</v>
      </c>
      <c r="K475" s="11">
        <f t="shared" si="276"/>
        <v>6060</v>
      </c>
      <c r="L475" s="11">
        <f t="shared" si="276"/>
        <v>6342.1</v>
      </c>
      <c r="M475" s="11">
        <f t="shared" si="276"/>
        <v>1168.5</v>
      </c>
      <c r="N475" s="7">
        <f t="shared" si="268"/>
        <v>18.424496617839516</v>
      </c>
    </row>
    <row r="476" spans="1:14" ht="31.5" x14ac:dyDescent="0.25">
      <c r="A476" s="26" t="s">
        <v>184</v>
      </c>
      <c r="B476" s="21" t="s">
        <v>601</v>
      </c>
      <c r="C476" s="42" t="s">
        <v>285</v>
      </c>
      <c r="D476" s="42" t="s">
        <v>266</v>
      </c>
      <c r="E476" s="2">
        <v>240</v>
      </c>
      <c r="F476" s="2"/>
      <c r="G476" s="11">
        <f>'Прил.№4 ведомств.'!G997</f>
        <v>5258.6</v>
      </c>
      <c r="H476" s="11">
        <f>'Прил.№4 ведомств.'!I997</f>
        <v>1500</v>
      </c>
      <c r="I476" s="11">
        <f>'Прил.№4 ведомств.'!J997</f>
        <v>6383</v>
      </c>
      <c r="J476" s="11">
        <f>'Прил.№4 ведомств.'!K997</f>
        <v>6266.6</v>
      </c>
      <c r="K476" s="11">
        <f>'Прил.№4 ведомств.'!L997</f>
        <v>6060</v>
      </c>
      <c r="L476" s="11">
        <f>'Прил.№4 ведомств.'!M997</f>
        <v>6342.1</v>
      </c>
      <c r="M476" s="11">
        <f>'Прил.№4 ведомств.'!N997</f>
        <v>1168.5</v>
      </c>
      <c r="N476" s="7">
        <f t="shared" si="268"/>
        <v>18.424496617839516</v>
      </c>
    </row>
    <row r="477" spans="1:14" ht="15.75" x14ac:dyDescent="0.25">
      <c r="A477" s="26" t="s">
        <v>186</v>
      </c>
      <c r="B477" s="21" t="s">
        <v>601</v>
      </c>
      <c r="C477" s="42" t="s">
        <v>285</v>
      </c>
      <c r="D477" s="42" t="s">
        <v>266</v>
      </c>
      <c r="E477" s="2">
        <v>800</v>
      </c>
      <c r="F477" s="2"/>
      <c r="G477" s="11"/>
      <c r="H477" s="11"/>
      <c r="I477" s="11"/>
      <c r="J477" s="11"/>
      <c r="K477" s="11"/>
      <c r="L477" s="11">
        <f>L478</f>
        <v>40.9</v>
      </c>
      <c r="M477" s="11">
        <f t="shared" ref="M477" si="278">M478</f>
        <v>37.5</v>
      </c>
      <c r="N477" s="7">
        <f t="shared" si="268"/>
        <v>91.687041564792182</v>
      </c>
    </row>
    <row r="478" spans="1:14" ht="15.75" x14ac:dyDescent="0.25">
      <c r="A478" s="26" t="s">
        <v>620</v>
      </c>
      <c r="B478" s="21" t="s">
        <v>601</v>
      </c>
      <c r="C478" s="42" t="s">
        <v>285</v>
      </c>
      <c r="D478" s="42" t="s">
        <v>266</v>
      </c>
      <c r="E478" s="2">
        <v>850</v>
      </c>
      <c r="F478" s="2"/>
      <c r="G478" s="11"/>
      <c r="H478" s="11"/>
      <c r="I478" s="11"/>
      <c r="J478" s="11"/>
      <c r="K478" s="11"/>
      <c r="L478" s="11">
        <f>'Прил.№4 ведомств.'!M999</f>
        <v>40.9</v>
      </c>
      <c r="M478" s="11">
        <f>'Прил.№4 ведомств.'!N999</f>
        <v>37.5</v>
      </c>
      <c r="N478" s="7">
        <f t="shared" si="268"/>
        <v>91.687041564792182</v>
      </c>
    </row>
    <row r="479" spans="1:14" ht="15.75" x14ac:dyDescent="0.25">
      <c r="A479" s="26" t="s">
        <v>602</v>
      </c>
      <c r="B479" s="21" t="s">
        <v>603</v>
      </c>
      <c r="C479" s="42" t="s">
        <v>285</v>
      </c>
      <c r="D479" s="42" t="s">
        <v>266</v>
      </c>
      <c r="E479" s="2"/>
      <c r="F479" s="2"/>
      <c r="G479" s="11">
        <f>G480</f>
        <v>3185.3</v>
      </c>
      <c r="H479" s="11">
        <f t="shared" ref="H479:M480" si="279">H480</f>
        <v>100</v>
      </c>
      <c r="I479" s="11">
        <f t="shared" si="279"/>
        <v>4316.8</v>
      </c>
      <c r="J479" s="11">
        <f t="shared" si="279"/>
        <v>4360.3999999999996</v>
      </c>
      <c r="K479" s="11">
        <f t="shared" si="279"/>
        <v>6237.6</v>
      </c>
      <c r="L479" s="11">
        <f t="shared" si="279"/>
        <v>4316.8</v>
      </c>
      <c r="M479" s="11">
        <f t="shared" si="279"/>
        <v>0.1</v>
      </c>
      <c r="N479" s="7">
        <f t="shared" si="268"/>
        <v>2.3165307635285397E-3</v>
      </c>
    </row>
    <row r="480" spans="1:14" ht="31.5" x14ac:dyDescent="0.25">
      <c r="A480" s="26" t="s">
        <v>182</v>
      </c>
      <c r="B480" s="21" t="s">
        <v>603</v>
      </c>
      <c r="C480" s="42" t="s">
        <v>285</v>
      </c>
      <c r="D480" s="42" t="s">
        <v>266</v>
      </c>
      <c r="E480" s="2">
        <v>200</v>
      </c>
      <c r="F480" s="2"/>
      <c r="G480" s="11">
        <f>G481</f>
        <v>3185.3</v>
      </c>
      <c r="H480" s="11">
        <f t="shared" si="279"/>
        <v>100</v>
      </c>
      <c r="I480" s="11">
        <f t="shared" si="279"/>
        <v>4316.8</v>
      </c>
      <c r="J480" s="11">
        <f t="shared" si="279"/>
        <v>4360.3999999999996</v>
      </c>
      <c r="K480" s="11">
        <f t="shared" si="279"/>
        <v>6237.6</v>
      </c>
      <c r="L480" s="11">
        <f t="shared" si="279"/>
        <v>4316.8</v>
      </c>
      <c r="M480" s="11">
        <f t="shared" si="279"/>
        <v>0.1</v>
      </c>
      <c r="N480" s="7">
        <f t="shared" si="268"/>
        <v>2.3165307635285397E-3</v>
      </c>
    </row>
    <row r="481" spans="1:14" ht="31.5" x14ac:dyDescent="0.25">
      <c r="A481" s="26" t="s">
        <v>184</v>
      </c>
      <c r="B481" s="21" t="s">
        <v>603</v>
      </c>
      <c r="C481" s="42" t="s">
        <v>285</v>
      </c>
      <c r="D481" s="42" t="s">
        <v>266</v>
      </c>
      <c r="E481" s="2">
        <v>240</v>
      </c>
      <c r="F481" s="2"/>
      <c r="G481" s="11">
        <f>'Прил.№4 ведомств.'!G1002</f>
        <v>3185.3</v>
      </c>
      <c r="H481" s="11">
        <f>'Прил.№4 ведомств.'!I1002</f>
        <v>100</v>
      </c>
      <c r="I481" s="11">
        <f>'Прил.№4 ведомств.'!J1002</f>
        <v>4316.8</v>
      </c>
      <c r="J481" s="11">
        <f>'Прил.№4 ведомств.'!K1002</f>
        <v>4360.3999999999996</v>
      </c>
      <c r="K481" s="11">
        <f>'Прил.№4 ведомств.'!L1002</f>
        <v>6237.6</v>
      </c>
      <c r="L481" s="11">
        <f>'Прил.№4 ведомств.'!M1002</f>
        <v>4316.8</v>
      </c>
      <c r="M481" s="11">
        <f>'Прил.№4 ведомств.'!N1002</f>
        <v>0.1</v>
      </c>
      <c r="N481" s="7">
        <f t="shared" si="268"/>
        <v>2.3165307635285397E-3</v>
      </c>
    </row>
    <row r="482" spans="1:14" ht="31.5" x14ac:dyDescent="0.25">
      <c r="A482" s="26" t="s">
        <v>613</v>
      </c>
      <c r="B482" s="21" t="s">
        <v>972</v>
      </c>
      <c r="C482" s="42" t="s">
        <v>925</v>
      </c>
      <c r="D482" s="42" t="s">
        <v>266</v>
      </c>
      <c r="E482" s="2"/>
      <c r="F482" s="2"/>
      <c r="G482" s="11"/>
      <c r="H482" s="11"/>
      <c r="I482" s="11"/>
      <c r="J482" s="11"/>
      <c r="K482" s="11"/>
      <c r="L482" s="11">
        <f>L483</f>
        <v>2170.9</v>
      </c>
      <c r="M482" s="11">
        <f t="shared" ref="M482:M483" si="280">M483</f>
        <v>2170.9</v>
      </c>
      <c r="N482" s="7">
        <f t="shared" si="268"/>
        <v>100</v>
      </c>
    </row>
    <row r="483" spans="1:14" ht="31.5" x14ac:dyDescent="0.25">
      <c r="A483" s="26" t="s">
        <v>182</v>
      </c>
      <c r="B483" s="21" t="s">
        <v>972</v>
      </c>
      <c r="C483" s="42" t="s">
        <v>925</v>
      </c>
      <c r="D483" s="42" t="s">
        <v>266</v>
      </c>
      <c r="E483" s="2">
        <v>200</v>
      </c>
      <c r="F483" s="2"/>
      <c r="G483" s="11"/>
      <c r="H483" s="11"/>
      <c r="I483" s="11"/>
      <c r="J483" s="11"/>
      <c r="K483" s="11"/>
      <c r="L483" s="11">
        <f>L484</f>
        <v>2170.9</v>
      </c>
      <c r="M483" s="11">
        <f t="shared" si="280"/>
        <v>2170.9</v>
      </c>
      <c r="N483" s="7">
        <f t="shared" si="268"/>
        <v>100</v>
      </c>
    </row>
    <row r="484" spans="1:14" ht="31.5" x14ac:dyDescent="0.25">
      <c r="A484" s="26" t="s">
        <v>184</v>
      </c>
      <c r="B484" s="21" t="s">
        <v>972</v>
      </c>
      <c r="C484" s="42" t="s">
        <v>925</v>
      </c>
      <c r="D484" s="42" t="s">
        <v>266</v>
      </c>
      <c r="E484" s="2">
        <v>240</v>
      </c>
      <c r="F484" s="2"/>
      <c r="G484" s="11"/>
      <c r="H484" s="11"/>
      <c r="I484" s="11"/>
      <c r="J484" s="11"/>
      <c r="K484" s="11"/>
      <c r="L484" s="11">
        <f>'Прил.№4 ведомств.'!M1005</f>
        <v>2170.9</v>
      </c>
      <c r="M484" s="11">
        <f>'Прил.№4 ведомств.'!N1005</f>
        <v>2170.9</v>
      </c>
      <c r="N484" s="7">
        <f t="shared" si="268"/>
        <v>100</v>
      </c>
    </row>
    <row r="485" spans="1:14" ht="31.5" x14ac:dyDescent="0.25">
      <c r="A485" s="47" t="s">
        <v>700</v>
      </c>
      <c r="B485" s="42" t="s">
        <v>597</v>
      </c>
      <c r="C485" s="42" t="s">
        <v>285</v>
      </c>
      <c r="D485" s="42" t="s">
        <v>266</v>
      </c>
      <c r="E485" s="2"/>
      <c r="F485" s="2">
        <v>908</v>
      </c>
      <c r="G485" s="11">
        <f>G468</f>
        <v>8697.2999999999993</v>
      </c>
      <c r="H485" s="11">
        <f t="shared" ref="H485:L485" si="281">H468</f>
        <v>1853.4</v>
      </c>
      <c r="I485" s="11">
        <f t="shared" si="281"/>
        <v>11055.8</v>
      </c>
      <c r="J485" s="11">
        <f t="shared" si="281"/>
        <v>10998</v>
      </c>
      <c r="K485" s="11">
        <f t="shared" si="281"/>
        <v>12675.6</v>
      </c>
      <c r="L485" s="11">
        <f t="shared" si="281"/>
        <v>13226.699999999999</v>
      </c>
      <c r="M485" s="11">
        <f t="shared" ref="M485" si="282">M468</f>
        <v>3377</v>
      </c>
      <c r="N485" s="7">
        <f t="shared" si="268"/>
        <v>25.531689688282039</v>
      </c>
    </row>
    <row r="486" spans="1:14" ht="47.25" x14ac:dyDescent="0.25">
      <c r="A486" s="24" t="s">
        <v>604</v>
      </c>
      <c r="B486" s="8" t="s">
        <v>605</v>
      </c>
      <c r="C486" s="8"/>
      <c r="D486" s="8"/>
      <c r="E486" s="3"/>
      <c r="F486" s="3"/>
      <c r="G486" s="68">
        <f>G487</f>
        <v>3678.1999999999994</v>
      </c>
      <c r="H486" s="68">
        <f t="shared" ref="H486:M487" si="283">H487</f>
        <v>1541.4</v>
      </c>
      <c r="I486" s="68">
        <f t="shared" si="283"/>
        <v>5067.2</v>
      </c>
      <c r="J486" s="68">
        <f t="shared" si="283"/>
        <v>5293.5999999999995</v>
      </c>
      <c r="K486" s="68">
        <f t="shared" si="283"/>
        <v>5530.0999999999995</v>
      </c>
      <c r="L486" s="68">
        <f t="shared" si="283"/>
        <v>5067.2</v>
      </c>
      <c r="M486" s="68">
        <f t="shared" si="283"/>
        <v>116.39999999999999</v>
      </c>
      <c r="N486" s="4">
        <f t="shared" si="268"/>
        <v>2.2971266182507102</v>
      </c>
    </row>
    <row r="487" spans="1:14" ht="15.75" x14ac:dyDescent="0.25">
      <c r="A487" s="85" t="s">
        <v>442</v>
      </c>
      <c r="B487" s="42" t="s">
        <v>605</v>
      </c>
      <c r="C487" s="42" t="s">
        <v>285</v>
      </c>
      <c r="D487" s="42"/>
      <c r="E487" s="2"/>
      <c r="F487" s="2"/>
      <c r="G487" s="11">
        <f>G488</f>
        <v>3678.1999999999994</v>
      </c>
      <c r="H487" s="11">
        <f t="shared" si="283"/>
        <v>1541.4</v>
      </c>
      <c r="I487" s="11">
        <f t="shared" si="283"/>
        <v>5067.2</v>
      </c>
      <c r="J487" s="11">
        <f t="shared" si="283"/>
        <v>5293.5999999999995</v>
      </c>
      <c r="K487" s="11">
        <f t="shared" si="283"/>
        <v>5530.0999999999995</v>
      </c>
      <c r="L487" s="11">
        <f t="shared" si="283"/>
        <v>5067.2</v>
      </c>
      <c r="M487" s="11">
        <f t="shared" si="283"/>
        <v>116.39999999999999</v>
      </c>
      <c r="N487" s="7">
        <f t="shared" si="268"/>
        <v>2.2971266182507102</v>
      </c>
    </row>
    <row r="488" spans="1:14" ht="15.75" x14ac:dyDescent="0.25">
      <c r="A488" s="85" t="s">
        <v>593</v>
      </c>
      <c r="B488" s="42" t="s">
        <v>605</v>
      </c>
      <c r="C488" s="42" t="s">
        <v>285</v>
      </c>
      <c r="D488" s="42" t="s">
        <v>266</v>
      </c>
      <c r="E488" s="2"/>
      <c r="F488" s="2"/>
      <c r="G488" s="11">
        <f>G489+G494+G497+G500</f>
        <v>3678.1999999999994</v>
      </c>
      <c r="H488" s="11">
        <f t="shared" ref="H488:L488" si="284">H489+H494+H497+H500</f>
        <v>1541.4</v>
      </c>
      <c r="I488" s="11">
        <f t="shared" si="284"/>
        <v>5067.2</v>
      </c>
      <c r="J488" s="11">
        <f t="shared" si="284"/>
        <v>5293.5999999999995</v>
      </c>
      <c r="K488" s="11">
        <f t="shared" si="284"/>
        <v>5530.0999999999995</v>
      </c>
      <c r="L488" s="11">
        <f t="shared" si="284"/>
        <v>5067.2</v>
      </c>
      <c r="M488" s="11">
        <f t="shared" ref="M488" si="285">M489+M494+M497+M500</f>
        <v>116.39999999999999</v>
      </c>
      <c r="N488" s="7">
        <f t="shared" si="268"/>
        <v>2.2971266182507102</v>
      </c>
    </row>
    <row r="489" spans="1:14" ht="15.75" x14ac:dyDescent="0.25">
      <c r="A489" s="26" t="s">
        <v>602</v>
      </c>
      <c r="B489" s="21" t="s">
        <v>606</v>
      </c>
      <c r="C489" s="42" t="s">
        <v>285</v>
      </c>
      <c r="D489" s="42" t="s">
        <v>266</v>
      </c>
      <c r="E489" s="2"/>
      <c r="F489" s="2"/>
      <c r="G489" s="11">
        <f>G490+G492</f>
        <v>1112.3999999999999</v>
      </c>
      <c r="H489" s="11">
        <f t="shared" ref="H489:L489" si="286">H490+H492</f>
        <v>992.8</v>
      </c>
      <c r="I489" s="11">
        <f t="shared" si="286"/>
        <v>1364</v>
      </c>
      <c r="J489" s="11">
        <f t="shared" si="286"/>
        <v>1430.3</v>
      </c>
      <c r="K489" s="11">
        <f t="shared" si="286"/>
        <v>1500</v>
      </c>
      <c r="L489" s="11">
        <f t="shared" si="286"/>
        <v>1364</v>
      </c>
      <c r="M489" s="11">
        <f t="shared" ref="M489" si="287">M490+M492</f>
        <v>101.3</v>
      </c>
      <c r="N489" s="7">
        <f t="shared" si="268"/>
        <v>7.4266862170087977</v>
      </c>
    </row>
    <row r="490" spans="1:14" ht="78.75" hidden="1" x14ac:dyDescent="0.25">
      <c r="A490" s="26" t="s">
        <v>178</v>
      </c>
      <c r="B490" s="21" t="s">
        <v>606</v>
      </c>
      <c r="C490" s="42" t="s">
        <v>285</v>
      </c>
      <c r="D490" s="42" t="s">
        <v>266</v>
      </c>
      <c r="E490" s="2">
        <v>100</v>
      </c>
      <c r="F490" s="2"/>
      <c r="G490" s="11">
        <f>G491</f>
        <v>892.8</v>
      </c>
      <c r="H490" s="11">
        <f t="shared" ref="H490:M490" si="288">H491</f>
        <v>892.8</v>
      </c>
      <c r="I490" s="11">
        <f t="shared" si="288"/>
        <v>0</v>
      </c>
      <c r="J490" s="11">
        <f t="shared" si="288"/>
        <v>0</v>
      </c>
      <c r="K490" s="11">
        <f t="shared" si="288"/>
        <v>0</v>
      </c>
      <c r="L490" s="11">
        <f t="shared" si="288"/>
        <v>0</v>
      </c>
      <c r="M490" s="11">
        <f t="shared" si="288"/>
        <v>0</v>
      </c>
      <c r="N490" s="7" t="e">
        <f t="shared" si="268"/>
        <v>#DIV/0!</v>
      </c>
    </row>
    <row r="491" spans="1:14" ht="15.75" hidden="1" x14ac:dyDescent="0.25">
      <c r="A491" s="48" t="s">
        <v>393</v>
      </c>
      <c r="B491" s="21" t="s">
        <v>606</v>
      </c>
      <c r="C491" s="42" t="s">
        <v>285</v>
      </c>
      <c r="D491" s="42" t="s">
        <v>266</v>
      </c>
      <c r="E491" s="2">
        <v>110</v>
      </c>
      <c r="F491" s="2"/>
      <c r="G491" s="11">
        <f>'Прил.№4 ведомств.'!G1009</f>
        <v>892.8</v>
      </c>
      <c r="H491" s="11">
        <f>'Прил.№4 ведомств.'!I1009</f>
        <v>892.8</v>
      </c>
      <c r="I491" s="11">
        <f>'Прил.№4 ведомств.'!J1009</f>
        <v>0</v>
      </c>
      <c r="J491" s="11">
        <f>'Прил.№4 ведомств.'!K1009</f>
        <v>0</v>
      </c>
      <c r="K491" s="11">
        <f>'Прил.№4 ведомств.'!L1009</f>
        <v>0</v>
      </c>
      <c r="L491" s="11">
        <f>'Прил.№4 ведомств.'!M1009</f>
        <v>0</v>
      </c>
      <c r="M491" s="11">
        <f>'Прил.№4 ведомств.'!N1009</f>
        <v>0</v>
      </c>
      <c r="N491" s="7" t="e">
        <f t="shared" si="268"/>
        <v>#DIV/0!</v>
      </c>
    </row>
    <row r="492" spans="1:14" ht="31.5" x14ac:dyDescent="0.25">
      <c r="A492" s="26" t="s">
        <v>182</v>
      </c>
      <c r="B492" s="21" t="s">
        <v>606</v>
      </c>
      <c r="C492" s="42" t="s">
        <v>285</v>
      </c>
      <c r="D492" s="42" t="s">
        <v>266</v>
      </c>
      <c r="E492" s="2">
        <v>200</v>
      </c>
      <c r="F492" s="2"/>
      <c r="G492" s="11">
        <f>G493</f>
        <v>219.6</v>
      </c>
      <c r="H492" s="11">
        <f t="shared" ref="H492:M492" si="289">H493</f>
        <v>100</v>
      </c>
      <c r="I492" s="11">
        <f t="shared" si="289"/>
        <v>1364</v>
      </c>
      <c r="J492" s="11">
        <f t="shared" si="289"/>
        <v>1430.3</v>
      </c>
      <c r="K492" s="11">
        <f t="shared" si="289"/>
        <v>1500</v>
      </c>
      <c r="L492" s="11">
        <f t="shared" si="289"/>
        <v>1364</v>
      </c>
      <c r="M492" s="11">
        <f t="shared" si="289"/>
        <v>101.3</v>
      </c>
      <c r="N492" s="7">
        <f t="shared" si="268"/>
        <v>7.4266862170087977</v>
      </c>
    </row>
    <row r="493" spans="1:14" ht="31.5" x14ac:dyDescent="0.25">
      <c r="A493" s="26" t="s">
        <v>184</v>
      </c>
      <c r="B493" s="21" t="s">
        <v>606</v>
      </c>
      <c r="C493" s="42" t="s">
        <v>285</v>
      </c>
      <c r="D493" s="42" t="s">
        <v>266</v>
      </c>
      <c r="E493" s="2">
        <v>240</v>
      </c>
      <c r="F493" s="2"/>
      <c r="G493" s="11">
        <f>'Прил.№4 ведомств.'!G1011</f>
        <v>219.6</v>
      </c>
      <c r="H493" s="11">
        <f>'Прил.№4 ведомств.'!I1011</f>
        <v>100</v>
      </c>
      <c r="I493" s="11">
        <f>'Прил.№4 ведомств.'!J1011</f>
        <v>1364</v>
      </c>
      <c r="J493" s="11">
        <f>'Прил.№4 ведомств.'!K1011</f>
        <v>1430.3</v>
      </c>
      <c r="K493" s="11">
        <f>'Прил.№4 ведомств.'!L1011</f>
        <v>1500</v>
      </c>
      <c r="L493" s="11">
        <f>'Прил.№4 ведомств.'!M1011</f>
        <v>1364</v>
      </c>
      <c r="M493" s="11">
        <f>'Прил.№4 ведомств.'!N1011</f>
        <v>101.3</v>
      </c>
      <c r="N493" s="7">
        <f t="shared" si="268"/>
        <v>7.4266862170087977</v>
      </c>
    </row>
    <row r="494" spans="1:14" ht="15.75" x14ac:dyDescent="0.25">
      <c r="A494" s="26" t="s">
        <v>607</v>
      </c>
      <c r="B494" s="21" t="s">
        <v>608</v>
      </c>
      <c r="C494" s="42" t="s">
        <v>285</v>
      </c>
      <c r="D494" s="42" t="s">
        <v>266</v>
      </c>
      <c r="E494" s="2"/>
      <c r="F494" s="2"/>
      <c r="G494" s="11">
        <f>G495</f>
        <v>86.6</v>
      </c>
      <c r="H494" s="11">
        <f t="shared" ref="H494:M495" si="290">H495</f>
        <v>0</v>
      </c>
      <c r="I494" s="11">
        <f t="shared" si="290"/>
        <v>115.8</v>
      </c>
      <c r="J494" s="11">
        <f t="shared" si="290"/>
        <v>121.6</v>
      </c>
      <c r="K494" s="11">
        <f t="shared" si="290"/>
        <v>127.6</v>
      </c>
      <c r="L494" s="11">
        <f t="shared" si="290"/>
        <v>115.8</v>
      </c>
      <c r="M494" s="11">
        <f t="shared" si="290"/>
        <v>0</v>
      </c>
      <c r="N494" s="7">
        <f t="shared" si="268"/>
        <v>0</v>
      </c>
    </row>
    <row r="495" spans="1:14" ht="31.5" x14ac:dyDescent="0.25">
      <c r="A495" s="26" t="s">
        <v>182</v>
      </c>
      <c r="B495" s="21" t="s">
        <v>608</v>
      </c>
      <c r="C495" s="42" t="s">
        <v>285</v>
      </c>
      <c r="D495" s="42" t="s">
        <v>266</v>
      </c>
      <c r="E495" s="2">
        <v>200</v>
      </c>
      <c r="F495" s="2"/>
      <c r="G495" s="11">
        <f>G496</f>
        <v>86.6</v>
      </c>
      <c r="H495" s="11">
        <f t="shared" si="290"/>
        <v>0</v>
      </c>
      <c r="I495" s="11">
        <f t="shared" si="290"/>
        <v>115.8</v>
      </c>
      <c r="J495" s="11">
        <f t="shared" si="290"/>
        <v>121.6</v>
      </c>
      <c r="K495" s="11">
        <f t="shared" si="290"/>
        <v>127.6</v>
      </c>
      <c r="L495" s="11">
        <f t="shared" si="290"/>
        <v>115.8</v>
      </c>
      <c r="M495" s="11">
        <f t="shared" si="290"/>
        <v>0</v>
      </c>
      <c r="N495" s="7">
        <f t="shared" si="268"/>
        <v>0</v>
      </c>
    </row>
    <row r="496" spans="1:14" ht="31.5" x14ac:dyDescent="0.25">
      <c r="A496" s="26" t="s">
        <v>184</v>
      </c>
      <c r="B496" s="21" t="s">
        <v>608</v>
      </c>
      <c r="C496" s="42" t="s">
        <v>285</v>
      </c>
      <c r="D496" s="42" t="s">
        <v>266</v>
      </c>
      <c r="E496" s="2">
        <v>240</v>
      </c>
      <c r="F496" s="2"/>
      <c r="G496" s="11">
        <f>'Прил.№4 ведомств.'!G1014</f>
        <v>86.6</v>
      </c>
      <c r="H496" s="11">
        <f>'Прил.№4 ведомств.'!I1014</f>
        <v>0</v>
      </c>
      <c r="I496" s="11">
        <f>'Прил.№4 ведомств.'!J1014</f>
        <v>115.8</v>
      </c>
      <c r="J496" s="11">
        <f>'Прил.№4 ведомств.'!K1014</f>
        <v>121.6</v>
      </c>
      <c r="K496" s="11">
        <f>'Прил.№4 ведомств.'!L1014</f>
        <v>127.6</v>
      </c>
      <c r="L496" s="11">
        <f>'Прил.№4 ведомств.'!M1014</f>
        <v>115.8</v>
      </c>
      <c r="M496" s="11">
        <f>'Прил.№4 ведомств.'!N1014</f>
        <v>0</v>
      </c>
      <c r="N496" s="7">
        <f t="shared" si="268"/>
        <v>0</v>
      </c>
    </row>
    <row r="497" spans="1:14" ht="47.25" x14ac:dyDescent="0.25">
      <c r="A497" s="47" t="s">
        <v>609</v>
      </c>
      <c r="B497" s="21" t="s">
        <v>610</v>
      </c>
      <c r="C497" s="42" t="s">
        <v>285</v>
      </c>
      <c r="D497" s="42" t="s">
        <v>266</v>
      </c>
      <c r="E497" s="2"/>
      <c r="F497" s="2"/>
      <c r="G497" s="11">
        <f>G498</f>
        <v>2130.6</v>
      </c>
      <c r="H497" s="11">
        <f t="shared" ref="H497:M498" si="291">H498</f>
        <v>200</v>
      </c>
      <c r="I497" s="11">
        <f t="shared" si="291"/>
        <v>3124.2</v>
      </c>
      <c r="J497" s="11">
        <f t="shared" si="291"/>
        <v>3258.5</v>
      </c>
      <c r="K497" s="11">
        <f t="shared" si="291"/>
        <v>3398.6</v>
      </c>
      <c r="L497" s="11">
        <f t="shared" si="291"/>
        <v>3124.2</v>
      </c>
      <c r="M497" s="11">
        <f t="shared" si="291"/>
        <v>0</v>
      </c>
      <c r="N497" s="7">
        <f t="shared" si="268"/>
        <v>0</v>
      </c>
    </row>
    <row r="498" spans="1:14" ht="31.5" x14ac:dyDescent="0.25">
      <c r="A498" s="26" t="s">
        <v>182</v>
      </c>
      <c r="B498" s="21" t="s">
        <v>610</v>
      </c>
      <c r="C498" s="42" t="s">
        <v>285</v>
      </c>
      <c r="D498" s="42" t="s">
        <v>266</v>
      </c>
      <c r="E498" s="2">
        <v>200</v>
      </c>
      <c r="F498" s="2"/>
      <c r="G498" s="11">
        <f>G499</f>
        <v>2130.6</v>
      </c>
      <c r="H498" s="11">
        <f t="shared" si="291"/>
        <v>200</v>
      </c>
      <c r="I498" s="11">
        <f t="shared" si="291"/>
        <v>3124.2</v>
      </c>
      <c r="J498" s="11">
        <f t="shared" si="291"/>
        <v>3258.5</v>
      </c>
      <c r="K498" s="11">
        <f t="shared" si="291"/>
        <v>3398.6</v>
      </c>
      <c r="L498" s="11">
        <f t="shared" si="291"/>
        <v>3124.2</v>
      </c>
      <c r="M498" s="11">
        <f t="shared" si="291"/>
        <v>0</v>
      </c>
      <c r="N498" s="7">
        <f t="shared" si="268"/>
        <v>0</v>
      </c>
    </row>
    <row r="499" spans="1:14" ht="31.5" x14ac:dyDescent="0.25">
      <c r="A499" s="26" t="s">
        <v>184</v>
      </c>
      <c r="B499" s="21" t="s">
        <v>610</v>
      </c>
      <c r="C499" s="42" t="s">
        <v>285</v>
      </c>
      <c r="D499" s="42" t="s">
        <v>266</v>
      </c>
      <c r="E499" s="2">
        <v>240</v>
      </c>
      <c r="F499" s="2"/>
      <c r="G499" s="11">
        <f>'Прил.№4 ведомств.'!G1017</f>
        <v>2130.6</v>
      </c>
      <c r="H499" s="11">
        <f>'Прил.№4 ведомств.'!I1017</f>
        <v>200</v>
      </c>
      <c r="I499" s="11">
        <f>'Прил.№4 ведомств.'!J1017</f>
        <v>3124.2</v>
      </c>
      <c r="J499" s="11">
        <f>'Прил.№4 ведомств.'!K1017</f>
        <v>3258.5</v>
      </c>
      <c r="K499" s="11">
        <f>'Прил.№4 ведомств.'!L1017</f>
        <v>3398.6</v>
      </c>
      <c r="L499" s="11">
        <f>'Прил.№4 ведомств.'!M1017</f>
        <v>3124.2</v>
      </c>
      <c r="M499" s="11">
        <f>'Прил.№4 ведомств.'!N1017</f>
        <v>0</v>
      </c>
      <c r="N499" s="7">
        <f t="shared" si="268"/>
        <v>0</v>
      </c>
    </row>
    <row r="500" spans="1:14" ht="15.75" x14ac:dyDescent="0.25">
      <c r="A500" s="47" t="s">
        <v>611</v>
      </c>
      <c r="B500" s="21" t="s">
        <v>612</v>
      </c>
      <c r="C500" s="42" t="s">
        <v>285</v>
      </c>
      <c r="D500" s="42" t="s">
        <v>266</v>
      </c>
      <c r="E500" s="2"/>
      <c r="F500" s="2"/>
      <c r="G500" s="11">
        <f>G501</f>
        <v>348.6</v>
      </c>
      <c r="H500" s="11">
        <f t="shared" ref="H500:M501" si="292">H501</f>
        <v>348.6</v>
      </c>
      <c r="I500" s="11">
        <f t="shared" si="292"/>
        <v>463.2</v>
      </c>
      <c r="J500" s="11">
        <f t="shared" si="292"/>
        <v>483.2</v>
      </c>
      <c r="K500" s="11">
        <f t="shared" si="292"/>
        <v>503.9</v>
      </c>
      <c r="L500" s="11">
        <f t="shared" si="292"/>
        <v>463.2</v>
      </c>
      <c r="M500" s="11">
        <f t="shared" si="292"/>
        <v>15.1</v>
      </c>
      <c r="N500" s="7">
        <f t="shared" si="268"/>
        <v>3.2599309153713301</v>
      </c>
    </row>
    <row r="501" spans="1:14" ht="31.5" x14ac:dyDescent="0.25">
      <c r="A501" s="26" t="s">
        <v>182</v>
      </c>
      <c r="B501" s="21" t="s">
        <v>612</v>
      </c>
      <c r="C501" s="42" t="s">
        <v>285</v>
      </c>
      <c r="D501" s="42" t="s">
        <v>266</v>
      </c>
      <c r="E501" s="2">
        <v>200</v>
      </c>
      <c r="F501" s="2"/>
      <c r="G501" s="11">
        <f>G502</f>
        <v>348.6</v>
      </c>
      <c r="H501" s="11">
        <f t="shared" si="292"/>
        <v>348.6</v>
      </c>
      <c r="I501" s="11">
        <f t="shared" si="292"/>
        <v>463.2</v>
      </c>
      <c r="J501" s="11">
        <f t="shared" si="292"/>
        <v>483.2</v>
      </c>
      <c r="K501" s="11">
        <f t="shared" si="292"/>
        <v>503.9</v>
      </c>
      <c r="L501" s="11">
        <f t="shared" si="292"/>
        <v>463.2</v>
      </c>
      <c r="M501" s="11">
        <f t="shared" si="292"/>
        <v>15.1</v>
      </c>
      <c r="N501" s="7">
        <f t="shared" si="268"/>
        <v>3.2599309153713301</v>
      </c>
    </row>
    <row r="502" spans="1:14" ht="31.5" x14ac:dyDescent="0.25">
      <c r="A502" s="26" t="s">
        <v>184</v>
      </c>
      <c r="B502" s="21" t="s">
        <v>612</v>
      </c>
      <c r="C502" s="42" t="s">
        <v>285</v>
      </c>
      <c r="D502" s="42" t="s">
        <v>266</v>
      </c>
      <c r="E502" s="2">
        <v>240</v>
      </c>
      <c r="F502" s="2"/>
      <c r="G502" s="11">
        <f>'Прил.№4 ведомств.'!G1020</f>
        <v>348.6</v>
      </c>
      <c r="H502" s="11">
        <f>'Прил.№4 ведомств.'!I1020</f>
        <v>348.6</v>
      </c>
      <c r="I502" s="11">
        <f>'Прил.№4 ведомств.'!J1020</f>
        <v>463.2</v>
      </c>
      <c r="J502" s="11">
        <f>'Прил.№4 ведомств.'!K1020</f>
        <v>483.2</v>
      </c>
      <c r="K502" s="11">
        <f>'Прил.№4 ведомств.'!L1020</f>
        <v>503.9</v>
      </c>
      <c r="L502" s="11">
        <f>'Прил.№4 ведомств.'!M1020</f>
        <v>463.2</v>
      </c>
      <c r="M502" s="11">
        <f>'Прил.№4 ведомств.'!N1020</f>
        <v>15.1</v>
      </c>
      <c r="N502" s="7">
        <f t="shared" si="268"/>
        <v>3.2599309153713301</v>
      </c>
    </row>
    <row r="503" spans="1:14" ht="31.5" x14ac:dyDescent="0.25">
      <c r="A503" s="47" t="s">
        <v>700</v>
      </c>
      <c r="B503" s="21" t="s">
        <v>605</v>
      </c>
      <c r="C503" s="42" t="s">
        <v>285</v>
      </c>
      <c r="D503" s="42" t="s">
        <v>266</v>
      </c>
      <c r="E503" s="2"/>
      <c r="F503" s="2">
        <v>908</v>
      </c>
      <c r="G503" s="11">
        <f>G486</f>
        <v>3678.1999999999994</v>
      </c>
      <c r="H503" s="11">
        <f t="shared" ref="H503:L503" si="293">H486</f>
        <v>1541.4</v>
      </c>
      <c r="I503" s="11">
        <f t="shared" si="293"/>
        <v>5067.2</v>
      </c>
      <c r="J503" s="11">
        <f t="shared" si="293"/>
        <v>5293.5999999999995</v>
      </c>
      <c r="K503" s="11">
        <f t="shared" si="293"/>
        <v>5530.0999999999995</v>
      </c>
      <c r="L503" s="11">
        <f t="shared" si="293"/>
        <v>5067.2</v>
      </c>
      <c r="M503" s="11">
        <f t="shared" ref="M503" si="294">M486</f>
        <v>116.39999999999999</v>
      </c>
      <c r="N503" s="7">
        <f t="shared" si="268"/>
        <v>2.2971266182507102</v>
      </c>
    </row>
    <row r="504" spans="1:14" ht="47.25" x14ac:dyDescent="0.25">
      <c r="A504" s="36" t="s">
        <v>232</v>
      </c>
      <c r="B504" s="276" t="s">
        <v>233</v>
      </c>
      <c r="C504" s="8"/>
      <c r="D504" s="8"/>
      <c r="E504" s="8"/>
      <c r="F504" s="3"/>
      <c r="G504" s="68">
        <f>G505+G511</f>
        <v>120</v>
      </c>
      <c r="H504" s="68">
        <f t="shared" ref="H504:L504" si="295">H505+H511</f>
        <v>120</v>
      </c>
      <c r="I504" s="68">
        <f t="shared" si="295"/>
        <v>100</v>
      </c>
      <c r="J504" s="68">
        <f t="shared" si="295"/>
        <v>100</v>
      </c>
      <c r="K504" s="68">
        <f t="shared" si="295"/>
        <v>100</v>
      </c>
      <c r="L504" s="68">
        <f t="shared" si="295"/>
        <v>120</v>
      </c>
      <c r="M504" s="68">
        <f t="shared" ref="M504" si="296">M505+M511</f>
        <v>11</v>
      </c>
      <c r="N504" s="4">
        <f t="shared" si="268"/>
        <v>9.1666666666666661</v>
      </c>
    </row>
    <row r="505" spans="1:14" ht="15.75" hidden="1" x14ac:dyDescent="0.25">
      <c r="A505" s="26" t="s">
        <v>168</v>
      </c>
      <c r="B505" s="6" t="s">
        <v>233</v>
      </c>
      <c r="C505" s="42" t="s">
        <v>169</v>
      </c>
      <c r="D505" s="42"/>
      <c r="E505" s="42"/>
      <c r="F505" s="2"/>
      <c r="G505" s="11">
        <f>G506</f>
        <v>120</v>
      </c>
      <c r="H505" s="11">
        <f t="shared" ref="H505:M508" si="297">H506</f>
        <v>120</v>
      </c>
      <c r="I505" s="11">
        <f t="shared" si="297"/>
        <v>0</v>
      </c>
      <c r="J505" s="11">
        <f t="shared" si="297"/>
        <v>0</v>
      </c>
      <c r="K505" s="11">
        <f t="shared" si="297"/>
        <v>0</v>
      </c>
      <c r="L505" s="11">
        <f t="shared" si="297"/>
        <v>0</v>
      </c>
      <c r="M505" s="11">
        <f t="shared" si="297"/>
        <v>0</v>
      </c>
      <c r="N505" s="4" t="e">
        <f t="shared" si="268"/>
        <v>#DIV/0!</v>
      </c>
    </row>
    <row r="506" spans="1:14" ht="15.75" hidden="1" x14ac:dyDescent="0.25">
      <c r="A506" s="26" t="s">
        <v>190</v>
      </c>
      <c r="B506" s="32" t="s">
        <v>233</v>
      </c>
      <c r="C506" s="42" t="s">
        <v>169</v>
      </c>
      <c r="D506" s="42" t="s">
        <v>191</v>
      </c>
      <c r="E506" s="42"/>
      <c r="F506" s="2"/>
      <c r="G506" s="11">
        <f>G507</f>
        <v>120</v>
      </c>
      <c r="H506" s="11">
        <f t="shared" si="297"/>
        <v>120</v>
      </c>
      <c r="I506" s="11">
        <f t="shared" si="297"/>
        <v>0</v>
      </c>
      <c r="J506" s="11">
        <f t="shared" si="297"/>
        <v>0</v>
      </c>
      <c r="K506" s="11">
        <f t="shared" si="297"/>
        <v>0</v>
      </c>
      <c r="L506" s="11">
        <f t="shared" si="297"/>
        <v>0</v>
      </c>
      <c r="M506" s="11">
        <f t="shared" si="297"/>
        <v>0</v>
      </c>
      <c r="N506" s="4" t="e">
        <f t="shared" si="268"/>
        <v>#DIV/0!</v>
      </c>
    </row>
    <row r="507" spans="1:14" ht="31.5" hidden="1" x14ac:dyDescent="0.25">
      <c r="A507" s="31" t="s">
        <v>208</v>
      </c>
      <c r="B507" s="21" t="s">
        <v>234</v>
      </c>
      <c r="C507" s="42" t="s">
        <v>169</v>
      </c>
      <c r="D507" s="42" t="s">
        <v>191</v>
      </c>
      <c r="E507" s="42"/>
      <c r="F507" s="2"/>
      <c r="G507" s="11">
        <f>G508</f>
        <v>120</v>
      </c>
      <c r="H507" s="11">
        <f t="shared" si="297"/>
        <v>120</v>
      </c>
      <c r="I507" s="11">
        <f t="shared" si="297"/>
        <v>0</v>
      </c>
      <c r="J507" s="11">
        <f t="shared" si="297"/>
        <v>0</v>
      </c>
      <c r="K507" s="11">
        <f t="shared" si="297"/>
        <v>0</v>
      </c>
      <c r="L507" s="11">
        <f t="shared" si="297"/>
        <v>0</v>
      </c>
      <c r="M507" s="11">
        <f t="shared" si="297"/>
        <v>0</v>
      </c>
      <c r="N507" s="4" t="e">
        <f t="shared" si="268"/>
        <v>#DIV/0!</v>
      </c>
    </row>
    <row r="508" spans="1:14" ht="31.5" hidden="1" x14ac:dyDescent="0.25">
      <c r="A508" s="31" t="s">
        <v>182</v>
      </c>
      <c r="B508" s="21" t="s">
        <v>234</v>
      </c>
      <c r="C508" s="42" t="s">
        <v>169</v>
      </c>
      <c r="D508" s="42" t="s">
        <v>191</v>
      </c>
      <c r="E508" s="42" t="s">
        <v>196</v>
      </c>
      <c r="F508" s="2"/>
      <c r="G508" s="11">
        <f>G509</f>
        <v>120</v>
      </c>
      <c r="H508" s="11">
        <f t="shared" si="297"/>
        <v>120</v>
      </c>
      <c r="I508" s="11">
        <f t="shared" si="297"/>
        <v>0</v>
      </c>
      <c r="J508" s="11">
        <f t="shared" si="297"/>
        <v>0</v>
      </c>
      <c r="K508" s="11">
        <f t="shared" si="297"/>
        <v>0</v>
      </c>
      <c r="L508" s="11">
        <f t="shared" si="297"/>
        <v>0</v>
      </c>
      <c r="M508" s="11">
        <f t="shared" si="297"/>
        <v>0</v>
      </c>
      <c r="N508" s="4" t="e">
        <f t="shared" si="268"/>
        <v>#DIV/0!</v>
      </c>
    </row>
    <row r="509" spans="1:14" ht="47.25" hidden="1" x14ac:dyDescent="0.25">
      <c r="A509" s="31" t="s">
        <v>235</v>
      </c>
      <c r="B509" s="21" t="s">
        <v>234</v>
      </c>
      <c r="C509" s="42" t="s">
        <v>169</v>
      </c>
      <c r="D509" s="42" t="s">
        <v>191</v>
      </c>
      <c r="E509" s="42" t="s">
        <v>211</v>
      </c>
      <c r="F509" s="2"/>
      <c r="G509" s="11">
        <f>'Прил.№4 ведомств.'!G95</f>
        <v>120</v>
      </c>
      <c r="H509" s="11">
        <f>'Прил.№4 ведомств.'!I95</f>
        <v>120</v>
      </c>
      <c r="I509" s="11">
        <f>'Прил.№4 ведомств.'!J95</f>
        <v>0</v>
      </c>
      <c r="J509" s="11">
        <f>'Прил.№4 ведомств.'!K95</f>
        <v>0</v>
      </c>
      <c r="K509" s="11">
        <f>'Прил.№4 ведомств.'!L95</f>
        <v>0</v>
      </c>
      <c r="L509" s="11">
        <f>'Прил.№4 ведомств.'!M95</f>
        <v>0</v>
      </c>
      <c r="M509" s="11">
        <f>'Прил.№4 ведомств.'!N95</f>
        <v>0</v>
      </c>
      <c r="N509" s="4" t="e">
        <f t="shared" si="268"/>
        <v>#DIV/0!</v>
      </c>
    </row>
    <row r="510" spans="1:14" ht="15.75" hidden="1" x14ac:dyDescent="0.25">
      <c r="A510" s="31" t="s">
        <v>199</v>
      </c>
      <c r="B510" s="32" t="s">
        <v>233</v>
      </c>
      <c r="C510" s="42" t="s">
        <v>169</v>
      </c>
      <c r="D510" s="42" t="s">
        <v>191</v>
      </c>
      <c r="E510" s="42"/>
      <c r="F510" s="2">
        <v>902</v>
      </c>
      <c r="G510" s="11">
        <f>G504</f>
        <v>120</v>
      </c>
      <c r="H510" s="11">
        <f t="shared" ref="H510:K510" si="298">H504</f>
        <v>120</v>
      </c>
      <c r="I510" s="11">
        <f t="shared" si="298"/>
        <v>100</v>
      </c>
      <c r="J510" s="11">
        <f t="shared" si="298"/>
        <v>100</v>
      </c>
      <c r="K510" s="11">
        <f t="shared" si="298"/>
        <v>100</v>
      </c>
      <c r="L510" s="11">
        <f>L505</f>
        <v>0</v>
      </c>
      <c r="M510" s="11">
        <f t="shared" ref="M510" si="299">M505</f>
        <v>0</v>
      </c>
      <c r="N510" s="4" t="e">
        <f t="shared" si="268"/>
        <v>#DIV/0!</v>
      </c>
    </row>
    <row r="511" spans="1:14" ht="15.75" x14ac:dyDescent="0.25">
      <c r="A511" s="31" t="s">
        <v>283</v>
      </c>
      <c r="B511" s="6" t="s">
        <v>233</v>
      </c>
      <c r="C511" s="42" t="s">
        <v>201</v>
      </c>
      <c r="D511" s="42"/>
      <c r="E511" s="42"/>
      <c r="F511" s="2"/>
      <c r="G511" s="11">
        <f>G512</f>
        <v>0</v>
      </c>
      <c r="H511" s="11">
        <f t="shared" ref="H511:M514" si="300">H512</f>
        <v>0</v>
      </c>
      <c r="I511" s="11">
        <f t="shared" si="300"/>
        <v>100</v>
      </c>
      <c r="J511" s="11">
        <f t="shared" si="300"/>
        <v>100</v>
      </c>
      <c r="K511" s="11">
        <f t="shared" si="300"/>
        <v>100</v>
      </c>
      <c r="L511" s="11">
        <f t="shared" si="300"/>
        <v>120</v>
      </c>
      <c r="M511" s="11">
        <f t="shared" si="300"/>
        <v>11</v>
      </c>
      <c r="N511" s="7">
        <f t="shared" si="268"/>
        <v>9.1666666666666661</v>
      </c>
    </row>
    <row r="512" spans="1:14" ht="15.75" x14ac:dyDescent="0.25">
      <c r="A512" s="31" t="s">
        <v>284</v>
      </c>
      <c r="B512" s="32" t="s">
        <v>233</v>
      </c>
      <c r="C512" s="42" t="s">
        <v>201</v>
      </c>
      <c r="D512" s="42" t="s">
        <v>285</v>
      </c>
      <c r="E512" s="42"/>
      <c r="F512" s="2"/>
      <c r="G512" s="11">
        <f>G513</f>
        <v>0</v>
      </c>
      <c r="H512" s="11">
        <f t="shared" si="300"/>
        <v>0</v>
      </c>
      <c r="I512" s="11">
        <f t="shared" si="300"/>
        <v>100</v>
      </c>
      <c r="J512" s="11">
        <f t="shared" si="300"/>
        <v>100</v>
      </c>
      <c r="K512" s="11">
        <f t="shared" si="300"/>
        <v>100</v>
      </c>
      <c r="L512" s="11">
        <f>L513+L516</f>
        <v>120</v>
      </c>
      <c r="M512" s="11">
        <f t="shared" ref="M512" si="301">M513+M516</f>
        <v>11</v>
      </c>
      <c r="N512" s="7">
        <f t="shared" si="268"/>
        <v>9.1666666666666661</v>
      </c>
    </row>
    <row r="513" spans="1:14" ht="31.5" x14ac:dyDescent="0.25">
      <c r="A513" s="31" t="s">
        <v>208</v>
      </c>
      <c r="B513" s="21" t="s">
        <v>234</v>
      </c>
      <c r="C513" s="42" t="s">
        <v>201</v>
      </c>
      <c r="D513" s="42" t="s">
        <v>285</v>
      </c>
      <c r="E513" s="42"/>
      <c r="F513" s="2"/>
      <c r="G513" s="11">
        <f>G514</f>
        <v>0</v>
      </c>
      <c r="H513" s="11">
        <f t="shared" si="300"/>
        <v>0</v>
      </c>
      <c r="I513" s="11">
        <f t="shared" si="300"/>
        <v>100</v>
      </c>
      <c r="J513" s="11">
        <f t="shared" si="300"/>
        <v>100</v>
      </c>
      <c r="K513" s="11">
        <f t="shared" si="300"/>
        <v>100</v>
      </c>
      <c r="L513" s="11">
        <f t="shared" si="300"/>
        <v>119</v>
      </c>
      <c r="M513" s="11">
        <f t="shared" si="300"/>
        <v>10</v>
      </c>
      <c r="N513" s="7">
        <f t="shared" si="268"/>
        <v>8.4033613445378155</v>
      </c>
    </row>
    <row r="514" spans="1:14" ht="31.5" x14ac:dyDescent="0.25">
      <c r="A514" s="31" t="s">
        <v>182</v>
      </c>
      <c r="B514" s="21" t="s">
        <v>234</v>
      </c>
      <c r="C514" s="42" t="s">
        <v>201</v>
      </c>
      <c r="D514" s="42" t="s">
        <v>285</v>
      </c>
      <c r="E514" s="42" t="s">
        <v>196</v>
      </c>
      <c r="F514" s="2"/>
      <c r="G514" s="11">
        <f>G515</f>
        <v>0</v>
      </c>
      <c r="H514" s="11">
        <f t="shared" si="300"/>
        <v>0</v>
      </c>
      <c r="I514" s="11">
        <f t="shared" si="300"/>
        <v>100</v>
      </c>
      <c r="J514" s="11">
        <f t="shared" si="300"/>
        <v>100</v>
      </c>
      <c r="K514" s="11">
        <f t="shared" si="300"/>
        <v>100</v>
      </c>
      <c r="L514" s="11">
        <f t="shared" si="300"/>
        <v>119</v>
      </c>
      <c r="M514" s="11">
        <f t="shared" si="300"/>
        <v>10</v>
      </c>
      <c r="N514" s="7">
        <f t="shared" si="268"/>
        <v>8.4033613445378155</v>
      </c>
    </row>
    <row r="515" spans="1:14" ht="47.25" x14ac:dyDescent="0.25">
      <c r="A515" s="31" t="s">
        <v>235</v>
      </c>
      <c r="B515" s="21" t="s">
        <v>234</v>
      </c>
      <c r="C515" s="42" t="s">
        <v>201</v>
      </c>
      <c r="D515" s="42" t="s">
        <v>285</v>
      </c>
      <c r="E515" s="42" t="s">
        <v>211</v>
      </c>
      <c r="F515" s="2"/>
      <c r="G515" s="11">
        <v>0</v>
      </c>
      <c r="H515" s="11">
        <v>0</v>
      </c>
      <c r="I515" s="11">
        <v>100</v>
      </c>
      <c r="J515" s="11">
        <v>100</v>
      </c>
      <c r="K515" s="11">
        <v>100</v>
      </c>
      <c r="L515" s="11">
        <f>'Прил.№4 ведомств.'!M190</f>
        <v>119</v>
      </c>
      <c r="M515" s="11">
        <f>'Прил.№4 ведомств.'!N190</f>
        <v>10</v>
      </c>
      <c r="N515" s="7">
        <f t="shared" si="268"/>
        <v>8.4033613445378155</v>
      </c>
    </row>
    <row r="516" spans="1:14" ht="31.5" x14ac:dyDescent="0.25">
      <c r="A516" s="26" t="s">
        <v>968</v>
      </c>
      <c r="B516" s="21" t="s">
        <v>970</v>
      </c>
      <c r="C516" s="42" t="s">
        <v>201</v>
      </c>
      <c r="D516" s="42" t="s">
        <v>285</v>
      </c>
      <c r="E516" s="42"/>
      <c r="F516" s="2"/>
      <c r="G516" s="11"/>
      <c r="H516" s="11"/>
      <c r="I516" s="11"/>
      <c r="J516" s="11"/>
      <c r="K516" s="11"/>
      <c r="L516" s="11">
        <f>L517</f>
        <v>1</v>
      </c>
      <c r="M516" s="11">
        <f t="shared" ref="M516:M517" si="302">M517</f>
        <v>1</v>
      </c>
      <c r="N516" s="7">
        <f t="shared" si="268"/>
        <v>100</v>
      </c>
    </row>
    <row r="517" spans="1:14" ht="15.75" x14ac:dyDescent="0.25">
      <c r="A517" s="31" t="s">
        <v>186</v>
      </c>
      <c r="B517" s="21" t="s">
        <v>970</v>
      </c>
      <c r="C517" s="42" t="s">
        <v>201</v>
      </c>
      <c r="D517" s="42" t="s">
        <v>285</v>
      </c>
      <c r="E517" s="42" t="s">
        <v>196</v>
      </c>
      <c r="F517" s="2"/>
      <c r="G517" s="11"/>
      <c r="H517" s="11"/>
      <c r="I517" s="11"/>
      <c r="J517" s="11"/>
      <c r="K517" s="11"/>
      <c r="L517" s="11">
        <f>L518</f>
        <v>1</v>
      </c>
      <c r="M517" s="11">
        <f t="shared" si="302"/>
        <v>1</v>
      </c>
      <c r="N517" s="7">
        <f t="shared" si="268"/>
        <v>100</v>
      </c>
    </row>
    <row r="518" spans="1:14" ht="47.25" x14ac:dyDescent="0.25">
      <c r="A518" s="31" t="s">
        <v>235</v>
      </c>
      <c r="B518" s="21" t="s">
        <v>970</v>
      </c>
      <c r="C518" s="42" t="s">
        <v>201</v>
      </c>
      <c r="D518" s="42" t="s">
        <v>285</v>
      </c>
      <c r="E518" s="42" t="s">
        <v>211</v>
      </c>
      <c r="F518" s="2"/>
      <c r="G518" s="11"/>
      <c r="H518" s="11"/>
      <c r="I518" s="11"/>
      <c r="J518" s="11"/>
      <c r="K518" s="11"/>
      <c r="L518" s="11">
        <f>'Прил.№4 ведомств.'!M193</f>
        <v>1</v>
      </c>
      <c r="M518" s="11">
        <f>'Прил.№4 ведомств.'!N193</f>
        <v>1</v>
      </c>
      <c r="N518" s="7">
        <f t="shared" si="268"/>
        <v>100</v>
      </c>
    </row>
    <row r="519" spans="1:14" ht="15.75" x14ac:dyDescent="0.25">
      <c r="A519" s="31" t="s">
        <v>199</v>
      </c>
      <c r="B519" s="32" t="s">
        <v>233</v>
      </c>
      <c r="C519" s="42" t="s">
        <v>201</v>
      </c>
      <c r="D519" s="42" t="s">
        <v>285</v>
      </c>
      <c r="E519" s="42"/>
      <c r="F519" s="2">
        <v>902</v>
      </c>
      <c r="G519" s="11">
        <f>G511</f>
        <v>0</v>
      </c>
      <c r="H519" s="11">
        <f t="shared" ref="H519:L519" si="303">H511</f>
        <v>0</v>
      </c>
      <c r="I519" s="11">
        <f t="shared" si="303"/>
        <v>100</v>
      </c>
      <c r="J519" s="11">
        <f t="shared" si="303"/>
        <v>100</v>
      </c>
      <c r="K519" s="11">
        <f t="shared" si="303"/>
        <v>100</v>
      </c>
      <c r="L519" s="11">
        <f t="shared" si="303"/>
        <v>120</v>
      </c>
      <c r="M519" s="11">
        <f t="shared" ref="M519" si="304">M511</f>
        <v>11</v>
      </c>
      <c r="N519" s="7">
        <f t="shared" si="268"/>
        <v>9.1666666666666661</v>
      </c>
    </row>
    <row r="520" spans="1:14" ht="63" x14ac:dyDescent="0.25">
      <c r="A520" s="43" t="s">
        <v>733</v>
      </c>
      <c r="B520" s="8" t="s">
        <v>570</v>
      </c>
      <c r="C520" s="8"/>
      <c r="D520" s="8"/>
      <c r="E520" s="84"/>
      <c r="F520" s="3"/>
      <c r="G520" s="68">
        <f>G521</f>
        <v>5427.9</v>
      </c>
      <c r="H520" s="68">
        <f t="shared" ref="H520:M521" si="305">H521</f>
        <v>5427.9</v>
      </c>
      <c r="I520" s="68">
        <f t="shared" si="305"/>
        <v>967</v>
      </c>
      <c r="J520" s="68">
        <f t="shared" si="305"/>
        <v>967</v>
      </c>
      <c r="K520" s="68">
        <f t="shared" si="305"/>
        <v>967</v>
      </c>
      <c r="L520" s="68">
        <f t="shared" si="305"/>
        <v>6625.1</v>
      </c>
      <c r="M520" s="68">
        <f t="shared" si="305"/>
        <v>3232.2000000000003</v>
      </c>
      <c r="N520" s="4">
        <f t="shared" si="268"/>
        <v>48.787188117915207</v>
      </c>
    </row>
    <row r="521" spans="1:14" ht="15.75" x14ac:dyDescent="0.25">
      <c r="A521" s="31" t="s">
        <v>442</v>
      </c>
      <c r="B521" s="42" t="s">
        <v>570</v>
      </c>
      <c r="C521" s="42" t="s">
        <v>285</v>
      </c>
      <c r="D521" s="42"/>
      <c r="E521" s="85"/>
      <c r="F521" s="2"/>
      <c r="G521" s="11">
        <f>G522</f>
        <v>5427.9</v>
      </c>
      <c r="H521" s="11">
        <f t="shared" si="305"/>
        <v>5427.9</v>
      </c>
      <c r="I521" s="11">
        <f t="shared" si="305"/>
        <v>967</v>
      </c>
      <c r="J521" s="11">
        <f t="shared" si="305"/>
        <v>967</v>
      </c>
      <c r="K521" s="11">
        <f t="shared" si="305"/>
        <v>967</v>
      </c>
      <c r="L521" s="11">
        <f t="shared" si="305"/>
        <v>6625.1</v>
      </c>
      <c r="M521" s="11">
        <f t="shared" si="305"/>
        <v>3232.2000000000003</v>
      </c>
      <c r="N521" s="7">
        <f t="shared" si="268"/>
        <v>48.787188117915207</v>
      </c>
    </row>
    <row r="522" spans="1:14" ht="15.75" x14ac:dyDescent="0.25">
      <c r="A522" s="31" t="s">
        <v>569</v>
      </c>
      <c r="B522" s="42" t="s">
        <v>570</v>
      </c>
      <c r="C522" s="42" t="s">
        <v>285</v>
      </c>
      <c r="D522" s="42" t="s">
        <v>264</v>
      </c>
      <c r="E522" s="85"/>
      <c r="F522" s="2"/>
      <c r="G522" s="11">
        <f>G527+G530+G535+G540+G543+G546+G549</f>
        <v>5427.9</v>
      </c>
      <c r="H522" s="11">
        <f t="shared" ref="H522:L522" si="306">H527+H530+H535+H540+H543+H546+H549</f>
        <v>5427.9</v>
      </c>
      <c r="I522" s="11">
        <f t="shared" si="306"/>
        <v>967</v>
      </c>
      <c r="J522" s="11">
        <f t="shared" si="306"/>
        <v>967</v>
      </c>
      <c r="K522" s="11">
        <f t="shared" si="306"/>
        <v>967</v>
      </c>
      <c r="L522" s="11">
        <f t="shared" si="306"/>
        <v>6625.1</v>
      </c>
      <c r="M522" s="11">
        <f t="shared" ref="M522" si="307">M527+M530+M535+M540+M543+M546+M549</f>
        <v>3232.2000000000003</v>
      </c>
      <c r="N522" s="7">
        <f t="shared" si="268"/>
        <v>48.787188117915207</v>
      </c>
    </row>
    <row r="523" spans="1:14" ht="31.5" hidden="1" x14ac:dyDescent="0.25">
      <c r="A523" s="37" t="s">
        <v>571</v>
      </c>
      <c r="B523" s="21" t="s">
        <v>572</v>
      </c>
      <c r="C523" s="42" t="s">
        <v>285</v>
      </c>
      <c r="D523" s="42" t="s">
        <v>264</v>
      </c>
      <c r="E523" s="85"/>
      <c r="F523" s="2"/>
      <c r="G523" s="11">
        <f>G524</f>
        <v>0</v>
      </c>
      <c r="H523" s="11">
        <f t="shared" ref="H523:M524" si="308">H524</f>
        <v>0</v>
      </c>
      <c r="I523" s="11">
        <f t="shared" si="308"/>
        <v>0</v>
      </c>
      <c r="J523" s="11">
        <f t="shared" si="308"/>
        <v>0</v>
      </c>
      <c r="K523" s="11">
        <f t="shared" si="308"/>
        <v>0</v>
      </c>
      <c r="L523" s="11">
        <f t="shared" si="308"/>
        <v>0</v>
      </c>
      <c r="M523" s="11">
        <f t="shared" si="308"/>
        <v>0</v>
      </c>
      <c r="N523" s="7" t="e">
        <f t="shared" si="268"/>
        <v>#DIV/0!</v>
      </c>
    </row>
    <row r="524" spans="1:14" ht="31.5" hidden="1" x14ac:dyDescent="0.25">
      <c r="A524" s="31" t="s">
        <v>182</v>
      </c>
      <c r="B524" s="21" t="s">
        <v>572</v>
      </c>
      <c r="C524" s="42" t="s">
        <v>285</v>
      </c>
      <c r="D524" s="42" t="s">
        <v>264</v>
      </c>
      <c r="E524" s="42" t="s">
        <v>183</v>
      </c>
      <c r="F524" s="2"/>
      <c r="G524" s="11">
        <f>G525</f>
        <v>0</v>
      </c>
      <c r="H524" s="11">
        <f t="shared" si="308"/>
        <v>0</v>
      </c>
      <c r="I524" s="11">
        <f t="shared" si="308"/>
        <v>0</v>
      </c>
      <c r="J524" s="11">
        <f t="shared" si="308"/>
        <v>0</v>
      </c>
      <c r="K524" s="11">
        <f t="shared" si="308"/>
        <v>0</v>
      </c>
      <c r="L524" s="11">
        <f t="shared" si="308"/>
        <v>0</v>
      </c>
      <c r="M524" s="11">
        <f t="shared" si="308"/>
        <v>0</v>
      </c>
      <c r="N524" s="7" t="e">
        <f t="shared" si="268"/>
        <v>#DIV/0!</v>
      </c>
    </row>
    <row r="525" spans="1:14" ht="31.5" hidden="1" x14ac:dyDescent="0.25">
      <c r="A525" s="31" t="s">
        <v>184</v>
      </c>
      <c r="B525" s="21" t="s">
        <v>572</v>
      </c>
      <c r="C525" s="42" t="s">
        <v>285</v>
      </c>
      <c r="D525" s="42" t="s">
        <v>264</v>
      </c>
      <c r="E525" s="42" t="s">
        <v>185</v>
      </c>
      <c r="F525" s="2"/>
      <c r="G525" s="11"/>
      <c r="H525" s="11"/>
      <c r="I525" s="11"/>
      <c r="J525" s="11"/>
      <c r="K525" s="11"/>
      <c r="L525" s="11"/>
      <c r="M525" s="11"/>
      <c r="N525" s="7" t="e">
        <f t="shared" ref="N525:N588" si="309">M525/L525*100</f>
        <v>#DIV/0!</v>
      </c>
    </row>
    <row r="526" spans="1:14" ht="31.5" hidden="1" x14ac:dyDescent="0.25">
      <c r="A526" s="47" t="s">
        <v>700</v>
      </c>
      <c r="B526" s="21" t="s">
        <v>572</v>
      </c>
      <c r="C526" s="42"/>
      <c r="D526" s="42"/>
      <c r="E526" s="42"/>
      <c r="F526" s="2">
        <v>908</v>
      </c>
      <c r="G526" s="11">
        <f>G523</f>
        <v>0</v>
      </c>
      <c r="H526" s="11">
        <f t="shared" ref="H526:L526" si="310">H523</f>
        <v>0</v>
      </c>
      <c r="I526" s="11">
        <f t="shared" si="310"/>
        <v>0</v>
      </c>
      <c r="J526" s="11">
        <f t="shared" si="310"/>
        <v>0</v>
      </c>
      <c r="K526" s="11">
        <f t="shared" si="310"/>
        <v>0</v>
      </c>
      <c r="L526" s="11">
        <f t="shared" si="310"/>
        <v>0</v>
      </c>
      <c r="M526" s="11">
        <f t="shared" ref="M526" si="311">M523</f>
        <v>0</v>
      </c>
      <c r="N526" s="7" t="e">
        <f t="shared" si="309"/>
        <v>#DIV/0!</v>
      </c>
    </row>
    <row r="527" spans="1:14" ht="15.75" x14ac:dyDescent="0.25">
      <c r="A527" s="47" t="s">
        <v>573</v>
      </c>
      <c r="B527" s="21" t="s">
        <v>574</v>
      </c>
      <c r="C527" s="42" t="s">
        <v>285</v>
      </c>
      <c r="D527" s="42" t="s">
        <v>264</v>
      </c>
      <c r="E527" s="42"/>
      <c r="F527" s="2"/>
      <c r="G527" s="11">
        <f>G528</f>
        <v>450</v>
      </c>
      <c r="H527" s="11">
        <f t="shared" ref="H527:M528" si="312">H528</f>
        <v>450</v>
      </c>
      <c r="I527" s="11">
        <f t="shared" si="312"/>
        <v>450</v>
      </c>
      <c r="J527" s="11">
        <f t="shared" si="312"/>
        <v>450</v>
      </c>
      <c r="K527" s="11">
        <f t="shared" si="312"/>
        <v>450</v>
      </c>
      <c r="L527" s="11">
        <f t="shared" si="312"/>
        <v>2078.5</v>
      </c>
      <c r="M527" s="11">
        <f t="shared" si="312"/>
        <v>1548.2</v>
      </c>
      <c r="N527" s="7">
        <f t="shared" si="309"/>
        <v>74.486408467644935</v>
      </c>
    </row>
    <row r="528" spans="1:14" ht="31.5" x14ac:dyDescent="0.25">
      <c r="A528" s="33" t="s">
        <v>182</v>
      </c>
      <c r="B528" s="21" t="s">
        <v>574</v>
      </c>
      <c r="C528" s="42" t="s">
        <v>285</v>
      </c>
      <c r="D528" s="42" t="s">
        <v>264</v>
      </c>
      <c r="E528" s="42" t="s">
        <v>183</v>
      </c>
      <c r="F528" s="2"/>
      <c r="G528" s="11">
        <f>G529</f>
        <v>450</v>
      </c>
      <c r="H528" s="11">
        <f t="shared" si="312"/>
        <v>450</v>
      </c>
      <c r="I528" s="11">
        <f t="shared" si="312"/>
        <v>450</v>
      </c>
      <c r="J528" s="11">
        <f t="shared" si="312"/>
        <v>450</v>
      </c>
      <c r="K528" s="11">
        <f t="shared" si="312"/>
        <v>450</v>
      </c>
      <c r="L528" s="11">
        <f t="shared" si="312"/>
        <v>2078.5</v>
      </c>
      <c r="M528" s="11">
        <f t="shared" si="312"/>
        <v>1548.2</v>
      </c>
      <c r="N528" s="7">
        <f t="shared" si="309"/>
        <v>74.486408467644935</v>
      </c>
    </row>
    <row r="529" spans="1:14" ht="31.5" x14ac:dyDescent="0.25">
      <c r="A529" s="33" t="s">
        <v>184</v>
      </c>
      <c r="B529" s="21" t="s">
        <v>574</v>
      </c>
      <c r="C529" s="42" t="s">
        <v>285</v>
      </c>
      <c r="D529" s="42" t="s">
        <v>264</v>
      </c>
      <c r="E529" s="42" t="s">
        <v>185</v>
      </c>
      <c r="F529" s="2"/>
      <c r="G529" s="11">
        <f>'Прил.№4 ведомств.'!G932</f>
        <v>450</v>
      </c>
      <c r="H529" s="11">
        <f>'Прил.№4 ведомств.'!I932</f>
        <v>450</v>
      </c>
      <c r="I529" s="11">
        <f>'Прил.№4 ведомств.'!J932</f>
        <v>450</v>
      </c>
      <c r="J529" s="11">
        <f>'Прил.№4 ведомств.'!K932</f>
        <v>450</v>
      </c>
      <c r="K529" s="11">
        <f>'Прил.№4 ведомств.'!L932</f>
        <v>450</v>
      </c>
      <c r="L529" s="11">
        <f>'Прил.№4 ведомств.'!M932</f>
        <v>2078.5</v>
      </c>
      <c r="M529" s="11">
        <f>'Прил.№4 ведомств.'!N932</f>
        <v>1548.2</v>
      </c>
      <c r="N529" s="7">
        <f t="shared" si="309"/>
        <v>74.486408467644935</v>
      </c>
    </row>
    <row r="530" spans="1:14" ht="15.75" x14ac:dyDescent="0.25">
      <c r="A530" s="47" t="s">
        <v>575</v>
      </c>
      <c r="B530" s="21" t="s">
        <v>576</v>
      </c>
      <c r="C530" s="42" t="s">
        <v>285</v>
      </c>
      <c r="D530" s="42" t="s">
        <v>264</v>
      </c>
      <c r="E530" s="42"/>
      <c r="F530" s="2"/>
      <c r="G530" s="11">
        <f>G531</f>
        <v>3107</v>
      </c>
      <c r="H530" s="11">
        <f t="shared" ref="H530:M531" si="313">H531</f>
        <v>3107</v>
      </c>
      <c r="I530" s="11">
        <f t="shared" si="313"/>
        <v>160</v>
      </c>
      <c r="J530" s="11">
        <f t="shared" si="313"/>
        <v>160</v>
      </c>
      <c r="K530" s="11">
        <f t="shared" si="313"/>
        <v>160</v>
      </c>
      <c r="L530" s="11">
        <f>L531+L533</f>
        <v>40.6</v>
      </c>
      <c r="M530" s="11">
        <f t="shared" ref="M530" si="314">M531+M533</f>
        <v>40.6</v>
      </c>
      <c r="N530" s="7">
        <f t="shared" si="309"/>
        <v>100</v>
      </c>
    </row>
    <row r="531" spans="1:14" ht="31.5" hidden="1" x14ac:dyDescent="0.25">
      <c r="A531" s="33" t="s">
        <v>182</v>
      </c>
      <c r="B531" s="21" t="s">
        <v>576</v>
      </c>
      <c r="C531" s="42" t="s">
        <v>285</v>
      </c>
      <c r="D531" s="42" t="s">
        <v>264</v>
      </c>
      <c r="E531" s="42" t="s">
        <v>183</v>
      </c>
      <c r="F531" s="2"/>
      <c r="G531" s="11">
        <f>G532</f>
        <v>3107</v>
      </c>
      <c r="H531" s="11">
        <f t="shared" si="313"/>
        <v>3107</v>
      </c>
      <c r="I531" s="11">
        <f t="shared" si="313"/>
        <v>160</v>
      </c>
      <c r="J531" s="11">
        <f t="shared" si="313"/>
        <v>160</v>
      </c>
      <c r="K531" s="11">
        <f t="shared" si="313"/>
        <v>160</v>
      </c>
      <c r="L531" s="11">
        <f t="shared" si="313"/>
        <v>0</v>
      </c>
      <c r="M531" s="11">
        <f t="shared" si="313"/>
        <v>0</v>
      </c>
      <c r="N531" s="7" t="e">
        <f t="shared" si="309"/>
        <v>#DIV/0!</v>
      </c>
    </row>
    <row r="532" spans="1:14" ht="31.5" hidden="1" x14ac:dyDescent="0.25">
      <c r="A532" s="33" t="s">
        <v>184</v>
      </c>
      <c r="B532" s="21" t="s">
        <v>576</v>
      </c>
      <c r="C532" s="42" t="s">
        <v>285</v>
      </c>
      <c r="D532" s="42" t="s">
        <v>264</v>
      </c>
      <c r="E532" s="42" t="s">
        <v>185</v>
      </c>
      <c r="F532" s="2"/>
      <c r="G532" s="11">
        <f>'Прил.№4 ведомств.'!G935</f>
        <v>3107</v>
      </c>
      <c r="H532" s="11">
        <f>'Прил.№4 ведомств.'!I935</f>
        <v>3107</v>
      </c>
      <c r="I532" s="11">
        <f>'Прил.№4 ведомств.'!J935</f>
        <v>160</v>
      </c>
      <c r="J532" s="11">
        <f>'Прил.№4 ведомств.'!K935</f>
        <v>160</v>
      </c>
      <c r="K532" s="11">
        <f>'Прил.№4 ведомств.'!L935</f>
        <v>160</v>
      </c>
      <c r="L532" s="11">
        <f>'Прил.№4 ведомств.'!M935</f>
        <v>0</v>
      </c>
      <c r="M532" s="11">
        <f>'Прил.№4 ведомств.'!N935</f>
        <v>0</v>
      </c>
      <c r="N532" s="7" t="e">
        <f t="shared" si="309"/>
        <v>#DIV/0!</v>
      </c>
    </row>
    <row r="533" spans="1:14" ht="15.75" x14ac:dyDescent="0.25">
      <c r="A533" s="31" t="s">
        <v>186</v>
      </c>
      <c r="B533" s="21" t="s">
        <v>576</v>
      </c>
      <c r="C533" s="42" t="s">
        <v>285</v>
      </c>
      <c r="D533" s="42" t="s">
        <v>264</v>
      </c>
      <c r="E533" s="42" t="s">
        <v>196</v>
      </c>
      <c r="F533" s="2"/>
      <c r="G533" s="11"/>
      <c r="H533" s="11"/>
      <c r="I533" s="11"/>
      <c r="J533" s="11"/>
      <c r="K533" s="11"/>
      <c r="L533" s="11">
        <f>L534</f>
        <v>40.6</v>
      </c>
      <c r="M533" s="11">
        <f t="shared" ref="M533" si="315">M534</f>
        <v>40.6</v>
      </c>
      <c r="N533" s="7">
        <f t="shared" si="309"/>
        <v>100</v>
      </c>
    </row>
    <row r="534" spans="1:14" ht="15.75" x14ac:dyDescent="0.25">
      <c r="A534" s="26" t="s">
        <v>197</v>
      </c>
      <c r="B534" s="21" t="s">
        <v>576</v>
      </c>
      <c r="C534" s="42" t="s">
        <v>285</v>
      </c>
      <c r="D534" s="42" t="s">
        <v>264</v>
      </c>
      <c r="E534" s="42" t="s">
        <v>198</v>
      </c>
      <c r="F534" s="2"/>
      <c r="G534" s="11"/>
      <c r="H534" s="11"/>
      <c r="I534" s="11"/>
      <c r="J534" s="11"/>
      <c r="K534" s="11"/>
      <c r="L534" s="11">
        <f>'Прил.№4 ведомств.'!M937</f>
        <v>40.6</v>
      </c>
      <c r="M534" s="11">
        <f>'Прил.№4 ведомств.'!N937</f>
        <v>40.6</v>
      </c>
      <c r="N534" s="7">
        <f t="shared" si="309"/>
        <v>100</v>
      </c>
    </row>
    <row r="535" spans="1:14" ht="15.75" x14ac:dyDescent="0.25">
      <c r="A535" s="47" t="s">
        <v>577</v>
      </c>
      <c r="B535" s="21" t="s">
        <v>578</v>
      </c>
      <c r="C535" s="42" t="s">
        <v>285</v>
      </c>
      <c r="D535" s="42" t="s">
        <v>264</v>
      </c>
      <c r="E535" s="42"/>
      <c r="F535" s="2"/>
      <c r="G535" s="11">
        <f>G536</f>
        <v>1389.8999999999999</v>
      </c>
      <c r="H535" s="11">
        <f t="shared" ref="H535:M536" si="316">H536</f>
        <v>1389.8999999999999</v>
      </c>
      <c r="I535" s="11">
        <f t="shared" si="316"/>
        <v>40</v>
      </c>
      <c r="J535" s="11">
        <f t="shared" si="316"/>
        <v>40</v>
      </c>
      <c r="K535" s="11">
        <f t="shared" si="316"/>
        <v>40</v>
      </c>
      <c r="L535" s="11">
        <f>L536+L538</f>
        <v>1634.7</v>
      </c>
      <c r="M535" s="11">
        <f t="shared" ref="M535" si="317">M536+M538</f>
        <v>1031.5</v>
      </c>
      <c r="N535" s="7">
        <f t="shared" si="309"/>
        <v>63.100263045207072</v>
      </c>
    </row>
    <row r="536" spans="1:14" ht="31.5" x14ac:dyDescent="0.25">
      <c r="A536" s="33" t="s">
        <v>182</v>
      </c>
      <c r="B536" s="21" t="s">
        <v>578</v>
      </c>
      <c r="C536" s="42" t="s">
        <v>285</v>
      </c>
      <c r="D536" s="42" t="s">
        <v>264</v>
      </c>
      <c r="E536" s="42" t="s">
        <v>183</v>
      </c>
      <c r="F536" s="2"/>
      <c r="G536" s="11">
        <f>G537</f>
        <v>1389.8999999999999</v>
      </c>
      <c r="H536" s="11">
        <f t="shared" si="316"/>
        <v>1389.8999999999999</v>
      </c>
      <c r="I536" s="11">
        <f t="shared" si="316"/>
        <v>40</v>
      </c>
      <c r="J536" s="11">
        <f t="shared" si="316"/>
        <v>40</v>
      </c>
      <c r="K536" s="11">
        <f t="shared" si="316"/>
        <v>40</v>
      </c>
      <c r="L536" s="11">
        <f t="shared" si="316"/>
        <v>1633.9</v>
      </c>
      <c r="M536" s="11">
        <f t="shared" si="316"/>
        <v>1030.7</v>
      </c>
      <c r="N536" s="7">
        <f t="shared" si="309"/>
        <v>63.082195972825751</v>
      </c>
    </row>
    <row r="537" spans="1:14" ht="31.5" x14ac:dyDescent="0.25">
      <c r="A537" s="33" t="s">
        <v>184</v>
      </c>
      <c r="B537" s="21" t="s">
        <v>578</v>
      </c>
      <c r="C537" s="42" t="s">
        <v>285</v>
      </c>
      <c r="D537" s="42" t="s">
        <v>264</v>
      </c>
      <c r="E537" s="42" t="s">
        <v>185</v>
      </c>
      <c r="F537" s="2"/>
      <c r="G537" s="11">
        <f>'Прил.№4 ведомств.'!G940</f>
        <v>1389.8999999999999</v>
      </c>
      <c r="H537" s="11">
        <f>'Прил.№4 ведомств.'!I940</f>
        <v>1389.8999999999999</v>
      </c>
      <c r="I537" s="11">
        <f>'Прил.№4 ведомств.'!J940</f>
        <v>40</v>
      </c>
      <c r="J537" s="11">
        <f>'Прил.№4 ведомств.'!K940</f>
        <v>40</v>
      </c>
      <c r="K537" s="11">
        <f>'Прил.№4 ведомств.'!L940</f>
        <v>40</v>
      </c>
      <c r="L537" s="11">
        <f>'Прил.№4 ведомств.'!M940</f>
        <v>1633.9</v>
      </c>
      <c r="M537" s="11">
        <f>'Прил.№4 ведомств.'!N940</f>
        <v>1030.7</v>
      </c>
      <c r="N537" s="7">
        <f t="shared" si="309"/>
        <v>63.082195972825751</v>
      </c>
    </row>
    <row r="538" spans="1:14" ht="15.75" x14ac:dyDescent="0.25">
      <c r="A538" s="31" t="s">
        <v>186</v>
      </c>
      <c r="B538" s="21" t="s">
        <v>578</v>
      </c>
      <c r="C538" s="42" t="s">
        <v>285</v>
      </c>
      <c r="D538" s="42" t="s">
        <v>264</v>
      </c>
      <c r="E538" s="42" t="s">
        <v>196</v>
      </c>
      <c r="F538" s="2"/>
      <c r="G538" s="11"/>
      <c r="H538" s="11"/>
      <c r="I538" s="11"/>
      <c r="J538" s="11"/>
      <c r="K538" s="11"/>
      <c r="L538" s="11">
        <f>L539</f>
        <v>0.8</v>
      </c>
      <c r="M538" s="11">
        <f t="shared" ref="M538" si="318">M539</f>
        <v>0.8</v>
      </c>
      <c r="N538" s="7">
        <f t="shared" si="309"/>
        <v>100</v>
      </c>
    </row>
    <row r="539" spans="1:14" ht="15.75" x14ac:dyDescent="0.25">
      <c r="A539" s="26" t="s">
        <v>797</v>
      </c>
      <c r="B539" s="21" t="s">
        <v>578</v>
      </c>
      <c r="C539" s="42" t="s">
        <v>285</v>
      </c>
      <c r="D539" s="42" t="s">
        <v>264</v>
      </c>
      <c r="E539" s="42" t="s">
        <v>189</v>
      </c>
      <c r="F539" s="2"/>
      <c r="G539" s="11"/>
      <c r="H539" s="11"/>
      <c r="I539" s="11"/>
      <c r="J539" s="11"/>
      <c r="K539" s="11"/>
      <c r="L539" s="11">
        <f>'Прил.№4 ведомств.'!M942</f>
        <v>0.8</v>
      </c>
      <c r="M539" s="11">
        <f>'Прил.№4 ведомств.'!N942</f>
        <v>0.8</v>
      </c>
      <c r="N539" s="7">
        <f t="shared" si="309"/>
        <v>100</v>
      </c>
    </row>
    <row r="540" spans="1:14" ht="15.75" x14ac:dyDescent="0.25">
      <c r="A540" s="47" t="s">
        <v>579</v>
      </c>
      <c r="B540" s="21" t="s">
        <v>580</v>
      </c>
      <c r="C540" s="42" t="s">
        <v>285</v>
      </c>
      <c r="D540" s="42" t="s">
        <v>264</v>
      </c>
      <c r="E540" s="42"/>
      <c r="F540" s="2"/>
      <c r="G540" s="11">
        <f>G541</f>
        <v>159.10000000000002</v>
      </c>
      <c r="H540" s="11">
        <f t="shared" ref="H540:M541" si="319">H541</f>
        <v>159.10000000000002</v>
      </c>
      <c r="I540" s="11">
        <f t="shared" si="319"/>
        <v>305</v>
      </c>
      <c r="J540" s="11">
        <f t="shared" si="319"/>
        <v>305</v>
      </c>
      <c r="K540" s="11">
        <f t="shared" si="319"/>
        <v>305</v>
      </c>
      <c r="L540" s="11">
        <f t="shared" si="319"/>
        <v>1240.3</v>
      </c>
      <c r="M540" s="11">
        <f t="shared" si="319"/>
        <v>481.5</v>
      </c>
      <c r="N540" s="7">
        <f t="shared" si="309"/>
        <v>38.821252922680003</v>
      </c>
    </row>
    <row r="541" spans="1:14" ht="31.5" x14ac:dyDescent="0.25">
      <c r="A541" s="33" t="s">
        <v>182</v>
      </c>
      <c r="B541" s="21" t="s">
        <v>580</v>
      </c>
      <c r="C541" s="42" t="s">
        <v>285</v>
      </c>
      <c r="D541" s="42" t="s">
        <v>264</v>
      </c>
      <c r="E541" s="42" t="s">
        <v>183</v>
      </c>
      <c r="F541" s="2"/>
      <c r="G541" s="11">
        <f>G542</f>
        <v>159.10000000000002</v>
      </c>
      <c r="H541" s="11">
        <f t="shared" si="319"/>
        <v>159.10000000000002</v>
      </c>
      <c r="I541" s="11">
        <f t="shared" si="319"/>
        <v>305</v>
      </c>
      <c r="J541" s="11">
        <f t="shared" si="319"/>
        <v>305</v>
      </c>
      <c r="K541" s="11">
        <f t="shared" si="319"/>
        <v>305</v>
      </c>
      <c r="L541" s="11">
        <f t="shared" si="319"/>
        <v>1240.3</v>
      </c>
      <c r="M541" s="11">
        <f t="shared" si="319"/>
        <v>481.5</v>
      </c>
      <c r="N541" s="7">
        <f t="shared" si="309"/>
        <v>38.821252922680003</v>
      </c>
    </row>
    <row r="542" spans="1:14" ht="31.5" x14ac:dyDescent="0.25">
      <c r="A542" s="33" t="s">
        <v>184</v>
      </c>
      <c r="B542" s="21" t="s">
        <v>580</v>
      </c>
      <c r="C542" s="42" t="s">
        <v>285</v>
      </c>
      <c r="D542" s="42" t="s">
        <v>264</v>
      </c>
      <c r="E542" s="42" t="s">
        <v>185</v>
      </c>
      <c r="F542" s="2"/>
      <c r="G542" s="11">
        <f>'Прил.№4 ведомств.'!G945</f>
        <v>159.10000000000002</v>
      </c>
      <c r="H542" s="11">
        <f>'Прил.№4 ведомств.'!I945</f>
        <v>159.10000000000002</v>
      </c>
      <c r="I542" s="11">
        <f>'Прил.№4 ведомств.'!J945</f>
        <v>305</v>
      </c>
      <c r="J542" s="11">
        <f>'Прил.№4 ведомств.'!K945</f>
        <v>305</v>
      </c>
      <c r="K542" s="11">
        <f>'Прил.№4 ведомств.'!L945</f>
        <v>305</v>
      </c>
      <c r="L542" s="11">
        <f>'Прил.№4 ведомств.'!M945</f>
        <v>1240.3</v>
      </c>
      <c r="M542" s="11">
        <f>'Прил.№4 ведомств.'!N945</f>
        <v>481.5</v>
      </c>
      <c r="N542" s="7">
        <f t="shared" si="309"/>
        <v>38.821252922680003</v>
      </c>
    </row>
    <row r="543" spans="1:14" ht="15.75" x14ac:dyDescent="0.25">
      <c r="A543" s="47" t="s">
        <v>581</v>
      </c>
      <c r="B543" s="21" t="s">
        <v>582</v>
      </c>
      <c r="C543" s="42" t="s">
        <v>285</v>
      </c>
      <c r="D543" s="42" t="s">
        <v>264</v>
      </c>
      <c r="E543" s="42"/>
      <c r="F543" s="2"/>
      <c r="G543" s="11">
        <f>G544</f>
        <v>272.89999999999998</v>
      </c>
      <c r="H543" s="11">
        <f t="shared" ref="H543:M544" si="320">H544</f>
        <v>272.89999999999998</v>
      </c>
      <c r="I543" s="11">
        <f t="shared" si="320"/>
        <v>2</v>
      </c>
      <c r="J543" s="11">
        <f t="shared" si="320"/>
        <v>2</v>
      </c>
      <c r="K543" s="11">
        <f t="shared" si="320"/>
        <v>2</v>
      </c>
      <c r="L543" s="11">
        <f t="shared" si="320"/>
        <v>1631</v>
      </c>
      <c r="M543" s="11">
        <f t="shared" si="320"/>
        <v>130.4</v>
      </c>
      <c r="N543" s="7">
        <f t="shared" si="309"/>
        <v>7.9950950337216424</v>
      </c>
    </row>
    <row r="544" spans="1:14" ht="31.5" x14ac:dyDescent="0.25">
      <c r="A544" s="33" t="s">
        <v>182</v>
      </c>
      <c r="B544" s="21" t="s">
        <v>582</v>
      </c>
      <c r="C544" s="42" t="s">
        <v>285</v>
      </c>
      <c r="D544" s="42" t="s">
        <v>264</v>
      </c>
      <c r="E544" s="42" t="s">
        <v>183</v>
      </c>
      <c r="F544" s="2"/>
      <c r="G544" s="11">
        <f>G545</f>
        <v>272.89999999999998</v>
      </c>
      <c r="H544" s="11">
        <f t="shared" si="320"/>
        <v>272.89999999999998</v>
      </c>
      <c r="I544" s="11">
        <f t="shared" si="320"/>
        <v>2</v>
      </c>
      <c r="J544" s="11">
        <f t="shared" si="320"/>
        <v>2</v>
      </c>
      <c r="K544" s="11">
        <f t="shared" si="320"/>
        <v>2</v>
      </c>
      <c r="L544" s="11">
        <f t="shared" si="320"/>
        <v>1631</v>
      </c>
      <c r="M544" s="11">
        <f t="shared" si="320"/>
        <v>130.4</v>
      </c>
      <c r="N544" s="7">
        <f t="shared" si="309"/>
        <v>7.9950950337216424</v>
      </c>
    </row>
    <row r="545" spans="1:14" ht="31.5" x14ac:dyDescent="0.25">
      <c r="A545" s="33" t="s">
        <v>184</v>
      </c>
      <c r="B545" s="21" t="s">
        <v>582</v>
      </c>
      <c r="C545" s="42" t="s">
        <v>285</v>
      </c>
      <c r="D545" s="42" t="s">
        <v>264</v>
      </c>
      <c r="E545" s="42" t="s">
        <v>185</v>
      </c>
      <c r="F545" s="2"/>
      <c r="G545" s="11">
        <f>'Прил.№4 ведомств.'!G948</f>
        <v>272.89999999999998</v>
      </c>
      <c r="H545" s="11">
        <f>'Прил.№4 ведомств.'!I948</f>
        <v>272.89999999999998</v>
      </c>
      <c r="I545" s="11">
        <f>'Прил.№4 ведомств.'!J948</f>
        <v>2</v>
      </c>
      <c r="J545" s="11">
        <f>'Прил.№4 ведомств.'!K948</f>
        <v>2</v>
      </c>
      <c r="K545" s="11">
        <f>'Прил.№4 ведомств.'!L948</f>
        <v>2</v>
      </c>
      <c r="L545" s="11">
        <f>'Прил.№4 ведомств.'!M948</f>
        <v>1631</v>
      </c>
      <c r="M545" s="11">
        <f>'Прил.№4 ведомств.'!N948</f>
        <v>130.4</v>
      </c>
      <c r="N545" s="7">
        <f t="shared" si="309"/>
        <v>7.9950950337216424</v>
      </c>
    </row>
    <row r="546" spans="1:14" ht="31.5" hidden="1" x14ac:dyDescent="0.25">
      <c r="A546" s="210" t="s">
        <v>583</v>
      </c>
      <c r="B546" s="21" t="s">
        <v>584</v>
      </c>
      <c r="C546" s="42" t="s">
        <v>285</v>
      </c>
      <c r="D546" s="42" t="s">
        <v>264</v>
      </c>
      <c r="E546" s="42"/>
      <c r="F546" s="2"/>
      <c r="G546" s="11">
        <f>G547</f>
        <v>0</v>
      </c>
      <c r="H546" s="11">
        <f t="shared" ref="H546:M547" si="321">H547</f>
        <v>0</v>
      </c>
      <c r="I546" s="11">
        <f t="shared" si="321"/>
        <v>0</v>
      </c>
      <c r="J546" s="11">
        <f t="shared" si="321"/>
        <v>0</v>
      </c>
      <c r="K546" s="11">
        <f t="shared" si="321"/>
        <v>0</v>
      </c>
      <c r="L546" s="11">
        <f t="shared" si="321"/>
        <v>0</v>
      </c>
      <c r="M546" s="11">
        <f t="shared" si="321"/>
        <v>0</v>
      </c>
      <c r="N546" s="7" t="e">
        <f t="shared" si="309"/>
        <v>#DIV/0!</v>
      </c>
    </row>
    <row r="547" spans="1:14" ht="31.5" hidden="1" x14ac:dyDescent="0.25">
      <c r="A547" s="33" t="s">
        <v>182</v>
      </c>
      <c r="B547" s="21" t="s">
        <v>584</v>
      </c>
      <c r="C547" s="42" t="s">
        <v>285</v>
      </c>
      <c r="D547" s="42" t="s">
        <v>264</v>
      </c>
      <c r="E547" s="42"/>
      <c r="F547" s="2"/>
      <c r="G547" s="11">
        <f>G548</f>
        <v>0</v>
      </c>
      <c r="H547" s="11">
        <f t="shared" si="321"/>
        <v>0</v>
      </c>
      <c r="I547" s="11">
        <f t="shared" si="321"/>
        <v>0</v>
      </c>
      <c r="J547" s="11">
        <f t="shared" si="321"/>
        <v>0</v>
      </c>
      <c r="K547" s="11">
        <f t="shared" si="321"/>
        <v>0</v>
      </c>
      <c r="L547" s="11">
        <f t="shared" si="321"/>
        <v>0</v>
      </c>
      <c r="M547" s="11">
        <f t="shared" si="321"/>
        <v>0</v>
      </c>
      <c r="N547" s="7" t="e">
        <f t="shared" si="309"/>
        <v>#DIV/0!</v>
      </c>
    </row>
    <row r="548" spans="1:14" ht="31.5" hidden="1" x14ac:dyDescent="0.25">
      <c r="A548" s="33" t="s">
        <v>184</v>
      </c>
      <c r="B548" s="21" t="s">
        <v>584</v>
      </c>
      <c r="C548" s="42" t="s">
        <v>285</v>
      </c>
      <c r="D548" s="42" t="s">
        <v>264</v>
      </c>
      <c r="E548" s="42"/>
      <c r="F548" s="2"/>
      <c r="G548" s="11"/>
      <c r="H548" s="11"/>
      <c r="I548" s="11"/>
      <c r="J548" s="11"/>
      <c r="K548" s="11"/>
      <c r="L548" s="11"/>
      <c r="M548" s="11"/>
      <c r="N548" s="7" t="e">
        <f t="shared" si="309"/>
        <v>#DIV/0!</v>
      </c>
    </row>
    <row r="549" spans="1:14" ht="15.75" hidden="1" x14ac:dyDescent="0.25">
      <c r="A549" s="210" t="s">
        <v>585</v>
      </c>
      <c r="B549" s="21" t="s">
        <v>586</v>
      </c>
      <c r="C549" s="42" t="s">
        <v>285</v>
      </c>
      <c r="D549" s="42" t="s">
        <v>264</v>
      </c>
      <c r="E549" s="42"/>
      <c r="F549" s="2"/>
      <c r="G549" s="11">
        <f>G550</f>
        <v>49</v>
      </c>
      <c r="H549" s="11">
        <f t="shared" ref="H549:M550" si="322">H550</f>
        <v>49</v>
      </c>
      <c r="I549" s="11">
        <f t="shared" si="322"/>
        <v>10</v>
      </c>
      <c r="J549" s="11">
        <f t="shared" si="322"/>
        <v>10</v>
      </c>
      <c r="K549" s="11">
        <f t="shared" si="322"/>
        <v>10</v>
      </c>
      <c r="L549" s="11">
        <f t="shared" si="322"/>
        <v>0</v>
      </c>
      <c r="M549" s="11">
        <f t="shared" si="322"/>
        <v>0</v>
      </c>
      <c r="N549" s="7" t="e">
        <f t="shared" si="309"/>
        <v>#DIV/0!</v>
      </c>
    </row>
    <row r="550" spans="1:14" ht="31.5" hidden="1" x14ac:dyDescent="0.3">
      <c r="A550" s="26" t="s">
        <v>182</v>
      </c>
      <c r="B550" s="21" t="s">
        <v>586</v>
      </c>
      <c r="C550" s="42" t="s">
        <v>285</v>
      </c>
      <c r="D550" s="42" t="s">
        <v>264</v>
      </c>
      <c r="E550" s="2">
        <v>200</v>
      </c>
      <c r="F550" s="89"/>
      <c r="G550" s="7">
        <f>G551</f>
        <v>49</v>
      </c>
      <c r="H550" s="7">
        <f t="shared" si="322"/>
        <v>49</v>
      </c>
      <c r="I550" s="7">
        <f t="shared" si="322"/>
        <v>10</v>
      </c>
      <c r="J550" s="7">
        <f t="shared" si="322"/>
        <v>10</v>
      </c>
      <c r="K550" s="7">
        <f t="shared" si="322"/>
        <v>10</v>
      </c>
      <c r="L550" s="7">
        <f t="shared" si="322"/>
        <v>0</v>
      </c>
      <c r="M550" s="7">
        <f t="shared" si="322"/>
        <v>0</v>
      </c>
      <c r="N550" s="7" t="e">
        <f t="shared" si="309"/>
        <v>#DIV/0!</v>
      </c>
    </row>
    <row r="551" spans="1:14" ht="31.5" hidden="1" x14ac:dyDescent="0.3">
      <c r="A551" s="26" t="s">
        <v>184</v>
      </c>
      <c r="B551" s="21" t="s">
        <v>586</v>
      </c>
      <c r="C551" s="42" t="s">
        <v>285</v>
      </c>
      <c r="D551" s="42" t="s">
        <v>264</v>
      </c>
      <c r="E551" s="2">
        <v>240</v>
      </c>
      <c r="F551" s="89"/>
      <c r="G551" s="7">
        <f>'Прил.№4 ведомств.'!G954</f>
        <v>49</v>
      </c>
      <c r="H551" s="7">
        <f>'Прил.№4 ведомств.'!I954</f>
        <v>49</v>
      </c>
      <c r="I551" s="7">
        <f>'Прил.№4 ведомств.'!J954</f>
        <v>10</v>
      </c>
      <c r="J551" s="7">
        <f>'Прил.№4 ведомств.'!K954</f>
        <v>10</v>
      </c>
      <c r="K551" s="7">
        <f>'Прил.№4 ведомств.'!L954</f>
        <v>10</v>
      </c>
      <c r="L551" s="7">
        <f>'Прил.№4 ведомств.'!M954</f>
        <v>0</v>
      </c>
      <c r="M551" s="7">
        <f>'Прил.№4 ведомств.'!N954</f>
        <v>0</v>
      </c>
      <c r="N551" s="7" t="e">
        <f t="shared" si="309"/>
        <v>#DIV/0!</v>
      </c>
    </row>
    <row r="552" spans="1:14" ht="31.5" x14ac:dyDescent="0.25">
      <c r="A552" s="47" t="s">
        <v>700</v>
      </c>
      <c r="B552" s="21" t="s">
        <v>570</v>
      </c>
      <c r="C552" s="42"/>
      <c r="D552" s="42"/>
      <c r="E552" s="2"/>
      <c r="F552" s="2">
        <v>908</v>
      </c>
      <c r="G552" s="7">
        <f>G520</f>
        <v>5427.9</v>
      </c>
      <c r="H552" s="7">
        <f t="shared" ref="H552:L552" si="323">H520</f>
        <v>5427.9</v>
      </c>
      <c r="I552" s="7">
        <f t="shared" si="323"/>
        <v>967</v>
      </c>
      <c r="J552" s="7">
        <f t="shared" si="323"/>
        <v>967</v>
      </c>
      <c r="K552" s="7">
        <f t="shared" si="323"/>
        <v>967</v>
      </c>
      <c r="L552" s="7">
        <f t="shared" si="323"/>
        <v>6625.1</v>
      </c>
      <c r="M552" s="7">
        <f t="shared" ref="M552" si="324">M520</f>
        <v>3232.2000000000003</v>
      </c>
      <c r="N552" s="7">
        <f t="shared" si="309"/>
        <v>48.787188117915207</v>
      </c>
    </row>
    <row r="553" spans="1:14" ht="47.25" x14ac:dyDescent="0.25">
      <c r="A553" s="24" t="s">
        <v>385</v>
      </c>
      <c r="B553" s="25" t="s">
        <v>386</v>
      </c>
      <c r="C553" s="8"/>
      <c r="D553" s="8"/>
      <c r="E553" s="3"/>
      <c r="F553" s="3"/>
      <c r="G553" s="4">
        <f>G554</f>
        <v>145</v>
      </c>
      <c r="H553" s="4">
        <f t="shared" ref="H553:M553" si="325">H554</f>
        <v>145</v>
      </c>
      <c r="I553" s="4">
        <f t="shared" si="325"/>
        <v>155</v>
      </c>
      <c r="J553" s="4">
        <f t="shared" si="325"/>
        <v>155</v>
      </c>
      <c r="K553" s="4">
        <f t="shared" si="325"/>
        <v>155</v>
      </c>
      <c r="L553" s="4">
        <f t="shared" si="325"/>
        <v>155</v>
      </c>
      <c r="M553" s="4">
        <f t="shared" si="325"/>
        <v>0</v>
      </c>
      <c r="N553" s="4">
        <f t="shared" si="309"/>
        <v>0</v>
      </c>
    </row>
    <row r="554" spans="1:14" ht="15.75" x14ac:dyDescent="0.25">
      <c r="A554" s="31" t="s">
        <v>168</v>
      </c>
      <c r="B554" s="21" t="s">
        <v>386</v>
      </c>
      <c r="C554" s="42" t="s">
        <v>169</v>
      </c>
      <c r="D554" s="42"/>
      <c r="E554" s="2"/>
      <c r="F554" s="2"/>
      <c r="G554" s="7">
        <f>G555+G595</f>
        <v>145</v>
      </c>
      <c r="H554" s="7">
        <f t="shared" ref="H554:L554" si="326">H555+H595</f>
        <v>145</v>
      </c>
      <c r="I554" s="7">
        <f t="shared" si="326"/>
        <v>155</v>
      </c>
      <c r="J554" s="7">
        <f t="shared" si="326"/>
        <v>155</v>
      </c>
      <c r="K554" s="7">
        <f t="shared" si="326"/>
        <v>155</v>
      </c>
      <c r="L554" s="7">
        <f t="shared" si="326"/>
        <v>155</v>
      </c>
      <c r="M554" s="7">
        <f t="shared" ref="M554" si="327">M555+M595</f>
        <v>0</v>
      </c>
      <c r="N554" s="7">
        <f t="shared" si="309"/>
        <v>0</v>
      </c>
    </row>
    <row r="555" spans="1:14" ht="15.75" x14ac:dyDescent="0.25">
      <c r="A555" s="31" t="s">
        <v>190</v>
      </c>
      <c r="B555" s="21" t="s">
        <v>386</v>
      </c>
      <c r="C555" s="42" t="s">
        <v>169</v>
      </c>
      <c r="D555" s="42" t="s">
        <v>191</v>
      </c>
      <c r="E555" s="2"/>
      <c r="F555" s="2"/>
      <c r="G555" s="7">
        <f>G556+G559+G564+G567+G570+G573</f>
        <v>125</v>
      </c>
      <c r="H555" s="7">
        <f t="shared" ref="H555:K555" si="328">H556+H559+H564+H567+H570+H573</f>
        <v>125</v>
      </c>
      <c r="I555" s="7">
        <f t="shared" si="328"/>
        <v>95</v>
      </c>
      <c r="J555" s="7">
        <f t="shared" si="328"/>
        <v>95</v>
      </c>
      <c r="K555" s="7">
        <f t="shared" si="328"/>
        <v>95</v>
      </c>
      <c r="L555" s="7">
        <f>L556+L559+L564+L567+L570+L573</f>
        <v>95</v>
      </c>
      <c r="M555" s="7">
        <f t="shared" ref="M555" si="329">M556+M559+M564+M567+M570+M573</f>
        <v>0</v>
      </c>
      <c r="N555" s="7">
        <f t="shared" si="309"/>
        <v>0</v>
      </c>
    </row>
    <row r="556" spans="1:14" ht="31.5" x14ac:dyDescent="0.25">
      <c r="A556" s="26" t="s">
        <v>387</v>
      </c>
      <c r="B556" s="21" t="s">
        <v>388</v>
      </c>
      <c r="C556" s="42" t="s">
        <v>169</v>
      </c>
      <c r="D556" s="42" t="s">
        <v>191</v>
      </c>
      <c r="E556" s="2"/>
      <c r="F556" s="2"/>
      <c r="G556" s="7">
        <f>G557</f>
        <v>0</v>
      </c>
      <c r="H556" s="7">
        <f t="shared" ref="H556:M557" si="330">H557</f>
        <v>0</v>
      </c>
      <c r="I556" s="7">
        <f t="shared" si="330"/>
        <v>50</v>
      </c>
      <c r="J556" s="7">
        <f t="shared" si="330"/>
        <v>50</v>
      </c>
      <c r="K556" s="7">
        <f t="shared" si="330"/>
        <v>50</v>
      </c>
      <c r="L556" s="7">
        <f t="shared" si="330"/>
        <v>50</v>
      </c>
      <c r="M556" s="7">
        <f t="shared" si="330"/>
        <v>0</v>
      </c>
      <c r="N556" s="7">
        <f t="shared" si="309"/>
        <v>0</v>
      </c>
    </row>
    <row r="557" spans="1:14" ht="31.5" x14ac:dyDescent="0.25">
      <c r="A557" s="26" t="s">
        <v>182</v>
      </c>
      <c r="B557" s="21" t="s">
        <v>388</v>
      </c>
      <c r="C557" s="42" t="s">
        <v>169</v>
      </c>
      <c r="D557" s="42" t="s">
        <v>191</v>
      </c>
      <c r="E557" s="2">
        <v>200</v>
      </c>
      <c r="F557" s="2"/>
      <c r="G557" s="7">
        <f>G558</f>
        <v>0</v>
      </c>
      <c r="H557" s="7">
        <f t="shared" si="330"/>
        <v>0</v>
      </c>
      <c r="I557" s="7">
        <f t="shared" si="330"/>
        <v>50</v>
      </c>
      <c r="J557" s="7">
        <f t="shared" si="330"/>
        <v>50</v>
      </c>
      <c r="K557" s="7">
        <f t="shared" si="330"/>
        <v>50</v>
      </c>
      <c r="L557" s="7">
        <f t="shared" si="330"/>
        <v>50</v>
      </c>
      <c r="M557" s="7">
        <f t="shared" si="330"/>
        <v>0</v>
      </c>
      <c r="N557" s="7">
        <f t="shared" si="309"/>
        <v>0</v>
      </c>
    </row>
    <row r="558" spans="1:14" ht="31.5" x14ac:dyDescent="0.25">
      <c r="A558" s="26" t="s">
        <v>184</v>
      </c>
      <c r="B558" s="21" t="s">
        <v>388</v>
      </c>
      <c r="C558" s="42" t="s">
        <v>169</v>
      </c>
      <c r="D558" s="42" t="s">
        <v>191</v>
      </c>
      <c r="E558" s="2">
        <v>240</v>
      </c>
      <c r="F558" s="2"/>
      <c r="G558" s="7">
        <f>'Прил.№4 ведомств.'!G757</f>
        <v>0</v>
      </c>
      <c r="H558" s="7">
        <f>'Прил.№4 ведомств.'!I757</f>
        <v>0</v>
      </c>
      <c r="I558" s="7">
        <f>'Прил.№4 ведомств.'!J253</f>
        <v>50</v>
      </c>
      <c r="J558" s="7">
        <f>'Прил.№4 ведомств.'!K253</f>
        <v>50</v>
      </c>
      <c r="K558" s="7">
        <f>'Прил.№4 ведомств.'!L253</f>
        <v>50</v>
      </c>
      <c r="L558" s="7">
        <f>'Прил.№4 ведомств.'!M253</f>
        <v>50</v>
      </c>
      <c r="M558" s="7">
        <f>'Прил.№4 ведомств.'!N253</f>
        <v>0</v>
      </c>
      <c r="N558" s="7">
        <f t="shared" si="309"/>
        <v>0</v>
      </c>
    </row>
    <row r="559" spans="1:14" ht="47.25" hidden="1" x14ac:dyDescent="0.25">
      <c r="A559" s="26" t="s">
        <v>528</v>
      </c>
      <c r="B559" s="21" t="s">
        <v>529</v>
      </c>
      <c r="C559" s="42" t="s">
        <v>169</v>
      </c>
      <c r="D559" s="42" t="s">
        <v>191</v>
      </c>
      <c r="E559" s="2"/>
      <c r="F559" s="2"/>
      <c r="G559" s="7">
        <f>G560+G562</f>
        <v>0</v>
      </c>
      <c r="H559" s="7">
        <f t="shared" ref="H559:L559" si="331">H560+H562</f>
        <v>0</v>
      </c>
      <c r="I559" s="7">
        <f t="shared" si="331"/>
        <v>0</v>
      </c>
      <c r="J559" s="7">
        <f t="shared" si="331"/>
        <v>0</v>
      </c>
      <c r="K559" s="7">
        <f t="shared" si="331"/>
        <v>0</v>
      </c>
      <c r="L559" s="7">
        <f t="shared" si="331"/>
        <v>0</v>
      </c>
      <c r="M559" s="7">
        <f t="shared" ref="M559" si="332">M560+M562</f>
        <v>0</v>
      </c>
      <c r="N559" s="7" t="e">
        <f t="shared" si="309"/>
        <v>#DIV/0!</v>
      </c>
    </row>
    <row r="560" spans="1:14" ht="78.75" hidden="1" x14ac:dyDescent="0.25">
      <c r="A560" s="26" t="s">
        <v>178</v>
      </c>
      <c r="B560" s="21" t="s">
        <v>529</v>
      </c>
      <c r="C560" s="42" t="s">
        <v>169</v>
      </c>
      <c r="D560" s="42" t="s">
        <v>191</v>
      </c>
      <c r="E560" s="2">
        <v>100</v>
      </c>
      <c r="F560" s="2"/>
      <c r="G560" s="7">
        <f>G561</f>
        <v>0</v>
      </c>
      <c r="H560" s="7">
        <f t="shared" ref="H560:M560" si="333">H561</f>
        <v>0</v>
      </c>
      <c r="I560" s="7">
        <f t="shared" si="333"/>
        <v>0</v>
      </c>
      <c r="J560" s="7">
        <f t="shared" si="333"/>
        <v>0</v>
      </c>
      <c r="K560" s="7">
        <f t="shared" si="333"/>
        <v>0</v>
      </c>
      <c r="L560" s="7">
        <f t="shared" si="333"/>
        <v>0</v>
      </c>
      <c r="M560" s="7">
        <f t="shared" si="333"/>
        <v>0</v>
      </c>
      <c r="N560" s="7" t="e">
        <f t="shared" si="309"/>
        <v>#DIV/0!</v>
      </c>
    </row>
    <row r="561" spans="1:14" ht="15.75" hidden="1" x14ac:dyDescent="0.25">
      <c r="A561" s="26" t="s">
        <v>393</v>
      </c>
      <c r="B561" s="21" t="s">
        <v>529</v>
      </c>
      <c r="C561" s="42" t="s">
        <v>169</v>
      </c>
      <c r="D561" s="42" t="s">
        <v>191</v>
      </c>
      <c r="E561" s="2">
        <v>110</v>
      </c>
      <c r="F561" s="2"/>
      <c r="G561" s="7">
        <v>0</v>
      </c>
      <c r="H561" s="7">
        <v>0</v>
      </c>
      <c r="I561" s="7">
        <v>0</v>
      </c>
      <c r="J561" s="7">
        <f>'Прил.№4 ведомств.'!K760</f>
        <v>0</v>
      </c>
      <c r="K561" s="7">
        <f>'Прил.№4 ведомств.'!L760</f>
        <v>0</v>
      </c>
      <c r="L561" s="7">
        <f>'Прил.№4 ведомств.'!M760</f>
        <v>0</v>
      </c>
      <c r="M561" s="7">
        <f>'Прил.№4 ведомств.'!N760</f>
        <v>0</v>
      </c>
      <c r="N561" s="7" t="e">
        <f t="shared" si="309"/>
        <v>#DIV/0!</v>
      </c>
    </row>
    <row r="562" spans="1:14" ht="31.5" hidden="1" x14ac:dyDescent="0.25">
      <c r="A562" s="26" t="s">
        <v>182</v>
      </c>
      <c r="B562" s="21" t="s">
        <v>529</v>
      </c>
      <c r="C562" s="42" t="s">
        <v>169</v>
      </c>
      <c r="D562" s="42" t="s">
        <v>191</v>
      </c>
      <c r="E562" s="2">
        <v>200</v>
      </c>
      <c r="F562" s="2"/>
      <c r="G562" s="7">
        <f>G563</f>
        <v>0</v>
      </c>
      <c r="H562" s="7">
        <f t="shared" ref="H562:M562" si="334">H563</f>
        <v>0</v>
      </c>
      <c r="I562" s="7">
        <f t="shared" si="334"/>
        <v>0</v>
      </c>
      <c r="J562" s="7">
        <f t="shared" si="334"/>
        <v>0</v>
      </c>
      <c r="K562" s="7">
        <f t="shared" si="334"/>
        <v>0</v>
      </c>
      <c r="L562" s="7">
        <f t="shared" si="334"/>
        <v>0</v>
      </c>
      <c r="M562" s="7">
        <f t="shared" si="334"/>
        <v>0</v>
      </c>
      <c r="N562" s="7" t="e">
        <f t="shared" si="309"/>
        <v>#DIV/0!</v>
      </c>
    </row>
    <row r="563" spans="1:14" ht="31.5" hidden="1" x14ac:dyDescent="0.25">
      <c r="A563" s="26" t="s">
        <v>184</v>
      </c>
      <c r="B563" s="21" t="s">
        <v>529</v>
      </c>
      <c r="C563" s="42" t="s">
        <v>169</v>
      </c>
      <c r="D563" s="42" t="s">
        <v>191</v>
      </c>
      <c r="E563" s="2">
        <v>240</v>
      </c>
      <c r="F563" s="2"/>
      <c r="G563" s="7">
        <v>0</v>
      </c>
      <c r="H563" s="7">
        <v>0</v>
      </c>
      <c r="I563" s="7">
        <f>'Прил.№4 ведомств.'!J762</f>
        <v>0</v>
      </c>
      <c r="J563" s="7">
        <f>'Прил.№4 ведомств.'!K762</f>
        <v>0</v>
      </c>
      <c r="K563" s="7">
        <f>'Прил.№4 ведомств.'!L762</f>
        <v>0</v>
      </c>
      <c r="L563" s="7">
        <f>'Прил.№4 ведомств.'!M762</f>
        <v>0</v>
      </c>
      <c r="M563" s="7">
        <f>'Прил.№4 ведомств.'!N762</f>
        <v>0</v>
      </c>
      <c r="N563" s="7" t="e">
        <f t="shared" si="309"/>
        <v>#DIV/0!</v>
      </c>
    </row>
    <row r="564" spans="1:14" ht="31.5" x14ac:dyDescent="0.25">
      <c r="A564" s="26" t="s">
        <v>389</v>
      </c>
      <c r="B564" s="21" t="s">
        <v>390</v>
      </c>
      <c r="C564" s="42" t="s">
        <v>169</v>
      </c>
      <c r="D564" s="42" t="s">
        <v>191</v>
      </c>
      <c r="E564" s="2"/>
      <c r="F564" s="2"/>
      <c r="G564" s="7">
        <f>G565</f>
        <v>20</v>
      </c>
      <c r="H564" s="7">
        <f t="shared" ref="H564:M565" si="335">H565</f>
        <v>20</v>
      </c>
      <c r="I564" s="7">
        <f t="shared" si="335"/>
        <v>20</v>
      </c>
      <c r="J564" s="7">
        <f t="shared" si="335"/>
        <v>20</v>
      </c>
      <c r="K564" s="7">
        <f t="shared" si="335"/>
        <v>20</v>
      </c>
      <c r="L564" s="7">
        <f t="shared" si="335"/>
        <v>20</v>
      </c>
      <c r="M564" s="7">
        <f t="shared" si="335"/>
        <v>0</v>
      </c>
      <c r="N564" s="7">
        <f t="shared" si="309"/>
        <v>0</v>
      </c>
    </row>
    <row r="565" spans="1:14" ht="31.5" x14ac:dyDescent="0.25">
      <c r="A565" s="26" t="s">
        <v>182</v>
      </c>
      <c r="B565" s="21" t="s">
        <v>390</v>
      </c>
      <c r="C565" s="42" t="s">
        <v>169</v>
      </c>
      <c r="D565" s="42" t="s">
        <v>191</v>
      </c>
      <c r="E565" s="2">
        <v>200</v>
      </c>
      <c r="F565" s="2"/>
      <c r="G565" s="7">
        <f>G566</f>
        <v>20</v>
      </c>
      <c r="H565" s="7">
        <f t="shared" si="335"/>
        <v>20</v>
      </c>
      <c r="I565" s="7">
        <f t="shared" si="335"/>
        <v>20</v>
      </c>
      <c r="J565" s="7">
        <f t="shared" si="335"/>
        <v>20</v>
      </c>
      <c r="K565" s="7">
        <f t="shared" si="335"/>
        <v>20</v>
      </c>
      <c r="L565" s="7">
        <f t="shared" si="335"/>
        <v>20</v>
      </c>
      <c r="M565" s="7">
        <f t="shared" si="335"/>
        <v>0</v>
      </c>
      <c r="N565" s="7">
        <f t="shared" si="309"/>
        <v>0</v>
      </c>
    </row>
    <row r="566" spans="1:14" ht="31.5" x14ac:dyDescent="0.25">
      <c r="A566" s="26" t="s">
        <v>184</v>
      </c>
      <c r="B566" s="21" t="s">
        <v>390</v>
      </c>
      <c r="C566" s="42" t="s">
        <v>169</v>
      </c>
      <c r="D566" s="42" t="s">
        <v>191</v>
      </c>
      <c r="E566" s="2">
        <v>240</v>
      </c>
      <c r="F566" s="2"/>
      <c r="G566" s="7">
        <v>20</v>
      </c>
      <c r="H566" s="7">
        <v>20</v>
      </c>
      <c r="I566" s="7">
        <f>'Прил.№4 ведомств.'!J256</f>
        <v>20</v>
      </c>
      <c r="J566" s="7">
        <f>'Прил.№4 ведомств.'!K256</f>
        <v>20</v>
      </c>
      <c r="K566" s="7">
        <f>'Прил.№4 ведомств.'!L256</f>
        <v>20</v>
      </c>
      <c r="L566" s="7">
        <f>'Прил.№4 ведомств.'!M256</f>
        <v>20</v>
      </c>
      <c r="M566" s="7">
        <f>'Прил.№4 ведомств.'!N256</f>
        <v>0</v>
      </c>
      <c r="N566" s="7">
        <f t="shared" si="309"/>
        <v>0</v>
      </c>
    </row>
    <row r="567" spans="1:14" ht="47.25" x14ac:dyDescent="0.25">
      <c r="A567" s="33" t="s">
        <v>920</v>
      </c>
      <c r="B567" s="21" t="s">
        <v>917</v>
      </c>
      <c r="C567" s="42" t="s">
        <v>169</v>
      </c>
      <c r="D567" s="42" t="s">
        <v>191</v>
      </c>
      <c r="E567" s="2"/>
      <c r="F567" s="2"/>
      <c r="G567" s="7">
        <f>G568</f>
        <v>0</v>
      </c>
      <c r="H567" s="7">
        <f t="shared" ref="H567:M568" si="336">H568</f>
        <v>0</v>
      </c>
      <c r="I567" s="7">
        <f t="shared" si="336"/>
        <v>5</v>
      </c>
      <c r="J567" s="7">
        <f t="shared" si="336"/>
        <v>5</v>
      </c>
      <c r="K567" s="7">
        <f t="shared" si="336"/>
        <v>5</v>
      </c>
      <c r="L567" s="7">
        <f t="shared" si="336"/>
        <v>5</v>
      </c>
      <c r="M567" s="7">
        <f t="shared" si="336"/>
        <v>0</v>
      </c>
      <c r="N567" s="7">
        <f t="shared" si="309"/>
        <v>0</v>
      </c>
    </row>
    <row r="568" spans="1:14" ht="31.5" x14ac:dyDescent="0.25">
      <c r="A568" s="26" t="s">
        <v>182</v>
      </c>
      <c r="B568" s="21" t="s">
        <v>917</v>
      </c>
      <c r="C568" s="21" t="s">
        <v>169</v>
      </c>
      <c r="D568" s="21" t="s">
        <v>191</v>
      </c>
      <c r="E568" s="21" t="s">
        <v>183</v>
      </c>
      <c r="F568" s="218"/>
      <c r="G568" s="7">
        <f>G569</f>
        <v>0</v>
      </c>
      <c r="H568" s="7">
        <f t="shared" si="336"/>
        <v>0</v>
      </c>
      <c r="I568" s="7">
        <f t="shared" si="336"/>
        <v>5</v>
      </c>
      <c r="J568" s="7">
        <f t="shared" si="336"/>
        <v>5</v>
      </c>
      <c r="K568" s="7">
        <f t="shared" si="336"/>
        <v>5</v>
      </c>
      <c r="L568" s="7">
        <f t="shared" si="336"/>
        <v>5</v>
      </c>
      <c r="M568" s="7">
        <f t="shared" si="336"/>
        <v>0</v>
      </c>
      <c r="N568" s="7">
        <f t="shared" si="309"/>
        <v>0</v>
      </c>
    </row>
    <row r="569" spans="1:14" ht="31.5" x14ac:dyDescent="0.25">
      <c r="A569" s="26" t="s">
        <v>184</v>
      </c>
      <c r="B569" s="21" t="s">
        <v>917</v>
      </c>
      <c r="C569" s="21" t="s">
        <v>169</v>
      </c>
      <c r="D569" s="21" t="s">
        <v>191</v>
      </c>
      <c r="E569" s="21" t="s">
        <v>185</v>
      </c>
      <c r="F569" s="218"/>
      <c r="G569" s="7">
        <v>0</v>
      </c>
      <c r="H569" s="7">
        <v>0</v>
      </c>
      <c r="I569" s="7">
        <f>'Прил.№4 ведомств.'!J259</f>
        <v>5</v>
      </c>
      <c r="J569" s="7">
        <f>'Прил.№4 ведомств.'!K259</f>
        <v>5</v>
      </c>
      <c r="K569" s="7">
        <f>'Прил.№4 ведомств.'!L259</f>
        <v>5</v>
      </c>
      <c r="L569" s="7">
        <f>'Прил.№4 ведомств.'!M259</f>
        <v>5</v>
      </c>
      <c r="M569" s="7">
        <f>'Прил.№4 ведомств.'!N259</f>
        <v>0</v>
      </c>
      <c r="N569" s="7">
        <f t="shared" si="309"/>
        <v>0</v>
      </c>
    </row>
    <row r="570" spans="1:14" ht="31.5" hidden="1" x14ac:dyDescent="0.25">
      <c r="A570" s="26" t="s">
        <v>760</v>
      </c>
      <c r="B570" s="21" t="s">
        <v>922</v>
      </c>
      <c r="C570" s="42" t="s">
        <v>169</v>
      </c>
      <c r="D570" s="42" t="s">
        <v>191</v>
      </c>
      <c r="E570" s="2"/>
      <c r="F570" s="218"/>
      <c r="G570" s="7">
        <f>G571</f>
        <v>105</v>
      </c>
      <c r="H570" s="7">
        <f t="shared" ref="H570:M571" si="337">H571</f>
        <v>105</v>
      </c>
      <c r="I570" s="7">
        <f t="shared" si="337"/>
        <v>0</v>
      </c>
      <c r="J570" s="7">
        <f t="shared" si="337"/>
        <v>0</v>
      </c>
      <c r="K570" s="7">
        <f t="shared" si="337"/>
        <v>0</v>
      </c>
      <c r="L570" s="7">
        <f t="shared" si="337"/>
        <v>0</v>
      </c>
      <c r="M570" s="7">
        <f t="shared" si="337"/>
        <v>0</v>
      </c>
      <c r="N570" s="7" t="e">
        <f t="shared" si="309"/>
        <v>#DIV/0!</v>
      </c>
    </row>
    <row r="571" spans="1:14" ht="31.5" hidden="1" x14ac:dyDescent="0.25">
      <c r="A571" s="26" t="s">
        <v>182</v>
      </c>
      <c r="B571" s="21" t="s">
        <v>922</v>
      </c>
      <c r="C571" s="42" t="s">
        <v>169</v>
      </c>
      <c r="D571" s="42" t="s">
        <v>191</v>
      </c>
      <c r="E571" s="2">
        <v>200</v>
      </c>
      <c r="F571" s="218"/>
      <c r="G571" s="7">
        <f>G572</f>
        <v>105</v>
      </c>
      <c r="H571" s="7">
        <f t="shared" si="337"/>
        <v>105</v>
      </c>
      <c r="I571" s="7">
        <f t="shared" si="337"/>
        <v>0</v>
      </c>
      <c r="J571" s="7">
        <f t="shared" si="337"/>
        <v>0</v>
      </c>
      <c r="K571" s="7">
        <f t="shared" si="337"/>
        <v>0</v>
      </c>
      <c r="L571" s="7">
        <f t="shared" si="337"/>
        <v>0</v>
      </c>
      <c r="M571" s="7">
        <f t="shared" si="337"/>
        <v>0</v>
      </c>
      <c r="N571" s="7" t="e">
        <f t="shared" si="309"/>
        <v>#DIV/0!</v>
      </c>
    </row>
    <row r="572" spans="1:14" ht="31.5" hidden="1" x14ac:dyDescent="0.25">
      <c r="A572" s="26" t="s">
        <v>184</v>
      </c>
      <c r="B572" s="21" t="s">
        <v>922</v>
      </c>
      <c r="C572" s="42" t="s">
        <v>169</v>
      </c>
      <c r="D572" s="42" t="s">
        <v>191</v>
      </c>
      <c r="E572" s="2">
        <v>240</v>
      </c>
      <c r="F572" s="218"/>
      <c r="G572" s="7">
        <v>105</v>
      </c>
      <c r="H572" s="7">
        <v>105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 t="e">
        <f t="shared" si="309"/>
        <v>#DIV/0!</v>
      </c>
    </row>
    <row r="573" spans="1:14" ht="31.5" x14ac:dyDescent="0.25">
      <c r="A573" s="33" t="s">
        <v>921</v>
      </c>
      <c r="B573" s="21" t="s">
        <v>918</v>
      </c>
      <c r="C573" s="21" t="s">
        <v>169</v>
      </c>
      <c r="D573" s="21" t="s">
        <v>191</v>
      </c>
      <c r="E573" s="21"/>
      <c r="F573" s="218"/>
      <c r="G573" s="7">
        <f>G574</f>
        <v>0</v>
      </c>
      <c r="H573" s="7">
        <f t="shared" ref="H573:M574" si="338">H574</f>
        <v>0</v>
      </c>
      <c r="I573" s="7">
        <f t="shared" si="338"/>
        <v>20</v>
      </c>
      <c r="J573" s="7">
        <f t="shared" si="338"/>
        <v>20</v>
      </c>
      <c r="K573" s="7">
        <f t="shared" si="338"/>
        <v>20</v>
      </c>
      <c r="L573" s="7">
        <f t="shared" si="338"/>
        <v>20</v>
      </c>
      <c r="M573" s="7">
        <f t="shared" si="338"/>
        <v>0</v>
      </c>
      <c r="N573" s="7">
        <f t="shared" si="309"/>
        <v>0</v>
      </c>
    </row>
    <row r="574" spans="1:14" ht="31.5" x14ac:dyDescent="0.25">
      <c r="A574" s="26" t="s">
        <v>182</v>
      </c>
      <c r="B574" s="21" t="s">
        <v>918</v>
      </c>
      <c r="C574" s="21" t="s">
        <v>169</v>
      </c>
      <c r="D574" s="21" t="s">
        <v>191</v>
      </c>
      <c r="E574" s="21" t="s">
        <v>183</v>
      </c>
      <c r="F574" s="218"/>
      <c r="G574" s="7">
        <f>G575</f>
        <v>0</v>
      </c>
      <c r="H574" s="7">
        <f t="shared" si="338"/>
        <v>0</v>
      </c>
      <c r="I574" s="7">
        <f t="shared" si="338"/>
        <v>20</v>
      </c>
      <c r="J574" s="7">
        <f t="shared" si="338"/>
        <v>20</v>
      </c>
      <c r="K574" s="7">
        <f t="shared" si="338"/>
        <v>20</v>
      </c>
      <c r="L574" s="7">
        <f t="shared" si="338"/>
        <v>20</v>
      </c>
      <c r="M574" s="7">
        <f t="shared" si="338"/>
        <v>0</v>
      </c>
      <c r="N574" s="7">
        <f t="shared" si="309"/>
        <v>0</v>
      </c>
    </row>
    <row r="575" spans="1:14" ht="31.5" x14ac:dyDescent="0.25">
      <c r="A575" s="26" t="s">
        <v>184</v>
      </c>
      <c r="B575" s="21" t="s">
        <v>918</v>
      </c>
      <c r="C575" s="21" t="s">
        <v>169</v>
      </c>
      <c r="D575" s="21" t="s">
        <v>191</v>
      </c>
      <c r="E575" s="21" t="s">
        <v>185</v>
      </c>
      <c r="F575" s="218"/>
      <c r="G575" s="7">
        <v>0</v>
      </c>
      <c r="H575" s="7">
        <v>0</v>
      </c>
      <c r="I575" s="7">
        <f>'Прил.№4 ведомств.'!J265</f>
        <v>20</v>
      </c>
      <c r="J575" s="7">
        <f>'Прил.№4 ведомств.'!K265</f>
        <v>20</v>
      </c>
      <c r="K575" s="7">
        <f>'Прил.№4 ведомств.'!L265</f>
        <v>20</v>
      </c>
      <c r="L575" s="7">
        <f>'Прил.№4 ведомств.'!M265</f>
        <v>20</v>
      </c>
      <c r="M575" s="7">
        <f>'Прил.№4 ведомств.'!N265</f>
        <v>0</v>
      </c>
      <c r="N575" s="7">
        <f t="shared" si="309"/>
        <v>0</v>
      </c>
    </row>
    <row r="576" spans="1:14" ht="47.25" x14ac:dyDescent="0.25">
      <c r="A576" s="47" t="s">
        <v>312</v>
      </c>
      <c r="B576" s="21" t="s">
        <v>386</v>
      </c>
      <c r="C576" s="42" t="s">
        <v>169</v>
      </c>
      <c r="D576" s="42" t="s">
        <v>191</v>
      </c>
      <c r="E576" s="2"/>
      <c r="F576" s="2">
        <v>903</v>
      </c>
      <c r="G576" s="7">
        <f>G556+G564+G567+G570+G573</f>
        <v>125</v>
      </c>
      <c r="H576" s="7">
        <f t="shared" ref="H576:L576" si="339">H556+H564+H567+H570+H573</f>
        <v>125</v>
      </c>
      <c r="I576" s="7">
        <f t="shared" si="339"/>
        <v>95</v>
      </c>
      <c r="J576" s="7">
        <f t="shared" si="339"/>
        <v>95</v>
      </c>
      <c r="K576" s="7">
        <f t="shared" si="339"/>
        <v>95</v>
      </c>
      <c r="L576" s="7">
        <f t="shared" si="339"/>
        <v>95</v>
      </c>
      <c r="M576" s="7">
        <f t="shared" ref="M576" si="340">M556+M564+M567+M570+M573</f>
        <v>0</v>
      </c>
      <c r="N576" s="7">
        <f t="shared" si="309"/>
        <v>0</v>
      </c>
    </row>
    <row r="577" spans="1:14" ht="15.75" x14ac:dyDescent="0.25">
      <c r="A577" s="31" t="s">
        <v>190</v>
      </c>
      <c r="B577" s="21" t="s">
        <v>386</v>
      </c>
      <c r="C577" s="42" t="s">
        <v>169</v>
      </c>
      <c r="D577" s="42" t="s">
        <v>191</v>
      </c>
      <c r="E577" s="2"/>
      <c r="F577" s="2"/>
      <c r="G577" s="7">
        <f>G581+G586+G589</f>
        <v>20</v>
      </c>
      <c r="H577" s="7">
        <f t="shared" ref="H577:K577" si="341">H581+H586+H589</f>
        <v>20</v>
      </c>
      <c r="I577" s="7">
        <f t="shared" si="341"/>
        <v>0</v>
      </c>
      <c r="J577" s="7">
        <f t="shared" si="341"/>
        <v>0</v>
      </c>
      <c r="K577" s="7">
        <f t="shared" si="341"/>
        <v>0</v>
      </c>
      <c r="L577" s="7">
        <f>L581+L586+L589+L578+L592</f>
        <v>60</v>
      </c>
      <c r="M577" s="7">
        <f t="shared" ref="M577" si="342">M581+M586+M589+M578+M592</f>
        <v>0</v>
      </c>
      <c r="N577" s="7">
        <f t="shared" si="309"/>
        <v>0</v>
      </c>
    </row>
    <row r="578" spans="1:14" ht="31.5" x14ac:dyDescent="0.25">
      <c r="A578" s="26" t="s">
        <v>387</v>
      </c>
      <c r="B578" s="21" t="s">
        <v>388</v>
      </c>
      <c r="C578" s="42" t="s">
        <v>169</v>
      </c>
      <c r="D578" s="42" t="s">
        <v>191</v>
      </c>
      <c r="E578" s="2"/>
      <c r="F578" s="2"/>
      <c r="G578" s="7">
        <f>G579</f>
        <v>0</v>
      </c>
      <c r="H578" s="7">
        <f t="shared" ref="H578:M579" si="343">H579</f>
        <v>0</v>
      </c>
      <c r="I578" s="7">
        <f t="shared" si="343"/>
        <v>50</v>
      </c>
      <c r="J578" s="7">
        <f t="shared" si="343"/>
        <v>50</v>
      </c>
      <c r="K578" s="7">
        <f t="shared" si="343"/>
        <v>50</v>
      </c>
      <c r="L578" s="7">
        <f t="shared" si="343"/>
        <v>50</v>
      </c>
      <c r="M578" s="7">
        <f t="shared" si="343"/>
        <v>0</v>
      </c>
      <c r="N578" s="7">
        <f t="shared" si="309"/>
        <v>0</v>
      </c>
    </row>
    <row r="579" spans="1:14" ht="31.5" x14ac:dyDescent="0.25">
      <c r="A579" s="26" t="s">
        <v>182</v>
      </c>
      <c r="B579" s="21" t="s">
        <v>388</v>
      </c>
      <c r="C579" s="42" t="s">
        <v>169</v>
      </c>
      <c r="D579" s="42" t="s">
        <v>191</v>
      </c>
      <c r="E579" s="2">
        <v>200</v>
      </c>
      <c r="F579" s="2"/>
      <c r="G579" s="7">
        <f>G580</f>
        <v>0</v>
      </c>
      <c r="H579" s="7">
        <f t="shared" si="343"/>
        <v>0</v>
      </c>
      <c r="I579" s="7">
        <f t="shared" si="343"/>
        <v>50</v>
      </c>
      <c r="J579" s="7">
        <f t="shared" si="343"/>
        <v>50</v>
      </c>
      <c r="K579" s="7">
        <f t="shared" si="343"/>
        <v>50</v>
      </c>
      <c r="L579" s="7">
        <f t="shared" si="343"/>
        <v>50</v>
      </c>
      <c r="M579" s="7">
        <f t="shared" si="343"/>
        <v>0</v>
      </c>
      <c r="N579" s="7">
        <f t="shared" si="309"/>
        <v>0</v>
      </c>
    </row>
    <row r="580" spans="1:14" ht="31.5" x14ac:dyDescent="0.25">
      <c r="A580" s="26" t="s">
        <v>184</v>
      </c>
      <c r="B580" s="21" t="s">
        <v>388</v>
      </c>
      <c r="C580" s="42" t="s">
        <v>169</v>
      </c>
      <c r="D580" s="42" t="s">
        <v>191</v>
      </c>
      <c r="E580" s="2">
        <v>240</v>
      </c>
      <c r="F580" s="2"/>
      <c r="G580" s="7">
        <v>0</v>
      </c>
      <c r="H580" s="7">
        <v>0</v>
      </c>
      <c r="I580" s="7">
        <f>'Прил.№4 ведомств.'!J583</f>
        <v>50</v>
      </c>
      <c r="J580" s="7">
        <f>'Прил.№4 ведомств.'!K583</f>
        <v>50</v>
      </c>
      <c r="K580" s="7">
        <f>'Прил.№4 ведомств.'!L583</f>
        <v>50</v>
      </c>
      <c r="L580" s="7">
        <f>'Прил.№4 ведомств.'!M583</f>
        <v>50</v>
      </c>
      <c r="M580" s="7">
        <f>'Прил.№4 ведомств.'!N583</f>
        <v>0</v>
      </c>
      <c r="N580" s="7">
        <f t="shared" si="309"/>
        <v>0</v>
      </c>
    </row>
    <row r="581" spans="1:14" ht="31.5" hidden="1" x14ac:dyDescent="0.25">
      <c r="A581" s="26" t="s">
        <v>387</v>
      </c>
      <c r="B581" s="21" t="s">
        <v>529</v>
      </c>
      <c r="C581" s="42" t="s">
        <v>169</v>
      </c>
      <c r="D581" s="42" t="s">
        <v>191</v>
      </c>
      <c r="E581" s="2"/>
      <c r="F581" s="2"/>
      <c r="G581" s="7">
        <f>G584+G582</f>
        <v>20</v>
      </c>
      <c r="H581" s="7">
        <f t="shared" ref="H581:L581" si="344">H584+H582</f>
        <v>20</v>
      </c>
      <c r="I581" s="7">
        <f t="shared" si="344"/>
        <v>0</v>
      </c>
      <c r="J581" s="7">
        <f t="shared" si="344"/>
        <v>0</v>
      </c>
      <c r="K581" s="7">
        <f t="shared" si="344"/>
        <v>0</v>
      </c>
      <c r="L581" s="7">
        <f t="shared" si="344"/>
        <v>0</v>
      </c>
      <c r="M581" s="7">
        <f t="shared" ref="M581" si="345">M584+M582</f>
        <v>0</v>
      </c>
      <c r="N581" s="7" t="e">
        <f t="shared" si="309"/>
        <v>#DIV/0!</v>
      </c>
    </row>
    <row r="582" spans="1:14" ht="78.75" hidden="1" x14ac:dyDescent="0.25">
      <c r="A582" s="26" t="s">
        <v>178</v>
      </c>
      <c r="B582" s="21" t="s">
        <v>529</v>
      </c>
      <c r="C582" s="42" t="s">
        <v>169</v>
      </c>
      <c r="D582" s="42" t="s">
        <v>191</v>
      </c>
      <c r="E582" s="2">
        <v>100</v>
      </c>
      <c r="F582" s="2"/>
      <c r="G582" s="7">
        <f>G583</f>
        <v>5</v>
      </c>
      <c r="H582" s="7">
        <f t="shared" ref="H582:M582" si="346">H583</f>
        <v>5</v>
      </c>
      <c r="I582" s="7">
        <f t="shared" si="346"/>
        <v>0</v>
      </c>
      <c r="J582" s="7">
        <f t="shared" si="346"/>
        <v>0</v>
      </c>
      <c r="K582" s="7">
        <f t="shared" si="346"/>
        <v>0</v>
      </c>
      <c r="L582" s="7">
        <f t="shared" si="346"/>
        <v>0</v>
      </c>
      <c r="M582" s="7">
        <f t="shared" si="346"/>
        <v>0</v>
      </c>
      <c r="N582" s="7" t="e">
        <f t="shared" si="309"/>
        <v>#DIV/0!</v>
      </c>
    </row>
    <row r="583" spans="1:14" ht="15.75" hidden="1" x14ac:dyDescent="0.25">
      <c r="A583" s="26" t="s">
        <v>393</v>
      </c>
      <c r="B583" s="21" t="s">
        <v>529</v>
      </c>
      <c r="C583" s="42" t="s">
        <v>169</v>
      </c>
      <c r="D583" s="42" t="s">
        <v>191</v>
      </c>
      <c r="E583" s="2">
        <v>110</v>
      </c>
      <c r="F583" s="2"/>
      <c r="G583" s="7">
        <v>5</v>
      </c>
      <c r="H583" s="7">
        <v>5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 t="e">
        <f t="shared" si="309"/>
        <v>#DIV/0!</v>
      </c>
    </row>
    <row r="584" spans="1:14" ht="31.5" hidden="1" x14ac:dyDescent="0.25">
      <c r="A584" s="26" t="s">
        <v>182</v>
      </c>
      <c r="B584" s="21" t="s">
        <v>529</v>
      </c>
      <c r="C584" s="42" t="s">
        <v>169</v>
      </c>
      <c r="D584" s="42" t="s">
        <v>191</v>
      </c>
      <c r="E584" s="2">
        <v>200</v>
      </c>
      <c r="F584" s="2"/>
      <c r="G584" s="7">
        <f>G585</f>
        <v>15</v>
      </c>
      <c r="H584" s="7">
        <f t="shared" ref="H584:M584" si="347">H585</f>
        <v>15</v>
      </c>
      <c r="I584" s="7">
        <f t="shared" si="347"/>
        <v>0</v>
      </c>
      <c r="J584" s="7">
        <f t="shared" si="347"/>
        <v>0</v>
      </c>
      <c r="K584" s="7">
        <f t="shared" si="347"/>
        <v>0</v>
      </c>
      <c r="L584" s="7">
        <f t="shared" si="347"/>
        <v>0</v>
      </c>
      <c r="M584" s="7">
        <f t="shared" si="347"/>
        <v>0</v>
      </c>
      <c r="N584" s="7" t="e">
        <f t="shared" si="309"/>
        <v>#DIV/0!</v>
      </c>
    </row>
    <row r="585" spans="1:14" ht="31.5" hidden="1" x14ac:dyDescent="0.25">
      <c r="A585" s="26" t="s">
        <v>184</v>
      </c>
      <c r="B585" s="21" t="s">
        <v>529</v>
      </c>
      <c r="C585" s="42" t="s">
        <v>169</v>
      </c>
      <c r="D585" s="42" t="s">
        <v>191</v>
      </c>
      <c r="E585" s="2">
        <v>240</v>
      </c>
      <c r="F585" s="2"/>
      <c r="G585" s="7">
        <v>15</v>
      </c>
      <c r="H585" s="7">
        <v>15</v>
      </c>
      <c r="I585" s="7">
        <f>'Прил.№4 ведомств.'!J418</f>
        <v>0</v>
      </c>
      <c r="J585" s="7">
        <f>'Прил.№4 ведомств.'!K418</f>
        <v>0</v>
      </c>
      <c r="K585" s="7">
        <f>'Прил.№4 ведомств.'!L418</f>
        <v>0</v>
      </c>
      <c r="L585" s="7">
        <f>'Прил.№4 ведомств.'!M418</f>
        <v>0</v>
      </c>
      <c r="M585" s="7">
        <f>'Прил.№4 ведомств.'!N418</f>
        <v>0</v>
      </c>
      <c r="N585" s="7" t="e">
        <f t="shared" si="309"/>
        <v>#DIV/0!</v>
      </c>
    </row>
    <row r="586" spans="1:14" ht="31.5" hidden="1" x14ac:dyDescent="0.25">
      <c r="A586" s="26" t="s">
        <v>389</v>
      </c>
      <c r="B586" s="21" t="s">
        <v>390</v>
      </c>
      <c r="C586" s="42" t="s">
        <v>169</v>
      </c>
      <c r="D586" s="42" t="s">
        <v>191</v>
      </c>
      <c r="E586" s="2"/>
      <c r="F586" s="2"/>
      <c r="G586" s="7">
        <f>G587</f>
        <v>0</v>
      </c>
      <c r="H586" s="7">
        <f t="shared" ref="H586:M587" si="348">H587</f>
        <v>0</v>
      </c>
      <c r="I586" s="7">
        <f t="shared" si="348"/>
        <v>0</v>
      </c>
      <c r="J586" s="7">
        <f t="shared" si="348"/>
        <v>0</v>
      </c>
      <c r="K586" s="7">
        <f t="shared" si="348"/>
        <v>0</v>
      </c>
      <c r="L586" s="7">
        <f t="shared" si="348"/>
        <v>0</v>
      </c>
      <c r="M586" s="7">
        <f t="shared" si="348"/>
        <v>0</v>
      </c>
      <c r="N586" s="7" t="e">
        <f t="shared" si="309"/>
        <v>#DIV/0!</v>
      </c>
    </row>
    <row r="587" spans="1:14" ht="31.5" hidden="1" x14ac:dyDescent="0.25">
      <c r="A587" s="26" t="s">
        <v>182</v>
      </c>
      <c r="B587" s="21" t="s">
        <v>390</v>
      </c>
      <c r="C587" s="42" t="s">
        <v>169</v>
      </c>
      <c r="D587" s="42" t="s">
        <v>191</v>
      </c>
      <c r="E587" s="2">
        <v>200</v>
      </c>
      <c r="F587" s="2"/>
      <c r="G587" s="7">
        <f>G588</f>
        <v>0</v>
      </c>
      <c r="H587" s="7">
        <f t="shared" si="348"/>
        <v>0</v>
      </c>
      <c r="I587" s="7">
        <f t="shared" si="348"/>
        <v>0</v>
      </c>
      <c r="J587" s="7">
        <f t="shared" si="348"/>
        <v>0</v>
      </c>
      <c r="K587" s="7">
        <f t="shared" si="348"/>
        <v>0</v>
      </c>
      <c r="L587" s="7">
        <f t="shared" si="348"/>
        <v>0</v>
      </c>
      <c r="M587" s="7">
        <f t="shared" si="348"/>
        <v>0</v>
      </c>
      <c r="N587" s="7" t="e">
        <f t="shared" si="309"/>
        <v>#DIV/0!</v>
      </c>
    </row>
    <row r="588" spans="1:14" ht="31.5" hidden="1" x14ac:dyDescent="0.25">
      <c r="A588" s="26" t="s">
        <v>184</v>
      </c>
      <c r="B588" s="21" t="s">
        <v>390</v>
      </c>
      <c r="C588" s="42" t="s">
        <v>169</v>
      </c>
      <c r="D588" s="42" t="s">
        <v>191</v>
      </c>
      <c r="E588" s="2">
        <v>240</v>
      </c>
      <c r="F588" s="2"/>
      <c r="G588" s="7">
        <v>0</v>
      </c>
      <c r="H588" s="7">
        <v>0</v>
      </c>
      <c r="I588" s="7">
        <f>'Прил.№4 ведомств.'!J424</f>
        <v>0</v>
      </c>
      <c r="J588" s="7">
        <f>'Прил.№4 ведомств.'!K424</f>
        <v>0</v>
      </c>
      <c r="K588" s="7">
        <f>'Прил.№4 ведомств.'!L424</f>
        <v>0</v>
      </c>
      <c r="L588" s="7">
        <f>'Прил.№4 ведомств.'!M424</f>
        <v>0</v>
      </c>
      <c r="M588" s="7">
        <f>'Прил.№4 ведомств.'!N424</f>
        <v>0</v>
      </c>
      <c r="N588" s="7" t="e">
        <f t="shared" si="309"/>
        <v>#DIV/0!</v>
      </c>
    </row>
    <row r="589" spans="1:14" ht="31.5" hidden="1" x14ac:dyDescent="0.25">
      <c r="A589" s="26" t="s">
        <v>760</v>
      </c>
      <c r="B589" s="21" t="s">
        <v>761</v>
      </c>
      <c r="C589" s="42" t="s">
        <v>169</v>
      </c>
      <c r="D589" s="42" t="s">
        <v>191</v>
      </c>
      <c r="E589" s="2"/>
      <c r="F589" s="2"/>
      <c r="G589" s="7">
        <f>G590</f>
        <v>0</v>
      </c>
      <c r="H589" s="7">
        <f t="shared" ref="H589:M590" si="349">H590</f>
        <v>0</v>
      </c>
      <c r="I589" s="7">
        <f t="shared" si="349"/>
        <v>0</v>
      </c>
      <c r="J589" s="7">
        <f t="shared" si="349"/>
        <v>0</v>
      </c>
      <c r="K589" s="7">
        <f t="shared" si="349"/>
        <v>0</v>
      </c>
      <c r="L589" s="7">
        <f t="shared" si="349"/>
        <v>0</v>
      </c>
      <c r="M589" s="7">
        <f t="shared" si="349"/>
        <v>0</v>
      </c>
      <c r="N589" s="7" t="e">
        <f t="shared" ref="N589:N635" si="350">M589/L589*100</f>
        <v>#DIV/0!</v>
      </c>
    </row>
    <row r="590" spans="1:14" ht="31.5" hidden="1" x14ac:dyDescent="0.25">
      <c r="A590" s="26" t="s">
        <v>182</v>
      </c>
      <c r="B590" s="21" t="s">
        <v>761</v>
      </c>
      <c r="C590" s="42" t="s">
        <v>169</v>
      </c>
      <c r="D590" s="42" t="s">
        <v>191</v>
      </c>
      <c r="E590" s="2">
        <v>200</v>
      </c>
      <c r="F590" s="2"/>
      <c r="G590" s="7">
        <f>G591</f>
        <v>0</v>
      </c>
      <c r="H590" s="7">
        <f t="shared" si="349"/>
        <v>0</v>
      </c>
      <c r="I590" s="7">
        <f t="shared" si="349"/>
        <v>0</v>
      </c>
      <c r="J590" s="7">
        <f t="shared" si="349"/>
        <v>0</v>
      </c>
      <c r="K590" s="7">
        <f t="shared" si="349"/>
        <v>0</v>
      </c>
      <c r="L590" s="7">
        <f t="shared" si="349"/>
        <v>0</v>
      </c>
      <c r="M590" s="7">
        <f t="shared" si="349"/>
        <v>0</v>
      </c>
      <c r="N590" s="7" t="e">
        <f t="shared" si="350"/>
        <v>#DIV/0!</v>
      </c>
    </row>
    <row r="591" spans="1:14" ht="31.5" hidden="1" x14ac:dyDescent="0.25">
      <c r="A591" s="26" t="s">
        <v>184</v>
      </c>
      <c r="B591" s="21" t="s">
        <v>761</v>
      </c>
      <c r="C591" s="42" t="s">
        <v>169</v>
      </c>
      <c r="D591" s="42" t="s">
        <v>191</v>
      </c>
      <c r="E591" s="2">
        <v>240</v>
      </c>
      <c r="F591" s="2"/>
      <c r="G591" s="7">
        <v>0</v>
      </c>
      <c r="H591" s="7">
        <v>0</v>
      </c>
      <c r="I591" s="7">
        <f>'Прил.№4 ведомств.'!J430</f>
        <v>0</v>
      </c>
      <c r="J591" s="7">
        <f>'Прил.№4 ведомств.'!K430</f>
        <v>0</v>
      </c>
      <c r="K591" s="7">
        <f>'Прил.№4 ведомств.'!L430</f>
        <v>0</v>
      </c>
      <c r="L591" s="7">
        <f>'Прил.№4 ведомств.'!M430</f>
        <v>0</v>
      </c>
      <c r="M591" s="7">
        <f>'Прил.№4 ведомств.'!N430</f>
        <v>0</v>
      </c>
      <c r="N591" s="7" t="e">
        <f t="shared" si="350"/>
        <v>#DIV/0!</v>
      </c>
    </row>
    <row r="592" spans="1:14" ht="15.75" x14ac:dyDescent="0.25">
      <c r="A592" s="33" t="s">
        <v>924</v>
      </c>
      <c r="B592" s="21" t="s">
        <v>923</v>
      </c>
      <c r="C592" s="42" t="s">
        <v>169</v>
      </c>
      <c r="D592" s="42" t="s">
        <v>191</v>
      </c>
      <c r="E592" s="2"/>
      <c r="F592" s="2"/>
      <c r="G592" s="7">
        <f>G593</f>
        <v>0</v>
      </c>
      <c r="H592" s="7">
        <f t="shared" ref="H592:M593" si="351">H593</f>
        <v>0</v>
      </c>
      <c r="I592" s="7">
        <f t="shared" si="351"/>
        <v>10</v>
      </c>
      <c r="J592" s="7">
        <f t="shared" si="351"/>
        <v>10</v>
      </c>
      <c r="K592" s="7">
        <f t="shared" si="351"/>
        <v>10</v>
      </c>
      <c r="L592" s="7">
        <f t="shared" si="351"/>
        <v>10</v>
      </c>
      <c r="M592" s="7">
        <f t="shared" si="351"/>
        <v>0</v>
      </c>
      <c r="N592" s="7">
        <f t="shared" si="350"/>
        <v>0</v>
      </c>
    </row>
    <row r="593" spans="1:14" ht="31.5" x14ac:dyDescent="0.25">
      <c r="A593" s="26" t="s">
        <v>182</v>
      </c>
      <c r="B593" s="21" t="s">
        <v>923</v>
      </c>
      <c r="C593" s="42" t="s">
        <v>169</v>
      </c>
      <c r="D593" s="42" t="s">
        <v>191</v>
      </c>
      <c r="E593" s="2">
        <v>200</v>
      </c>
      <c r="F593" s="2"/>
      <c r="G593" s="7">
        <f>G594</f>
        <v>0</v>
      </c>
      <c r="H593" s="7">
        <f t="shared" si="351"/>
        <v>0</v>
      </c>
      <c r="I593" s="7">
        <f t="shared" si="351"/>
        <v>10</v>
      </c>
      <c r="J593" s="7">
        <f t="shared" si="351"/>
        <v>10</v>
      </c>
      <c r="K593" s="7">
        <f t="shared" si="351"/>
        <v>10</v>
      </c>
      <c r="L593" s="7">
        <f t="shared" si="351"/>
        <v>10</v>
      </c>
      <c r="M593" s="7">
        <f t="shared" si="351"/>
        <v>0</v>
      </c>
      <c r="N593" s="7">
        <f t="shared" si="350"/>
        <v>0</v>
      </c>
    </row>
    <row r="594" spans="1:14" ht="31.5" x14ac:dyDescent="0.25">
      <c r="A594" s="26" t="s">
        <v>184</v>
      </c>
      <c r="B594" s="21" t="s">
        <v>923</v>
      </c>
      <c r="C594" s="42" t="s">
        <v>169</v>
      </c>
      <c r="D594" s="42" t="s">
        <v>191</v>
      </c>
      <c r="E594" s="2">
        <v>240</v>
      </c>
      <c r="F594" s="2"/>
      <c r="G594" s="7">
        <v>0</v>
      </c>
      <c r="H594" s="7">
        <v>0</v>
      </c>
      <c r="I594" s="7">
        <f>'Прил.№4 ведомств.'!J586</f>
        <v>10</v>
      </c>
      <c r="J594" s="7">
        <f>'Прил.№4 ведомств.'!K586</f>
        <v>10</v>
      </c>
      <c r="K594" s="7">
        <f>'Прил.№4 ведомств.'!L586</f>
        <v>10</v>
      </c>
      <c r="L594" s="7">
        <f>'Прил.№4 ведомств.'!M586</f>
        <v>10</v>
      </c>
      <c r="M594" s="7">
        <f>'Прил.№4 ведомств.'!N586</f>
        <v>0</v>
      </c>
      <c r="N594" s="7">
        <f t="shared" si="350"/>
        <v>0</v>
      </c>
    </row>
    <row r="595" spans="1:14" ht="31.5" x14ac:dyDescent="0.25">
      <c r="A595" s="47" t="s">
        <v>455</v>
      </c>
      <c r="B595" s="21" t="s">
        <v>386</v>
      </c>
      <c r="C595" s="42" t="s">
        <v>169</v>
      </c>
      <c r="D595" s="42" t="s">
        <v>191</v>
      </c>
      <c r="E595" s="2"/>
      <c r="F595" s="2">
        <v>906</v>
      </c>
      <c r="G595" s="7">
        <f>G581+G586+G589+G578+G592</f>
        <v>20</v>
      </c>
      <c r="H595" s="7">
        <f t="shared" ref="H595:K595" si="352">H581+H586+H589+H578+H592</f>
        <v>20</v>
      </c>
      <c r="I595" s="7">
        <f t="shared" si="352"/>
        <v>60</v>
      </c>
      <c r="J595" s="7">
        <f t="shared" si="352"/>
        <v>60</v>
      </c>
      <c r="K595" s="7">
        <f t="shared" si="352"/>
        <v>60</v>
      </c>
      <c r="L595" s="7">
        <f>L577</f>
        <v>60</v>
      </c>
      <c r="M595" s="7">
        <f t="shared" ref="M595" si="353">M577</f>
        <v>0</v>
      </c>
      <c r="N595" s="7">
        <f t="shared" si="350"/>
        <v>0</v>
      </c>
    </row>
    <row r="596" spans="1:14" ht="63" x14ac:dyDescent="0.25">
      <c r="A596" s="43" t="s">
        <v>801</v>
      </c>
      <c r="B596" s="25" t="s">
        <v>799</v>
      </c>
      <c r="C596" s="8"/>
      <c r="D596" s="8"/>
      <c r="E596" s="3"/>
      <c r="F596" s="3"/>
      <c r="G596" s="4" t="e">
        <f>G597+#REF!</f>
        <v>#REF!</v>
      </c>
      <c r="H596" s="4" t="e">
        <f>H597+#REF!</f>
        <v>#REF!</v>
      </c>
      <c r="I596" s="4" t="e">
        <f>I597+#REF!</f>
        <v>#REF!</v>
      </c>
      <c r="J596" s="4" t="e">
        <f>J597+#REF!</f>
        <v>#REF!</v>
      </c>
      <c r="K596" s="4" t="e">
        <f>K597+#REF!</f>
        <v>#REF!</v>
      </c>
      <c r="L596" s="4">
        <f>L597</f>
        <v>4285.1000000000004</v>
      </c>
      <c r="M596" s="4">
        <f t="shared" ref="M596:M597" si="354">M597</f>
        <v>3738</v>
      </c>
      <c r="N596" s="4">
        <f t="shared" si="350"/>
        <v>87.232503325476642</v>
      </c>
    </row>
    <row r="597" spans="1:14" s="150" customFormat="1" ht="15.75" x14ac:dyDescent="0.25">
      <c r="A597" s="31" t="s">
        <v>168</v>
      </c>
      <c r="B597" s="21" t="s">
        <v>799</v>
      </c>
      <c r="C597" s="42" t="s">
        <v>169</v>
      </c>
      <c r="D597" s="42"/>
      <c r="E597" s="2"/>
      <c r="F597" s="2"/>
      <c r="G597" s="7" t="e">
        <f>G598</f>
        <v>#REF!</v>
      </c>
      <c r="H597" s="7" t="e">
        <f t="shared" ref="H597:K597" si="355">H598</f>
        <v>#REF!</v>
      </c>
      <c r="I597" s="7" t="e">
        <f t="shared" si="355"/>
        <v>#REF!</v>
      </c>
      <c r="J597" s="7" t="e">
        <f t="shared" si="355"/>
        <v>#REF!</v>
      </c>
      <c r="K597" s="7" t="e">
        <f t="shared" si="355"/>
        <v>#REF!</v>
      </c>
      <c r="L597" s="7">
        <f>L598</f>
        <v>4285.1000000000004</v>
      </c>
      <c r="M597" s="7">
        <f t="shared" si="354"/>
        <v>3738</v>
      </c>
      <c r="N597" s="7">
        <f t="shared" si="350"/>
        <v>87.232503325476642</v>
      </c>
    </row>
    <row r="598" spans="1:14" s="150" customFormat="1" ht="15.75" x14ac:dyDescent="0.25">
      <c r="A598" s="31" t="s">
        <v>190</v>
      </c>
      <c r="B598" s="21" t="s">
        <v>799</v>
      </c>
      <c r="C598" s="42" t="s">
        <v>169</v>
      </c>
      <c r="D598" s="42" t="s">
        <v>191</v>
      </c>
      <c r="E598" s="2"/>
      <c r="F598" s="2"/>
      <c r="G598" s="7" t="e">
        <f>G599+#REF!</f>
        <v>#REF!</v>
      </c>
      <c r="H598" s="7" t="e">
        <f>H599+#REF!</f>
        <v>#REF!</v>
      </c>
      <c r="I598" s="7" t="e">
        <f>I599+#REF!</f>
        <v>#REF!</v>
      </c>
      <c r="J598" s="7" t="e">
        <f>J599+#REF!</f>
        <v>#REF!</v>
      </c>
      <c r="K598" s="7" t="e">
        <f>K599+#REF!</f>
        <v>#REF!</v>
      </c>
      <c r="L598" s="7">
        <f>L605+L609+L614+L618+L619+L620</f>
        <v>4285.1000000000004</v>
      </c>
      <c r="M598" s="7">
        <f t="shared" ref="M598" si="356">M605+M609+M614+M618+M619+M620</f>
        <v>3738</v>
      </c>
      <c r="N598" s="7">
        <f t="shared" si="350"/>
        <v>87.232503325476642</v>
      </c>
    </row>
    <row r="599" spans="1:14" ht="31.5" x14ac:dyDescent="0.25">
      <c r="A599" s="33" t="s">
        <v>208</v>
      </c>
      <c r="B599" s="21" t="s">
        <v>927</v>
      </c>
      <c r="C599" s="42" t="s">
        <v>169</v>
      </c>
      <c r="D599" s="42" t="s">
        <v>191</v>
      </c>
      <c r="E599" s="2"/>
      <c r="F599" s="2"/>
      <c r="G599" s="7">
        <f>G600</f>
        <v>29</v>
      </c>
      <c r="H599" s="7">
        <f t="shared" ref="H599:M600" si="357">H600</f>
        <v>29</v>
      </c>
      <c r="I599" s="7">
        <f t="shared" si="357"/>
        <v>0</v>
      </c>
      <c r="J599" s="7">
        <f t="shared" si="357"/>
        <v>0</v>
      </c>
      <c r="K599" s="7">
        <f t="shared" si="357"/>
        <v>0</v>
      </c>
      <c r="L599" s="7">
        <f t="shared" si="357"/>
        <v>23</v>
      </c>
      <c r="M599" s="7">
        <f t="shared" si="357"/>
        <v>0</v>
      </c>
      <c r="N599" s="7">
        <f t="shared" si="350"/>
        <v>0</v>
      </c>
    </row>
    <row r="600" spans="1:14" ht="31.5" x14ac:dyDescent="0.25">
      <c r="A600" s="26" t="s">
        <v>182</v>
      </c>
      <c r="B600" s="21" t="s">
        <v>927</v>
      </c>
      <c r="C600" s="42" t="s">
        <v>169</v>
      </c>
      <c r="D600" s="42" t="s">
        <v>191</v>
      </c>
      <c r="E600" s="2">
        <v>200</v>
      </c>
      <c r="F600" s="2"/>
      <c r="G600" s="7">
        <f>G601</f>
        <v>29</v>
      </c>
      <c r="H600" s="7">
        <f t="shared" si="357"/>
        <v>29</v>
      </c>
      <c r="I600" s="7">
        <f t="shared" si="357"/>
        <v>0</v>
      </c>
      <c r="J600" s="7">
        <f t="shared" si="357"/>
        <v>0</v>
      </c>
      <c r="K600" s="7">
        <f t="shared" si="357"/>
        <v>0</v>
      </c>
      <c r="L600" s="7">
        <f t="shared" si="357"/>
        <v>23</v>
      </c>
      <c r="M600" s="7">
        <f t="shared" si="357"/>
        <v>0</v>
      </c>
      <c r="N600" s="7">
        <f t="shared" si="350"/>
        <v>0</v>
      </c>
    </row>
    <row r="601" spans="1:14" ht="31.5" x14ac:dyDescent="0.25">
      <c r="A601" s="26" t="s">
        <v>184</v>
      </c>
      <c r="B601" s="21" t="s">
        <v>927</v>
      </c>
      <c r="C601" s="42" t="s">
        <v>169</v>
      </c>
      <c r="D601" s="42" t="s">
        <v>191</v>
      </c>
      <c r="E601" s="2">
        <v>240</v>
      </c>
      <c r="F601" s="2"/>
      <c r="G601" s="7">
        <f>'Прил.№4 ведомств.'!G99</f>
        <v>29</v>
      </c>
      <c r="H601" s="7">
        <f>'Прил.№4 ведомств.'!I99</f>
        <v>29</v>
      </c>
      <c r="I601" s="7">
        <f>'Прил.№4 ведомств.'!J99</f>
        <v>0</v>
      </c>
      <c r="J601" s="7">
        <f>'Прил.№4 ведомств.'!K99</f>
        <v>0</v>
      </c>
      <c r="K601" s="7">
        <f>'Прил.№4 ведомств.'!L99</f>
        <v>0</v>
      </c>
      <c r="L601" s="7">
        <f>'Прил.№4 ведомств.'!M99</f>
        <v>23</v>
      </c>
      <c r="M601" s="7">
        <f>'Прил.№4 ведомств.'!N99</f>
        <v>0</v>
      </c>
      <c r="N601" s="7">
        <f t="shared" si="350"/>
        <v>0</v>
      </c>
    </row>
    <row r="602" spans="1:14" ht="31.5" x14ac:dyDescent="0.25">
      <c r="A602" s="291" t="s">
        <v>930</v>
      </c>
      <c r="B602" s="21" t="s">
        <v>929</v>
      </c>
      <c r="C602" s="42" t="s">
        <v>169</v>
      </c>
      <c r="D602" s="42" t="s">
        <v>191</v>
      </c>
      <c r="E602" s="2"/>
      <c r="F602" s="2"/>
      <c r="G602" s="7">
        <f>G603</f>
        <v>29</v>
      </c>
      <c r="H602" s="7">
        <f t="shared" ref="H602:M603" si="358">H603</f>
        <v>29</v>
      </c>
      <c r="I602" s="7">
        <f t="shared" si="358"/>
        <v>0</v>
      </c>
      <c r="J602" s="7">
        <f t="shared" si="358"/>
        <v>0</v>
      </c>
      <c r="K602" s="7">
        <f t="shared" si="358"/>
        <v>0</v>
      </c>
      <c r="L602" s="7">
        <f t="shared" si="358"/>
        <v>15</v>
      </c>
      <c r="M602" s="7">
        <f t="shared" si="358"/>
        <v>11</v>
      </c>
      <c r="N602" s="7">
        <f t="shared" si="350"/>
        <v>73.333333333333329</v>
      </c>
    </row>
    <row r="603" spans="1:14" ht="31.5" x14ac:dyDescent="0.25">
      <c r="A603" s="26" t="s">
        <v>182</v>
      </c>
      <c r="B603" s="21" t="s">
        <v>929</v>
      </c>
      <c r="C603" s="42" t="s">
        <v>169</v>
      </c>
      <c r="D603" s="42" t="s">
        <v>191</v>
      </c>
      <c r="E603" s="2">
        <v>200</v>
      </c>
      <c r="F603" s="2"/>
      <c r="G603" s="7">
        <f>G604</f>
        <v>29</v>
      </c>
      <c r="H603" s="7">
        <f t="shared" si="358"/>
        <v>29</v>
      </c>
      <c r="I603" s="7">
        <f t="shared" si="358"/>
        <v>0</v>
      </c>
      <c r="J603" s="7">
        <f t="shared" si="358"/>
        <v>0</v>
      </c>
      <c r="K603" s="7">
        <f t="shared" si="358"/>
        <v>0</v>
      </c>
      <c r="L603" s="7">
        <f t="shared" si="358"/>
        <v>15</v>
      </c>
      <c r="M603" s="7">
        <f t="shared" si="358"/>
        <v>11</v>
      </c>
      <c r="N603" s="7">
        <f t="shared" si="350"/>
        <v>73.333333333333329</v>
      </c>
    </row>
    <row r="604" spans="1:14" ht="31.5" x14ac:dyDescent="0.25">
      <c r="A604" s="26" t="s">
        <v>184</v>
      </c>
      <c r="B604" s="21" t="s">
        <v>929</v>
      </c>
      <c r="C604" s="42" t="s">
        <v>169</v>
      </c>
      <c r="D604" s="42" t="s">
        <v>191</v>
      </c>
      <c r="E604" s="2">
        <v>240</v>
      </c>
      <c r="F604" s="2"/>
      <c r="G604" s="7">
        <f>'Прил.№4 ведомств.'!G105</f>
        <v>29</v>
      </c>
      <c r="H604" s="7">
        <f>'Прил.№4 ведомств.'!I105</f>
        <v>29</v>
      </c>
      <c r="I604" s="7">
        <f>'Прил.№4 ведомств.'!J105</f>
        <v>0</v>
      </c>
      <c r="J604" s="7">
        <f>'Прил.№4 ведомств.'!K105</f>
        <v>0</v>
      </c>
      <c r="K604" s="7">
        <f>'Прил.№4 ведомств.'!L105</f>
        <v>0</v>
      </c>
      <c r="L604" s="7">
        <f>'Прил.№4 ведомств.'!M105</f>
        <v>15</v>
      </c>
      <c r="M604" s="7">
        <f>'Прил.№4 ведомств.'!N105</f>
        <v>11</v>
      </c>
      <c r="N604" s="7">
        <f t="shared" si="350"/>
        <v>73.333333333333329</v>
      </c>
    </row>
    <row r="605" spans="1:14" ht="15.75" x14ac:dyDescent="0.25">
      <c r="A605" s="31" t="s">
        <v>199</v>
      </c>
      <c r="B605" s="21" t="s">
        <v>799</v>
      </c>
      <c r="C605" s="42" t="s">
        <v>169</v>
      </c>
      <c r="D605" s="42" t="s">
        <v>191</v>
      </c>
      <c r="E605" s="2"/>
      <c r="F605" s="2">
        <v>902</v>
      </c>
      <c r="G605" s="7" t="e">
        <f t="shared" ref="G605:K605" si="359">G597</f>
        <v>#REF!</v>
      </c>
      <c r="H605" s="7" t="e">
        <f t="shared" si="359"/>
        <v>#REF!</v>
      </c>
      <c r="I605" s="7" t="e">
        <f t="shared" si="359"/>
        <v>#REF!</v>
      </c>
      <c r="J605" s="7" t="e">
        <f t="shared" si="359"/>
        <v>#REF!</v>
      </c>
      <c r="K605" s="7" t="e">
        <f t="shared" si="359"/>
        <v>#REF!</v>
      </c>
      <c r="L605" s="7">
        <f>L599+L602</f>
        <v>38</v>
      </c>
      <c r="M605" s="7">
        <f t="shared" ref="M605" si="360">M599+M602</f>
        <v>11</v>
      </c>
      <c r="N605" s="7">
        <f t="shared" si="350"/>
        <v>28.947368421052634</v>
      </c>
    </row>
    <row r="606" spans="1:14" ht="31.5" x14ac:dyDescent="0.25">
      <c r="A606" s="33" t="s">
        <v>208</v>
      </c>
      <c r="B606" s="21" t="s">
        <v>927</v>
      </c>
      <c r="C606" s="42" t="s">
        <v>169</v>
      </c>
      <c r="D606" s="42" t="s">
        <v>191</v>
      </c>
      <c r="E606" s="2"/>
      <c r="F606" s="2"/>
      <c r="G606" s="7"/>
      <c r="H606" s="7"/>
      <c r="I606" s="7"/>
      <c r="J606" s="7"/>
      <c r="K606" s="7"/>
      <c r="L606" s="7">
        <f>L607</f>
        <v>5</v>
      </c>
      <c r="M606" s="7">
        <f t="shared" ref="M606:M607" si="361">M607</f>
        <v>0</v>
      </c>
      <c r="N606" s="7">
        <f t="shared" si="350"/>
        <v>0</v>
      </c>
    </row>
    <row r="607" spans="1:14" ht="31.5" x14ac:dyDescent="0.25">
      <c r="A607" s="26" t="s">
        <v>182</v>
      </c>
      <c r="B607" s="21" t="s">
        <v>927</v>
      </c>
      <c r="C607" s="42" t="s">
        <v>169</v>
      </c>
      <c r="D607" s="42" t="s">
        <v>191</v>
      </c>
      <c r="E607" s="2">
        <v>200</v>
      </c>
      <c r="F607" s="2"/>
      <c r="G607" s="7"/>
      <c r="H607" s="7"/>
      <c r="I607" s="7"/>
      <c r="J607" s="7"/>
      <c r="K607" s="7"/>
      <c r="L607" s="7">
        <f>L608</f>
        <v>5</v>
      </c>
      <c r="M607" s="7">
        <f t="shared" si="361"/>
        <v>0</v>
      </c>
      <c r="N607" s="7">
        <f t="shared" si="350"/>
        <v>0</v>
      </c>
    </row>
    <row r="608" spans="1:14" ht="31.5" x14ac:dyDescent="0.25">
      <c r="A608" s="26" t="s">
        <v>184</v>
      </c>
      <c r="B608" s="21" t="s">
        <v>927</v>
      </c>
      <c r="C608" s="42" t="s">
        <v>169</v>
      </c>
      <c r="D608" s="42" t="s">
        <v>191</v>
      </c>
      <c r="E608" s="2">
        <v>240</v>
      </c>
      <c r="F608" s="2"/>
      <c r="G608" s="7"/>
      <c r="H608" s="7"/>
      <c r="I608" s="7"/>
      <c r="J608" s="7"/>
      <c r="K608" s="7"/>
      <c r="L608" s="7">
        <f>'Прил.№4 ведомств.'!M259</f>
        <v>5</v>
      </c>
      <c r="M608" s="7">
        <f>'Прил.№4 ведомств.'!N259</f>
        <v>0</v>
      </c>
      <c r="N608" s="7">
        <f t="shared" si="350"/>
        <v>0</v>
      </c>
    </row>
    <row r="609" spans="1:14" ht="47.25" x14ac:dyDescent="0.25">
      <c r="A609" s="26" t="s">
        <v>312</v>
      </c>
      <c r="B609" s="21" t="s">
        <v>799</v>
      </c>
      <c r="C609" s="42" t="s">
        <v>169</v>
      </c>
      <c r="D609" s="42" t="s">
        <v>191</v>
      </c>
      <c r="E609" s="2"/>
      <c r="F609" s="2">
        <v>903</v>
      </c>
      <c r="G609" s="7"/>
      <c r="H609" s="7"/>
      <c r="I609" s="7"/>
      <c r="J609" s="7"/>
      <c r="K609" s="7"/>
      <c r="L609" s="7">
        <f>L606</f>
        <v>5</v>
      </c>
      <c r="M609" s="7">
        <f t="shared" ref="M609" si="362">M606</f>
        <v>0</v>
      </c>
      <c r="N609" s="7">
        <f t="shared" si="350"/>
        <v>0</v>
      </c>
    </row>
    <row r="610" spans="1:14" ht="31.5" x14ac:dyDescent="0.25">
      <c r="A610" s="47" t="s">
        <v>931</v>
      </c>
      <c r="B610" s="21" t="s">
        <v>932</v>
      </c>
      <c r="C610" s="42" t="s">
        <v>169</v>
      </c>
      <c r="D610" s="42" t="s">
        <v>191</v>
      </c>
      <c r="E610" s="2"/>
      <c r="F610" s="2"/>
      <c r="G610" s="7"/>
      <c r="H610" s="7"/>
      <c r="I610" s="7"/>
      <c r="J610" s="7"/>
      <c r="K610" s="7"/>
      <c r="L610" s="7">
        <f>L611</f>
        <v>63.6</v>
      </c>
      <c r="M610" s="7">
        <f t="shared" ref="M610:M612" si="363">M611</f>
        <v>42.4</v>
      </c>
      <c r="N610" s="7">
        <f t="shared" si="350"/>
        <v>66.666666666666657</v>
      </c>
    </row>
    <row r="611" spans="1:14" ht="31.5" x14ac:dyDescent="0.25">
      <c r="A611" s="47" t="s">
        <v>931</v>
      </c>
      <c r="B611" s="21" t="s">
        <v>932</v>
      </c>
      <c r="C611" s="42" t="s">
        <v>169</v>
      </c>
      <c r="D611" s="42" t="s">
        <v>191</v>
      </c>
      <c r="E611" s="2"/>
      <c r="F611" s="2"/>
      <c r="G611" s="7"/>
      <c r="H611" s="7"/>
      <c r="I611" s="7"/>
      <c r="J611" s="7"/>
      <c r="K611" s="7"/>
      <c r="L611" s="7">
        <f>L612</f>
        <v>63.6</v>
      </c>
      <c r="M611" s="7">
        <f t="shared" si="363"/>
        <v>42.4</v>
      </c>
      <c r="N611" s="7">
        <f t="shared" si="350"/>
        <v>66.666666666666657</v>
      </c>
    </row>
    <row r="612" spans="1:14" ht="31.5" x14ac:dyDescent="0.25">
      <c r="A612" s="26" t="s">
        <v>182</v>
      </c>
      <c r="B612" s="21" t="s">
        <v>932</v>
      </c>
      <c r="C612" s="42" t="s">
        <v>169</v>
      </c>
      <c r="D612" s="42" t="s">
        <v>191</v>
      </c>
      <c r="E612" s="2">
        <v>200</v>
      </c>
      <c r="F612" s="2"/>
      <c r="G612" s="7"/>
      <c r="H612" s="7"/>
      <c r="I612" s="7"/>
      <c r="J612" s="7"/>
      <c r="K612" s="7"/>
      <c r="L612" s="7">
        <f>L613</f>
        <v>63.6</v>
      </c>
      <c r="M612" s="7">
        <f t="shared" si="363"/>
        <v>42.4</v>
      </c>
      <c r="N612" s="7">
        <f t="shared" si="350"/>
        <v>66.666666666666657</v>
      </c>
    </row>
    <row r="613" spans="1:14" ht="31.5" x14ac:dyDescent="0.25">
      <c r="A613" s="26" t="s">
        <v>184</v>
      </c>
      <c r="B613" s="21" t="s">
        <v>932</v>
      </c>
      <c r="C613" s="42" t="s">
        <v>169</v>
      </c>
      <c r="D613" s="42" t="s">
        <v>191</v>
      </c>
      <c r="E613" s="2">
        <v>240</v>
      </c>
      <c r="F613" s="2"/>
      <c r="G613" s="7"/>
      <c r="H613" s="7"/>
      <c r="I613" s="7"/>
      <c r="J613" s="7"/>
      <c r="K613" s="7"/>
      <c r="L613" s="7">
        <f>'Прил.№4 ведомств.'!M1123</f>
        <v>63.6</v>
      </c>
      <c r="M613" s="7">
        <f>'Прил.№4 ведомств.'!N1123</f>
        <v>42.4</v>
      </c>
      <c r="N613" s="7">
        <f t="shared" si="350"/>
        <v>66.666666666666657</v>
      </c>
    </row>
    <row r="614" spans="1:14" ht="15.75" x14ac:dyDescent="0.25">
      <c r="A614" s="47" t="s">
        <v>633</v>
      </c>
      <c r="B614" s="21" t="s">
        <v>799</v>
      </c>
      <c r="C614" s="42" t="s">
        <v>169</v>
      </c>
      <c r="D614" s="42" t="s">
        <v>191</v>
      </c>
      <c r="E614" s="2"/>
      <c r="F614" s="2">
        <v>913</v>
      </c>
      <c r="G614" s="7"/>
      <c r="H614" s="7"/>
      <c r="I614" s="7"/>
      <c r="J614" s="7"/>
      <c r="K614" s="7"/>
      <c r="L614" s="7">
        <f>L611</f>
        <v>63.6</v>
      </c>
      <c r="M614" s="7">
        <f t="shared" ref="M614" si="364">M611</f>
        <v>42.4</v>
      </c>
      <c r="N614" s="7">
        <f t="shared" si="350"/>
        <v>66.666666666666657</v>
      </c>
    </row>
    <row r="615" spans="1:14" ht="47.25" x14ac:dyDescent="0.25">
      <c r="A615" s="47" t="s">
        <v>945</v>
      </c>
      <c r="B615" s="21" t="s">
        <v>946</v>
      </c>
      <c r="C615" s="42" t="s">
        <v>169</v>
      </c>
      <c r="D615" s="42" t="s">
        <v>191</v>
      </c>
      <c r="E615" s="2"/>
      <c r="F615" s="2"/>
      <c r="G615" s="7"/>
      <c r="H615" s="7"/>
      <c r="I615" s="7"/>
      <c r="J615" s="7"/>
      <c r="K615" s="7"/>
      <c r="L615" s="7">
        <f>L616</f>
        <v>4178.5</v>
      </c>
      <c r="M615" s="7">
        <f t="shared" ref="M615:M616" si="365">M616</f>
        <v>3684.6</v>
      </c>
      <c r="N615" s="7">
        <f t="shared" si="350"/>
        <v>88.179968888357067</v>
      </c>
    </row>
    <row r="616" spans="1:14" ht="31.5" x14ac:dyDescent="0.25">
      <c r="A616" s="31" t="s">
        <v>323</v>
      </c>
      <c r="B616" s="21" t="s">
        <v>946</v>
      </c>
      <c r="C616" s="42" t="s">
        <v>169</v>
      </c>
      <c r="D616" s="42" t="s">
        <v>191</v>
      </c>
      <c r="E616" s="2">
        <v>600</v>
      </c>
      <c r="F616" s="2"/>
      <c r="G616" s="7"/>
      <c r="H616" s="7"/>
      <c r="I616" s="7"/>
      <c r="J616" s="7"/>
      <c r="K616" s="7"/>
      <c r="L616" s="7">
        <f>L617</f>
        <v>4178.5</v>
      </c>
      <c r="M616" s="7">
        <f t="shared" si="365"/>
        <v>3684.6</v>
      </c>
      <c r="N616" s="7">
        <f t="shared" si="350"/>
        <v>88.179968888357067</v>
      </c>
    </row>
    <row r="617" spans="1:14" ht="15.75" x14ac:dyDescent="0.25">
      <c r="A617" s="262" t="s">
        <v>325</v>
      </c>
      <c r="B617" s="21" t="s">
        <v>946</v>
      </c>
      <c r="C617" s="42" t="s">
        <v>169</v>
      </c>
      <c r="D617" s="42" t="s">
        <v>191</v>
      </c>
      <c r="E617" s="2">
        <v>610</v>
      </c>
      <c r="F617" s="2"/>
      <c r="G617" s="7"/>
      <c r="H617" s="7"/>
      <c r="I617" s="7"/>
      <c r="J617" s="7"/>
      <c r="K617" s="7"/>
      <c r="L617" s="7">
        <f>L618+L619+L620</f>
        <v>4178.5</v>
      </c>
      <c r="M617" s="7">
        <f t="shared" ref="M617" si="366">M618+M619+M620</f>
        <v>3684.6</v>
      </c>
      <c r="N617" s="7">
        <f t="shared" si="350"/>
        <v>88.179968888357067</v>
      </c>
    </row>
    <row r="618" spans="1:14" ht="47.25" x14ac:dyDescent="0.25">
      <c r="A618" s="26" t="s">
        <v>312</v>
      </c>
      <c r="B618" s="21" t="s">
        <v>946</v>
      </c>
      <c r="C618" s="42" t="s">
        <v>169</v>
      </c>
      <c r="D618" s="42" t="s">
        <v>191</v>
      </c>
      <c r="E618" s="2"/>
      <c r="F618" s="2">
        <v>903</v>
      </c>
      <c r="G618" s="7"/>
      <c r="H618" s="7"/>
      <c r="I618" s="7"/>
      <c r="J618" s="7"/>
      <c r="K618" s="7"/>
      <c r="L618" s="7">
        <f>'Прил.№4 ведомств.'!M281</f>
        <v>1671.6000000000001</v>
      </c>
      <c r="M618" s="7">
        <f>'Прил.№4 ведомств.'!N281</f>
        <v>1572</v>
      </c>
      <c r="N618" s="7">
        <f t="shared" si="350"/>
        <v>94.041636755204578</v>
      </c>
    </row>
    <row r="619" spans="1:14" ht="31.5" x14ac:dyDescent="0.25">
      <c r="A619" s="47" t="s">
        <v>455</v>
      </c>
      <c r="B619" s="21" t="s">
        <v>946</v>
      </c>
      <c r="C619" s="42" t="s">
        <v>169</v>
      </c>
      <c r="D619" s="42" t="s">
        <v>191</v>
      </c>
      <c r="E619" s="2"/>
      <c r="F619" s="2">
        <v>906</v>
      </c>
      <c r="G619" s="7"/>
      <c r="H619" s="7"/>
      <c r="I619" s="7"/>
      <c r="J619" s="7"/>
      <c r="K619" s="7"/>
      <c r="L619" s="7">
        <f>'Прил.№4 ведомств.'!M595</f>
        <v>1638.3</v>
      </c>
      <c r="M619" s="7">
        <f>'Прил.№4 ведомств.'!N595</f>
        <v>1368</v>
      </c>
      <c r="N619" s="7">
        <f t="shared" si="350"/>
        <v>83.50119025819447</v>
      </c>
    </row>
    <row r="620" spans="1:14" ht="31.5" x14ac:dyDescent="0.25">
      <c r="A620" s="47" t="s">
        <v>532</v>
      </c>
      <c r="B620" s="21" t="s">
        <v>946</v>
      </c>
      <c r="C620" s="42" t="s">
        <v>169</v>
      </c>
      <c r="D620" s="42" t="s">
        <v>191</v>
      </c>
      <c r="E620" s="2"/>
      <c r="F620" s="2">
        <v>907</v>
      </c>
      <c r="G620" s="7"/>
      <c r="H620" s="7"/>
      <c r="I620" s="7"/>
      <c r="J620" s="7"/>
      <c r="K620" s="7"/>
      <c r="L620" s="7">
        <f>'Прил.№4 ведомств.'!M787</f>
        <v>868.6</v>
      </c>
      <c r="M620" s="7">
        <f>'Прил.№4 ведомств.'!N787</f>
        <v>744.6</v>
      </c>
      <c r="N620" s="7">
        <f t="shared" si="350"/>
        <v>85.724153810729902</v>
      </c>
    </row>
    <row r="621" spans="1:14" ht="63" x14ac:dyDescent="0.25">
      <c r="A621" s="24" t="s">
        <v>1001</v>
      </c>
      <c r="B621" s="25" t="s">
        <v>805</v>
      </c>
      <c r="C621" s="8"/>
      <c r="D621" s="8"/>
      <c r="E621" s="3"/>
      <c r="F621" s="3"/>
      <c r="G621" s="4">
        <f>G622</f>
        <v>600</v>
      </c>
      <c r="H621" s="4">
        <f t="shared" ref="H621:M625" si="367">H622</f>
        <v>600</v>
      </c>
      <c r="I621" s="4">
        <f t="shared" si="367"/>
        <v>0</v>
      </c>
      <c r="J621" s="4">
        <f t="shared" si="367"/>
        <v>0</v>
      </c>
      <c r="K621" s="4">
        <f t="shared" si="367"/>
        <v>0</v>
      </c>
      <c r="L621" s="4">
        <f t="shared" si="367"/>
        <v>500</v>
      </c>
      <c r="M621" s="4">
        <f t="shared" si="367"/>
        <v>399</v>
      </c>
      <c r="N621" s="4">
        <f t="shared" si="350"/>
        <v>79.800000000000011</v>
      </c>
    </row>
    <row r="622" spans="1:14" ht="15.75" x14ac:dyDescent="0.25">
      <c r="A622" s="26" t="s">
        <v>442</v>
      </c>
      <c r="B622" s="21" t="s">
        <v>805</v>
      </c>
      <c r="C622" s="42" t="s">
        <v>285</v>
      </c>
      <c r="D622" s="42"/>
      <c r="E622" s="2"/>
      <c r="F622" s="2"/>
      <c r="G622" s="7">
        <f>G623</f>
        <v>600</v>
      </c>
      <c r="H622" s="7">
        <f t="shared" si="367"/>
        <v>600</v>
      </c>
      <c r="I622" s="7">
        <f t="shared" si="367"/>
        <v>0</v>
      </c>
      <c r="J622" s="7">
        <f t="shared" si="367"/>
        <v>0</v>
      </c>
      <c r="K622" s="7">
        <f t="shared" si="367"/>
        <v>0</v>
      </c>
      <c r="L622" s="7">
        <f t="shared" si="367"/>
        <v>500</v>
      </c>
      <c r="M622" s="7">
        <f t="shared" si="367"/>
        <v>399</v>
      </c>
      <c r="N622" s="7">
        <f t="shared" si="350"/>
        <v>79.800000000000011</v>
      </c>
    </row>
    <row r="623" spans="1:14" ht="15.75" x14ac:dyDescent="0.25">
      <c r="A623" s="26" t="s">
        <v>593</v>
      </c>
      <c r="B623" s="21" t="s">
        <v>805</v>
      </c>
      <c r="C623" s="42" t="s">
        <v>285</v>
      </c>
      <c r="D623" s="42" t="s">
        <v>266</v>
      </c>
      <c r="E623" s="2"/>
      <c r="F623" s="2"/>
      <c r="G623" s="7">
        <f>G624</f>
        <v>600</v>
      </c>
      <c r="H623" s="7">
        <f t="shared" si="367"/>
        <v>600</v>
      </c>
      <c r="I623" s="7">
        <f t="shared" si="367"/>
        <v>0</v>
      </c>
      <c r="J623" s="7">
        <f t="shared" si="367"/>
        <v>0</v>
      </c>
      <c r="K623" s="7">
        <f t="shared" si="367"/>
        <v>0</v>
      </c>
      <c r="L623" s="7">
        <f t="shared" si="367"/>
        <v>500</v>
      </c>
      <c r="M623" s="7">
        <f t="shared" si="367"/>
        <v>399</v>
      </c>
      <c r="N623" s="7">
        <f t="shared" si="350"/>
        <v>79.800000000000011</v>
      </c>
    </row>
    <row r="624" spans="1:14" ht="31.5" x14ac:dyDescent="0.25">
      <c r="A624" s="96" t="s">
        <v>804</v>
      </c>
      <c r="B624" s="21" t="s">
        <v>806</v>
      </c>
      <c r="C624" s="42" t="s">
        <v>285</v>
      </c>
      <c r="D624" s="42" t="s">
        <v>266</v>
      </c>
      <c r="E624" s="2"/>
      <c r="F624" s="2"/>
      <c r="G624" s="7">
        <f>G625</f>
        <v>600</v>
      </c>
      <c r="H624" s="7">
        <f t="shared" si="367"/>
        <v>600</v>
      </c>
      <c r="I624" s="7">
        <f t="shared" si="367"/>
        <v>0</v>
      </c>
      <c r="J624" s="7">
        <f t="shared" si="367"/>
        <v>0</v>
      </c>
      <c r="K624" s="7">
        <f t="shared" si="367"/>
        <v>0</v>
      </c>
      <c r="L624" s="7">
        <f t="shared" si="367"/>
        <v>500</v>
      </c>
      <c r="M624" s="7">
        <f t="shared" si="367"/>
        <v>399</v>
      </c>
      <c r="N624" s="7">
        <f t="shared" si="350"/>
        <v>79.800000000000011</v>
      </c>
    </row>
    <row r="625" spans="1:14" ht="31.5" x14ac:dyDescent="0.25">
      <c r="A625" s="26" t="s">
        <v>182</v>
      </c>
      <c r="B625" s="21" t="s">
        <v>806</v>
      </c>
      <c r="C625" s="42" t="s">
        <v>285</v>
      </c>
      <c r="D625" s="42" t="s">
        <v>266</v>
      </c>
      <c r="E625" s="2">
        <v>200</v>
      </c>
      <c r="F625" s="2"/>
      <c r="G625" s="7">
        <f>G626</f>
        <v>600</v>
      </c>
      <c r="H625" s="7">
        <f t="shared" si="367"/>
        <v>600</v>
      </c>
      <c r="I625" s="7">
        <f t="shared" si="367"/>
        <v>0</v>
      </c>
      <c r="J625" s="7">
        <f t="shared" si="367"/>
        <v>0</v>
      </c>
      <c r="K625" s="7">
        <f t="shared" si="367"/>
        <v>0</v>
      </c>
      <c r="L625" s="7">
        <f t="shared" si="367"/>
        <v>500</v>
      </c>
      <c r="M625" s="7">
        <f t="shared" si="367"/>
        <v>399</v>
      </c>
      <c r="N625" s="7">
        <f t="shared" si="350"/>
        <v>79.800000000000011</v>
      </c>
    </row>
    <row r="626" spans="1:14" ht="31.5" x14ac:dyDescent="0.25">
      <c r="A626" s="26" t="s">
        <v>184</v>
      </c>
      <c r="B626" s="21" t="s">
        <v>806</v>
      </c>
      <c r="C626" s="42" t="s">
        <v>285</v>
      </c>
      <c r="D626" s="42" t="s">
        <v>266</v>
      </c>
      <c r="E626" s="2">
        <v>240</v>
      </c>
      <c r="F626" s="2"/>
      <c r="G626" s="7">
        <f>'Прил.№4 ведомств.'!G1024</f>
        <v>600</v>
      </c>
      <c r="H626" s="7">
        <f>'Прил.№4 ведомств.'!I1024</f>
        <v>600</v>
      </c>
      <c r="I626" s="7">
        <f>'Прил.№4 ведомств.'!J1024</f>
        <v>0</v>
      </c>
      <c r="J626" s="7">
        <f>'Прил.№4 ведомств.'!K1024</f>
        <v>0</v>
      </c>
      <c r="K626" s="7">
        <f>'Прил.№4 ведомств.'!L1024</f>
        <v>0</v>
      </c>
      <c r="L626" s="7">
        <f>'Прил.№4 ведомств.'!M1024</f>
        <v>500</v>
      </c>
      <c r="M626" s="7">
        <f>'Прил.№4 ведомств.'!N1024</f>
        <v>399</v>
      </c>
      <c r="N626" s="7">
        <f t="shared" si="350"/>
        <v>79.800000000000011</v>
      </c>
    </row>
    <row r="627" spans="1:14" ht="31.5" x14ac:dyDescent="0.25">
      <c r="A627" s="47" t="s">
        <v>700</v>
      </c>
      <c r="B627" s="21" t="s">
        <v>805</v>
      </c>
      <c r="C627" s="42" t="s">
        <v>285</v>
      </c>
      <c r="D627" s="42" t="s">
        <v>266</v>
      </c>
      <c r="E627" s="2"/>
      <c r="F627" s="2">
        <v>908</v>
      </c>
      <c r="G627" s="7">
        <f>G621</f>
        <v>600</v>
      </c>
      <c r="H627" s="7">
        <f t="shared" ref="H627:L627" si="368">H621</f>
        <v>600</v>
      </c>
      <c r="I627" s="7">
        <f t="shared" si="368"/>
        <v>0</v>
      </c>
      <c r="J627" s="7">
        <f t="shared" si="368"/>
        <v>0</v>
      </c>
      <c r="K627" s="7">
        <f t="shared" si="368"/>
        <v>0</v>
      </c>
      <c r="L627" s="7">
        <f t="shared" si="368"/>
        <v>500</v>
      </c>
      <c r="M627" s="7">
        <f t="shared" ref="M627" si="369">M621</f>
        <v>399</v>
      </c>
      <c r="N627" s="7">
        <f t="shared" si="350"/>
        <v>79.800000000000011</v>
      </c>
    </row>
    <row r="628" spans="1:14" s="273" customFormat="1" ht="63" x14ac:dyDescent="0.25">
      <c r="A628" s="64" t="s">
        <v>948</v>
      </c>
      <c r="B628" s="25" t="s">
        <v>953</v>
      </c>
      <c r="C628" s="8"/>
      <c r="D628" s="8"/>
      <c r="E628" s="3"/>
      <c r="F628" s="3"/>
      <c r="G628" s="4"/>
      <c r="H628" s="4"/>
      <c r="I628" s="4"/>
      <c r="J628" s="4"/>
      <c r="K628" s="4"/>
      <c r="L628" s="4">
        <f>L629</f>
        <v>67</v>
      </c>
      <c r="M628" s="4">
        <f t="shared" ref="M628:M632" si="370">M629</f>
        <v>0</v>
      </c>
      <c r="N628" s="4">
        <f t="shared" si="350"/>
        <v>0</v>
      </c>
    </row>
    <row r="629" spans="1:14" ht="15.75" x14ac:dyDescent="0.25">
      <c r="A629" s="47" t="s">
        <v>168</v>
      </c>
      <c r="B629" s="21" t="s">
        <v>953</v>
      </c>
      <c r="C629" s="42" t="s">
        <v>169</v>
      </c>
      <c r="D629" s="42"/>
      <c r="E629" s="2"/>
      <c r="F629" s="2"/>
      <c r="G629" s="7"/>
      <c r="H629" s="7"/>
      <c r="I629" s="7"/>
      <c r="J629" s="7"/>
      <c r="K629" s="7"/>
      <c r="L629" s="7">
        <f>L630</f>
        <v>67</v>
      </c>
      <c r="M629" s="7">
        <f t="shared" si="370"/>
        <v>0</v>
      </c>
      <c r="N629" s="7">
        <f t="shared" si="350"/>
        <v>0</v>
      </c>
    </row>
    <row r="630" spans="1:14" ht="15.75" x14ac:dyDescent="0.25">
      <c r="A630" s="47" t="s">
        <v>190</v>
      </c>
      <c r="B630" s="21" t="s">
        <v>953</v>
      </c>
      <c r="C630" s="42" t="s">
        <v>169</v>
      </c>
      <c r="D630" s="42" t="s">
        <v>191</v>
      </c>
      <c r="E630" s="2"/>
      <c r="F630" s="2"/>
      <c r="G630" s="7"/>
      <c r="H630" s="7"/>
      <c r="I630" s="7"/>
      <c r="J630" s="7"/>
      <c r="K630" s="7"/>
      <c r="L630" s="7">
        <f>L631</f>
        <v>67</v>
      </c>
      <c r="M630" s="7">
        <f t="shared" si="370"/>
        <v>0</v>
      </c>
      <c r="N630" s="7">
        <f t="shared" si="350"/>
        <v>0</v>
      </c>
    </row>
    <row r="631" spans="1:14" ht="31.5" x14ac:dyDescent="0.25">
      <c r="A631" s="47" t="s">
        <v>804</v>
      </c>
      <c r="B631" s="21" t="s">
        <v>949</v>
      </c>
      <c r="C631" s="42" t="s">
        <v>169</v>
      </c>
      <c r="D631" s="42" t="s">
        <v>191</v>
      </c>
      <c r="E631" s="2"/>
      <c r="F631" s="2"/>
      <c r="G631" s="7"/>
      <c r="H631" s="7"/>
      <c r="I631" s="7"/>
      <c r="J631" s="7"/>
      <c r="K631" s="7"/>
      <c r="L631" s="7">
        <f>L632</f>
        <v>67</v>
      </c>
      <c r="M631" s="7">
        <f t="shared" si="370"/>
        <v>0</v>
      </c>
      <c r="N631" s="7">
        <f t="shared" si="350"/>
        <v>0</v>
      </c>
    </row>
    <row r="632" spans="1:14" ht="31.5" x14ac:dyDescent="0.25">
      <c r="A632" s="47" t="s">
        <v>182</v>
      </c>
      <c r="B632" s="21" t="s">
        <v>949</v>
      </c>
      <c r="C632" s="42" t="s">
        <v>169</v>
      </c>
      <c r="D632" s="42" t="s">
        <v>191</v>
      </c>
      <c r="E632" s="2">
        <v>200</v>
      </c>
      <c r="F632" s="2"/>
      <c r="G632" s="7"/>
      <c r="H632" s="7"/>
      <c r="I632" s="7"/>
      <c r="J632" s="7"/>
      <c r="K632" s="7"/>
      <c r="L632" s="7">
        <f>L633</f>
        <v>67</v>
      </c>
      <c r="M632" s="7">
        <f t="shared" si="370"/>
        <v>0</v>
      </c>
      <c r="N632" s="7">
        <f t="shared" si="350"/>
        <v>0</v>
      </c>
    </row>
    <row r="633" spans="1:14" ht="31.5" x14ac:dyDescent="0.25">
      <c r="A633" s="47" t="s">
        <v>184</v>
      </c>
      <c r="B633" s="21" t="s">
        <v>949</v>
      </c>
      <c r="C633" s="42" t="s">
        <v>169</v>
      </c>
      <c r="D633" s="42" t="s">
        <v>191</v>
      </c>
      <c r="E633" s="2">
        <v>240</v>
      </c>
      <c r="F633" s="2"/>
      <c r="G633" s="7"/>
      <c r="H633" s="7"/>
      <c r="I633" s="7"/>
      <c r="J633" s="7"/>
      <c r="K633" s="7"/>
      <c r="L633" s="7">
        <f>'Прил.№4 ведомств.'!M543</f>
        <v>67</v>
      </c>
      <c r="M633" s="7">
        <f>'Прил.№4 ведомств.'!N543</f>
        <v>0</v>
      </c>
      <c r="N633" s="7">
        <f t="shared" si="350"/>
        <v>0</v>
      </c>
    </row>
    <row r="634" spans="1:14" ht="31.5" x14ac:dyDescent="0.25">
      <c r="A634" s="47" t="s">
        <v>439</v>
      </c>
      <c r="B634" s="21" t="s">
        <v>953</v>
      </c>
      <c r="C634" s="42" t="s">
        <v>169</v>
      </c>
      <c r="D634" s="42" t="s">
        <v>191</v>
      </c>
      <c r="E634" s="2"/>
      <c r="F634" s="2">
        <v>905</v>
      </c>
      <c r="G634" s="7"/>
      <c r="H634" s="7"/>
      <c r="I634" s="7"/>
      <c r="J634" s="7"/>
      <c r="K634" s="7"/>
      <c r="L634" s="7">
        <f>L628</f>
        <v>67</v>
      </c>
      <c r="M634" s="7">
        <f t="shared" ref="M634" si="371">M628</f>
        <v>0</v>
      </c>
      <c r="N634" s="7">
        <f t="shared" si="350"/>
        <v>0</v>
      </c>
    </row>
    <row r="635" spans="1:14" ht="15.75" x14ac:dyDescent="0.25">
      <c r="A635" s="84" t="s">
        <v>734</v>
      </c>
      <c r="B635" s="84"/>
      <c r="C635" s="84"/>
      <c r="D635" s="90"/>
      <c r="E635" s="90"/>
      <c r="F635" s="84"/>
      <c r="G635" s="148" t="e">
        <f>G12+G21+G107+G239+G252+G271+G278+G300+G362+G460+G467+G504+G520+G553+G596+G621</f>
        <v>#REF!</v>
      </c>
      <c r="H635" s="148" t="e">
        <f>H12+H21+H107+H239+H252+H271+H278+H300+H362+H460+H467+H504+H520+H553+H596+H621</f>
        <v>#REF!</v>
      </c>
      <c r="I635" s="148" t="e">
        <f>I12+I21+I107+I239+I252+I271+I278+I300+I362+I460+I467+I504+I520+I553+I596+I621</f>
        <v>#REF!</v>
      </c>
      <c r="J635" s="148" t="e">
        <f>J12+J21+J107+J239+J252+J271+J278+J300+J362+J460+J467+J504+J520+J553+J596+J621</f>
        <v>#REF!</v>
      </c>
      <c r="K635" s="148" t="e">
        <f>K12+K21+K107+K239+K252+K271+K278+K300+K362+K460+K467+K504+K520+K553+K596+K621</f>
        <v>#REF!</v>
      </c>
      <c r="L635" s="148">
        <f>L12+L21+L107+L239+L252+L271+L278+L300+L362+L460+L467+L504+L520+L553+L596+L621+L628</f>
        <v>243024.80000000002</v>
      </c>
      <c r="M635" s="148">
        <f t="shared" ref="M635" si="372">M12+M21+M107+M239+M252+M271+M278+M300+M362+M460+M467+M504+M520+M553+M596+M621+M628</f>
        <v>174478.9</v>
      </c>
      <c r="N635" s="4">
        <f t="shared" si="350"/>
        <v>71.794689266280628</v>
      </c>
    </row>
  </sheetData>
  <mergeCells count="1">
    <mergeCell ref="A7:N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3"/>
  </cols>
  <sheetData>
    <row r="1" spans="1:8" ht="15.75" x14ac:dyDescent="0.25">
      <c r="D1" s="1"/>
      <c r="F1" s="59" t="s">
        <v>693</v>
      </c>
    </row>
    <row r="2" spans="1:8" ht="15.75" x14ac:dyDescent="0.25">
      <c r="D2" s="1"/>
      <c r="F2" s="59" t="s">
        <v>644</v>
      </c>
    </row>
    <row r="3" spans="1:8" ht="15.75" x14ac:dyDescent="0.25">
      <c r="D3" s="1"/>
      <c r="F3" s="59" t="s">
        <v>832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338" t="s">
        <v>808</v>
      </c>
      <c r="B5" s="338"/>
      <c r="C5" s="338"/>
      <c r="D5" s="338"/>
      <c r="E5" s="338"/>
      <c r="F5" s="338"/>
      <c r="G5" s="338"/>
    </row>
    <row r="6" spans="1:8" ht="16.5" x14ac:dyDescent="0.25">
      <c r="A6" s="207"/>
      <c r="B6" s="207"/>
      <c r="C6" s="207"/>
      <c r="D6" s="207"/>
      <c r="E6" s="207"/>
      <c r="F6" s="207"/>
      <c r="G6" s="207"/>
    </row>
    <row r="7" spans="1:8" ht="15.75" x14ac:dyDescent="0.25">
      <c r="A7" s="73"/>
      <c r="B7" s="73"/>
      <c r="C7" s="73"/>
      <c r="D7" s="73"/>
      <c r="E7" s="76"/>
      <c r="F7" s="76"/>
      <c r="G7" s="77" t="s">
        <v>1</v>
      </c>
    </row>
    <row r="8" spans="1:8" ht="31.5" x14ac:dyDescent="0.25">
      <c r="A8" s="78" t="s">
        <v>645</v>
      </c>
      <c r="B8" s="78" t="s">
        <v>694</v>
      </c>
      <c r="C8" s="78" t="s">
        <v>695</v>
      </c>
      <c r="D8" s="78" t="s">
        <v>696</v>
      </c>
      <c r="E8" s="78" t="s">
        <v>697</v>
      </c>
      <c r="F8" s="78" t="s">
        <v>698</v>
      </c>
      <c r="G8" s="6" t="s">
        <v>4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699</v>
      </c>
      <c r="B10" s="8" t="s">
        <v>562</v>
      </c>
      <c r="C10" s="8"/>
      <c r="D10" s="8"/>
      <c r="E10" s="8"/>
      <c r="F10" s="8"/>
      <c r="G10" s="4">
        <f>G13</f>
        <v>15124.1</v>
      </c>
    </row>
    <row r="11" spans="1:8" ht="15.75" x14ac:dyDescent="0.25">
      <c r="A11" s="31" t="s">
        <v>283</v>
      </c>
      <c r="B11" s="42" t="s">
        <v>562</v>
      </c>
      <c r="C11" s="42" t="s">
        <v>201</v>
      </c>
      <c r="D11" s="42"/>
      <c r="E11" s="42"/>
      <c r="F11" s="42"/>
      <c r="G11" s="7">
        <f>G12</f>
        <v>15124.1</v>
      </c>
    </row>
    <row r="12" spans="1:8" ht="31.5" x14ac:dyDescent="0.25">
      <c r="A12" s="31" t="s">
        <v>560</v>
      </c>
      <c r="B12" s="42" t="s">
        <v>562</v>
      </c>
      <c r="C12" s="42" t="s">
        <v>201</v>
      </c>
      <c r="D12" s="42" t="s">
        <v>270</v>
      </c>
      <c r="E12" s="42"/>
      <c r="F12" s="42"/>
      <c r="G12" s="7">
        <f>G13</f>
        <v>15124.1</v>
      </c>
    </row>
    <row r="13" spans="1:8" ht="15.75" x14ac:dyDescent="0.25">
      <c r="A13" s="31" t="s">
        <v>563</v>
      </c>
      <c r="B13" s="42" t="s">
        <v>564</v>
      </c>
      <c r="C13" s="42" t="s">
        <v>201</v>
      </c>
      <c r="D13" s="42" t="s">
        <v>270</v>
      </c>
      <c r="E13" s="42"/>
      <c r="F13" s="42"/>
      <c r="G13" s="7">
        <f>G14+G16</f>
        <v>15124.1</v>
      </c>
    </row>
    <row r="14" spans="1:8" ht="47.25" x14ac:dyDescent="0.25">
      <c r="A14" s="31" t="s">
        <v>182</v>
      </c>
      <c r="B14" s="42" t="s">
        <v>564</v>
      </c>
      <c r="C14" s="42" t="s">
        <v>201</v>
      </c>
      <c r="D14" s="42" t="s">
        <v>270</v>
      </c>
      <c r="E14" s="42" t="s">
        <v>183</v>
      </c>
      <c r="F14" s="42"/>
      <c r="G14" s="7">
        <f>G15</f>
        <v>15108.1</v>
      </c>
    </row>
    <row r="15" spans="1:8" ht="47.25" x14ac:dyDescent="0.25">
      <c r="A15" s="31" t="s">
        <v>184</v>
      </c>
      <c r="B15" s="42" t="s">
        <v>564</v>
      </c>
      <c r="C15" s="42" t="s">
        <v>201</v>
      </c>
      <c r="D15" s="42" t="s">
        <v>270</v>
      </c>
      <c r="E15" s="42" t="s">
        <v>185</v>
      </c>
      <c r="F15" s="42"/>
      <c r="G15" s="7">
        <f>'Прил.№4 ведомств.'!G905</f>
        <v>15108.1</v>
      </c>
      <c r="H15" s="139"/>
    </row>
    <row r="16" spans="1:8" ht="15.75" x14ac:dyDescent="0.25">
      <c r="A16" s="26" t="s">
        <v>186</v>
      </c>
      <c r="B16" s="42" t="s">
        <v>564</v>
      </c>
      <c r="C16" s="42" t="s">
        <v>201</v>
      </c>
      <c r="D16" s="42" t="s">
        <v>270</v>
      </c>
      <c r="E16" s="42" t="s">
        <v>196</v>
      </c>
      <c r="F16" s="42"/>
      <c r="G16" s="7">
        <f>G17</f>
        <v>16</v>
      </c>
    </row>
    <row r="17" spans="1:8" ht="31.5" x14ac:dyDescent="0.25">
      <c r="A17" s="26" t="s">
        <v>188</v>
      </c>
      <c r="B17" s="42" t="s">
        <v>564</v>
      </c>
      <c r="C17" s="42" t="s">
        <v>201</v>
      </c>
      <c r="D17" s="42" t="s">
        <v>270</v>
      </c>
      <c r="E17" s="42" t="s">
        <v>189</v>
      </c>
      <c r="F17" s="42"/>
      <c r="G17" s="7">
        <f>'Прил.№4 ведомств.'!G907</f>
        <v>16</v>
      </c>
      <c r="H17" s="139"/>
    </row>
    <row r="18" spans="1:8" ht="47.25" x14ac:dyDescent="0.25">
      <c r="A18" s="47" t="s">
        <v>700</v>
      </c>
      <c r="B18" s="42" t="s">
        <v>562</v>
      </c>
      <c r="C18" s="42" t="s">
        <v>201</v>
      </c>
      <c r="D18" s="42" t="s">
        <v>270</v>
      </c>
      <c r="E18" s="42"/>
      <c r="F18" s="42" t="s">
        <v>701</v>
      </c>
      <c r="G18" s="7">
        <f>G13</f>
        <v>15124.1</v>
      </c>
    </row>
    <row r="19" spans="1:8" ht="78.75" x14ac:dyDescent="0.25">
      <c r="A19" s="64" t="s">
        <v>394</v>
      </c>
      <c r="B19" s="8" t="s">
        <v>395</v>
      </c>
      <c r="C19" s="8"/>
      <c r="D19" s="8"/>
      <c r="E19" s="8"/>
      <c r="F19" s="8"/>
      <c r="G19" s="68">
        <f>G20+G32+G39+G46+G55+G62+G69+G95</f>
        <v>3668</v>
      </c>
    </row>
    <row r="20" spans="1:8" ht="47.25" x14ac:dyDescent="0.25">
      <c r="A20" s="64" t="s">
        <v>702</v>
      </c>
      <c r="B20" s="8" t="s">
        <v>397</v>
      </c>
      <c r="C20" s="8"/>
      <c r="D20" s="8"/>
      <c r="E20" s="8"/>
      <c r="F20" s="8"/>
      <c r="G20" s="68">
        <f>G21</f>
        <v>910</v>
      </c>
    </row>
    <row r="21" spans="1:8" ht="15.75" x14ac:dyDescent="0.25">
      <c r="A21" s="47" t="s">
        <v>294</v>
      </c>
      <c r="B21" s="42" t="s">
        <v>397</v>
      </c>
      <c r="C21" s="42" t="s">
        <v>295</v>
      </c>
      <c r="D21" s="42"/>
      <c r="E21" s="42"/>
      <c r="F21" s="42"/>
      <c r="G21" s="11">
        <f>G22</f>
        <v>910</v>
      </c>
    </row>
    <row r="22" spans="1:8" ht="15.75" x14ac:dyDescent="0.25">
      <c r="A22" s="47" t="s">
        <v>303</v>
      </c>
      <c r="B22" s="42" t="s">
        <v>397</v>
      </c>
      <c r="C22" s="42" t="s">
        <v>295</v>
      </c>
      <c r="D22" s="42" t="s">
        <v>266</v>
      </c>
      <c r="E22" s="42"/>
      <c r="F22" s="42"/>
      <c r="G22" s="11">
        <f>G23+G28</f>
        <v>910</v>
      </c>
    </row>
    <row r="23" spans="1:8" ht="47.25" x14ac:dyDescent="0.25">
      <c r="A23" s="31" t="s">
        <v>208</v>
      </c>
      <c r="B23" s="42" t="s">
        <v>703</v>
      </c>
      <c r="C23" s="42" t="s">
        <v>295</v>
      </c>
      <c r="D23" s="42" t="s">
        <v>266</v>
      </c>
      <c r="E23" s="42"/>
      <c r="F23" s="42"/>
      <c r="G23" s="11">
        <f>G26</f>
        <v>641.4</v>
      </c>
    </row>
    <row r="24" spans="1:8" ht="110.25" hidden="1" x14ac:dyDescent="0.25">
      <c r="A24" s="26" t="s">
        <v>178</v>
      </c>
      <c r="B24" s="42" t="s">
        <v>703</v>
      </c>
      <c r="C24" s="42" t="s">
        <v>295</v>
      </c>
      <c r="D24" s="42" t="s">
        <v>266</v>
      </c>
      <c r="E24" s="42" t="s">
        <v>179</v>
      </c>
      <c r="F24" s="42"/>
      <c r="G24" s="11">
        <f>G25</f>
        <v>0</v>
      </c>
    </row>
    <row r="25" spans="1:8" ht="47.25" hidden="1" x14ac:dyDescent="0.25">
      <c r="A25" s="26" t="s">
        <v>180</v>
      </c>
      <c r="B25" s="42" t="s">
        <v>703</v>
      </c>
      <c r="C25" s="42" t="s">
        <v>295</v>
      </c>
      <c r="D25" s="42" t="s">
        <v>266</v>
      </c>
      <c r="E25" s="42" t="s">
        <v>181</v>
      </c>
      <c r="F25" s="42"/>
      <c r="G25" s="11"/>
    </row>
    <row r="26" spans="1:8" ht="47.25" x14ac:dyDescent="0.25">
      <c r="A26" s="31" t="s">
        <v>182</v>
      </c>
      <c r="B26" s="42" t="s">
        <v>703</v>
      </c>
      <c r="C26" s="42" t="s">
        <v>295</v>
      </c>
      <c r="D26" s="42" t="s">
        <v>266</v>
      </c>
      <c r="E26" s="42" t="s">
        <v>183</v>
      </c>
      <c r="F26" s="42"/>
      <c r="G26" s="11">
        <f>G27</f>
        <v>641.4</v>
      </c>
    </row>
    <row r="27" spans="1:8" ht="47.25" x14ac:dyDescent="0.25">
      <c r="A27" s="31" t="s">
        <v>184</v>
      </c>
      <c r="B27" s="42" t="s">
        <v>703</v>
      </c>
      <c r="C27" s="42" t="s">
        <v>295</v>
      </c>
      <c r="D27" s="42" t="s">
        <v>266</v>
      </c>
      <c r="E27" s="42" t="s">
        <v>185</v>
      </c>
      <c r="F27" s="42"/>
      <c r="G27" s="7">
        <f>'Прил.№4 ведомств.'!G461</f>
        <v>641.4</v>
      </c>
    </row>
    <row r="28" spans="1:8" ht="47.25" x14ac:dyDescent="0.25">
      <c r="A28" s="26" t="s">
        <v>401</v>
      </c>
      <c r="B28" s="21" t="s">
        <v>402</v>
      </c>
      <c r="C28" s="42" t="s">
        <v>295</v>
      </c>
      <c r="D28" s="42" t="s">
        <v>266</v>
      </c>
      <c r="E28" s="42"/>
      <c r="F28" s="42"/>
      <c r="G28" s="11">
        <f>G29</f>
        <v>268.60000000000002</v>
      </c>
    </row>
    <row r="29" spans="1:8" ht="63" x14ac:dyDescent="0.25">
      <c r="A29" s="26" t="s">
        <v>323</v>
      </c>
      <c r="B29" s="21" t="s">
        <v>402</v>
      </c>
      <c r="C29" s="42" t="s">
        <v>295</v>
      </c>
      <c r="D29" s="42" t="s">
        <v>266</v>
      </c>
      <c r="E29" s="42" t="s">
        <v>324</v>
      </c>
      <c r="F29" s="42"/>
      <c r="G29" s="11">
        <f>G30</f>
        <v>268.60000000000002</v>
      </c>
    </row>
    <row r="30" spans="1:8" ht="15.75" x14ac:dyDescent="0.25">
      <c r="A30" s="26" t="s">
        <v>325</v>
      </c>
      <c r="B30" s="21" t="s">
        <v>402</v>
      </c>
      <c r="C30" s="42" t="s">
        <v>295</v>
      </c>
      <c r="D30" s="42" t="s">
        <v>266</v>
      </c>
      <c r="E30" s="42" t="s">
        <v>326</v>
      </c>
      <c r="F30" s="42"/>
      <c r="G30" s="11">
        <f>'Прил.№4 ведомств.'!G466</f>
        <v>268.60000000000002</v>
      </c>
      <c r="H30" s="139"/>
    </row>
    <row r="31" spans="1:8" ht="63" x14ac:dyDescent="0.25">
      <c r="A31" s="47" t="s">
        <v>312</v>
      </c>
      <c r="B31" s="21" t="s">
        <v>397</v>
      </c>
      <c r="C31" s="42" t="s">
        <v>295</v>
      </c>
      <c r="D31" s="42" t="s">
        <v>266</v>
      </c>
      <c r="E31" s="42"/>
      <c r="F31" s="42" t="s">
        <v>704</v>
      </c>
      <c r="G31" s="7">
        <f>G20</f>
        <v>910</v>
      </c>
    </row>
    <row r="32" spans="1:8" ht="47.25" x14ac:dyDescent="0.25">
      <c r="A32" s="64" t="s">
        <v>705</v>
      </c>
      <c r="B32" s="8" t="s">
        <v>404</v>
      </c>
      <c r="C32" s="8"/>
      <c r="D32" s="8"/>
      <c r="E32" s="8"/>
      <c r="F32" s="8"/>
      <c r="G32" s="68">
        <f>G33</f>
        <v>63</v>
      </c>
    </row>
    <row r="33" spans="1:7" ht="15.75" x14ac:dyDescent="0.25">
      <c r="A33" s="47" t="s">
        <v>294</v>
      </c>
      <c r="B33" s="42" t="s">
        <v>404</v>
      </c>
      <c r="C33" s="42" t="s">
        <v>295</v>
      </c>
      <c r="D33" s="42"/>
      <c r="E33" s="42"/>
      <c r="F33" s="42"/>
      <c r="G33" s="11">
        <f>G34</f>
        <v>63</v>
      </c>
    </row>
    <row r="34" spans="1:7" ht="15.75" x14ac:dyDescent="0.25">
      <c r="A34" s="47" t="s">
        <v>303</v>
      </c>
      <c r="B34" s="42" t="s">
        <v>404</v>
      </c>
      <c r="C34" s="42" t="s">
        <v>295</v>
      </c>
      <c r="D34" s="42" t="s">
        <v>266</v>
      </c>
      <c r="E34" s="42"/>
      <c r="F34" s="42"/>
      <c r="G34" s="11">
        <f>G35</f>
        <v>63</v>
      </c>
    </row>
    <row r="35" spans="1:7" ht="31.5" x14ac:dyDescent="0.25">
      <c r="A35" s="26" t="s">
        <v>686</v>
      </c>
      <c r="B35" s="21" t="s">
        <v>687</v>
      </c>
      <c r="C35" s="42" t="s">
        <v>295</v>
      </c>
      <c r="D35" s="42" t="s">
        <v>266</v>
      </c>
      <c r="E35" s="42"/>
      <c r="F35" s="42"/>
      <c r="G35" s="11">
        <f>G36</f>
        <v>63</v>
      </c>
    </row>
    <row r="36" spans="1:7" ht="31.5" x14ac:dyDescent="0.25">
      <c r="A36" s="31" t="s">
        <v>299</v>
      </c>
      <c r="B36" s="21" t="s">
        <v>687</v>
      </c>
      <c r="C36" s="42" t="s">
        <v>295</v>
      </c>
      <c r="D36" s="42" t="s">
        <v>266</v>
      </c>
      <c r="E36" s="42" t="s">
        <v>300</v>
      </c>
      <c r="F36" s="42"/>
      <c r="G36" s="11">
        <f>G37</f>
        <v>63</v>
      </c>
    </row>
    <row r="37" spans="1:7" ht="47.25" x14ac:dyDescent="0.25">
      <c r="A37" s="31" t="s">
        <v>301</v>
      </c>
      <c r="B37" s="21" t="s">
        <v>687</v>
      </c>
      <c r="C37" s="42" t="s">
        <v>295</v>
      </c>
      <c r="D37" s="42" t="s">
        <v>266</v>
      </c>
      <c r="E37" s="42" t="s">
        <v>302</v>
      </c>
      <c r="F37" s="42"/>
      <c r="G37" s="11">
        <f>'Прил.№4 ведомств.'!G470</f>
        <v>63</v>
      </c>
    </row>
    <row r="38" spans="1:7" ht="63" x14ac:dyDescent="0.25">
      <c r="A38" s="47" t="s">
        <v>312</v>
      </c>
      <c r="B38" s="21" t="s">
        <v>404</v>
      </c>
      <c r="C38" s="42" t="s">
        <v>295</v>
      </c>
      <c r="D38" s="42" t="s">
        <v>266</v>
      </c>
      <c r="E38" s="42"/>
      <c r="F38" s="42" t="s">
        <v>704</v>
      </c>
      <c r="G38" s="11">
        <f>G32</f>
        <v>63</v>
      </c>
    </row>
    <row r="39" spans="1:7" ht="47.25" x14ac:dyDescent="0.25">
      <c r="A39" s="64" t="s">
        <v>706</v>
      </c>
      <c r="B39" s="8" t="s">
        <v>407</v>
      </c>
      <c r="C39" s="8"/>
      <c r="D39" s="8"/>
      <c r="E39" s="8"/>
      <c r="F39" s="8"/>
      <c r="G39" s="68">
        <f>G40</f>
        <v>420</v>
      </c>
    </row>
    <row r="40" spans="1:7" ht="15.75" x14ac:dyDescent="0.25">
      <c r="A40" s="47" t="s">
        <v>294</v>
      </c>
      <c r="B40" s="42" t="s">
        <v>407</v>
      </c>
      <c r="C40" s="42" t="s">
        <v>295</v>
      </c>
      <c r="D40" s="42"/>
      <c r="E40" s="42"/>
      <c r="F40" s="42"/>
      <c r="G40" s="11">
        <f>G41</f>
        <v>420</v>
      </c>
    </row>
    <row r="41" spans="1:7" ht="15.75" x14ac:dyDescent="0.25">
      <c r="A41" s="47" t="s">
        <v>303</v>
      </c>
      <c r="B41" s="42" t="s">
        <v>407</v>
      </c>
      <c r="C41" s="42" t="s">
        <v>295</v>
      </c>
      <c r="D41" s="42" t="s">
        <v>266</v>
      </c>
      <c r="E41" s="42"/>
      <c r="F41" s="42"/>
      <c r="G41" s="11">
        <f>G42</f>
        <v>420</v>
      </c>
    </row>
    <row r="42" spans="1:7" ht="47.25" x14ac:dyDescent="0.25">
      <c r="A42" s="31" t="s">
        <v>208</v>
      </c>
      <c r="B42" s="42" t="s">
        <v>707</v>
      </c>
      <c r="C42" s="42" t="s">
        <v>295</v>
      </c>
      <c r="D42" s="42" t="s">
        <v>266</v>
      </c>
      <c r="E42" s="42"/>
      <c r="F42" s="42"/>
      <c r="G42" s="11">
        <f>G43</f>
        <v>420</v>
      </c>
    </row>
    <row r="43" spans="1:7" ht="31.5" x14ac:dyDescent="0.25">
      <c r="A43" s="31" t="s">
        <v>299</v>
      </c>
      <c r="B43" s="42" t="s">
        <v>707</v>
      </c>
      <c r="C43" s="42" t="s">
        <v>295</v>
      </c>
      <c r="D43" s="42" t="s">
        <v>266</v>
      </c>
      <c r="E43" s="42" t="s">
        <v>300</v>
      </c>
      <c r="F43" s="42"/>
      <c r="G43" s="11">
        <f>G44</f>
        <v>420</v>
      </c>
    </row>
    <row r="44" spans="1:7" ht="31.5" x14ac:dyDescent="0.25">
      <c r="A44" s="31" t="s">
        <v>399</v>
      </c>
      <c r="B44" s="42" t="s">
        <v>707</v>
      </c>
      <c r="C44" s="42" t="s">
        <v>295</v>
      </c>
      <c r="D44" s="42" t="s">
        <v>266</v>
      </c>
      <c r="E44" s="42" t="s">
        <v>400</v>
      </c>
      <c r="F44" s="42"/>
      <c r="G44" s="11">
        <f>'Прил.№4 ведомств.'!G474</f>
        <v>420</v>
      </c>
    </row>
    <row r="45" spans="1:7" ht="63" x14ac:dyDescent="0.25">
      <c r="A45" s="47" t="s">
        <v>312</v>
      </c>
      <c r="B45" s="42" t="s">
        <v>407</v>
      </c>
      <c r="C45" s="42" t="s">
        <v>295</v>
      </c>
      <c r="D45" s="42" t="s">
        <v>266</v>
      </c>
      <c r="E45" s="42"/>
      <c r="F45" s="42" t="s">
        <v>704</v>
      </c>
      <c r="G45" s="11">
        <f>G39</f>
        <v>420</v>
      </c>
    </row>
    <row r="46" spans="1:7" ht="31.5" x14ac:dyDescent="0.25">
      <c r="A46" s="64" t="s">
        <v>708</v>
      </c>
      <c r="B46" s="8" t="s">
        <v>410</v>
      </c>
      <c r="C46" s="8"/>
      <c r="D46" s="8"/>
      <c r="E46" s="8"/>
      <c r="F46" s="8"/>
      <c r="G46" s="68">
        <f>G47</f>
        <v>1595</v>
      </c>
    </row>
    <row r="47" spans="1:7" ht="15.75" x14ac:dyDescent="0.25">
      <c r="A47" s="47" t="s">
        <v>294</v>
      </c>
      <c r="B47" s="42" t="s">
        <v>410</v>
      </c>
      <c r="C47" s="42" t="s">
        <v>295</v>
      </c>
      <c r="D47" s="42"/>
      <c r="E47" s="42"/>
      <c r="F47" s="42"/>
      <c r="G47" s="11">
        <f>G48</f>
        <v>1595</v>
      </c>
    </row>
    <row r="48" spans="1:7" ht="15.75" x14ac:dyDescent="0.25">
      <c r="A48" s="47" t="s">
        <v>303</v>
      </c>
      <c r="B48" s="42" t="s">
        <v>410</v>
      </c>
      <c r="C48" s="42" t="s">
        <v>295</v>
      </c>
      <c r="D48" s="42" t="s">
        <v>266</v>
      </c>
      <c r="E48" s="42"/>
      <c r="F48" s="42"/>
      <c r="G48" s="11">
        <f>G49</f>
        <v>1595</v>
      </c>
    </row>
    <row r="49" spans="1:7" ht="47.25" x14ac:dyDescent="0.25">
      <c r="A49" s="31" t="s">
        <v>208</v>
      </c>
      <c r="B49" s="42" t="s">
        <v>709</v>
      </c>
      <c r="C49" s="42" t="s">
        <v>295</v>
      </c>
      <c r="D49" s="42" t="s">
        <v>266</v>
      </c>
      <c r="E49" s="42"/>
      <c r="F49" s="42"/>
      <c r="G49" s="11">
        <f>G50+G52</f>
        <v>1595</v>
      </c>
    </row>
    <row r="50" spans="1:7" ht="47.25" x14ac:dyDescent="0.25">
      <c r="A50" s="31" t="s">
        <v>182</v>
      </c>
      <c r="B50" s="42" t="s">
        <v>709</v>
      </c>
      <c r="C50" s="42" t="s">
        <v>295</v>
      </c>
      <c r="D50" s="42" t="s">
        <v>266</v>
      </c>
      <c r="E50" s="42" t="s">
        <v>183</v>
      </c>
      <c r="F50" s="42"/>
      <c r="G50" s="11">
        <f>G51</f>
        <v>547</v>
      </c>
    </row>
    <row r="51" spans="1:7" ht="47.25" x14ac:dyDescent="0.25">
      <c r="A51" s="31" t="s">
        <v>184</v>
      </c>
      <c r="B51" s="42" t="s">
        <v>709</v>
      </c>
      <c r="C51" s="42" t="s">
        <v>295</v>
      </c>
      <c r="D51" s="42" t="s">
        <v>266</v>
      </c>
      <c r="E51" s="42" t="s">
        <v>185</v>
      </c>
      <c r="F51" s="42"/>
      <c r="G51" s="11">
        <f>'Прил.№4 ведомств.'!G478</f>
        <v>547</v>
      </c>
    </row>
    <row r="52" spans="1:7" ht="31.5" x14ac:dyDescent="0.25">
      <c r="A52" s="31" t="s">
        <v>299</v>
      </c>
      <c r="B52" s="42" t="s">
        <v>709</v>
      </c>
      <c r="C52" s="42" t="s">
        <v>295</v>
      </c>
      <c r="D52" s="42" t="s">
        <v>266</v>
      </c>
      <c r="E52" s="42" t="s">
        <v>300</v>
      </c>
      <c r="F52" s="42"/>
      <c r="G52" s="11">
        <f>G53</f>
        <v>1048</v>
      </c>
    </row>
    <row r="53" spans="1:7" ht="31.5" x14ac:dyDescent="0.25">
      <c r="A53" s="31" t="s">
        <v>399</v>
      </c>
      <c r="B53" s="42" t="s">
        <v>709</v>
      </c>
      <c r="C53" s="42" t="s">
        <v>295</v>
      </c>
      <c r="D53" s="42" t="s">
        <v>266</v>
      </c>
      <c r="E53" s="42" t="s">
        <v>400</v>
      </c>
      <c r="F53" s="42"/>
      <c r="G53" s="11">
        <f>'Прил.№4 ведомств.'!G480</f>
        <v>1048</v>
      </c>
    </row>
    <row r="54" spans="1:7" ht="63" x14ac:dyDescent="0.25">
      <c r="A54" s="47" t="s">
        <v>312</v>
      </c>
      <c r="B54" s="42" t="s">
        <v>410</v>
      </c>
      <c r="C54" s="42" t="s">
        <v>295</v>
      </c>
      <c r="D54" s="42" t="s">
        <v>266</v>
      </c>
      <c r="E54" s="42"/>
      <c r="F54" s="42" t="s">
        <v>704</v>
      </c>
      <c r="G54" s="11">
        <f>G46</f>
        <v>1595</v>
      </c>
    </row>
    <row r="55" spans="1:7" ht="47.25" x14ac:dyDescent="0.25">
      <c r="A55" s="64" t="s">
        <v>710</v>
      </c>
      <c r="B55" s="8" t="s">
        <v>413</v>
      </c>
      <c r="C55" s="8"/>
      <c r="D55" s="8"/>
      <c r="E55" s="8"/>
      <c r="F55" s="8"/>
      <c r="G55" s="68">
        <f>G56</f>
        <v>335</v>
      </c>
    </row>
    <row r="56" spans="1:7" ht="15.75" x14ac:dyDescent="0.25">
      <c r="A56" s="47" t="s">
        <v>294</v>
      </c>
      <c r="B56" s="42" t="s">
        <v>413</v>
      </c>
      <c r="C56" s="42" t="s">
        <v>295</v>
      </c>
      <c r="D56" s="42"/>
      <c r="E56" s="42"/>
      <c r="F56" s="42"/>
      <c r="G56" s="11">
        <f>G57</f>
        <v>335</v>
      </c>
    </row>
    <row r="57" spans="1:7" ht="21.75" customHeight="1" x14ac:dyDescent="0.25">
      <c r="A57" s="47" t="s">
        <v>303</v>
      </c>
      <c r="B57" s="42" t="s">
        <v>413</v>
      </c>
      <c r="C57" s="42" t="s">
        <v>295</v>
      </c>
      <c r="D57" s="42" t="s">
        <v>266</v>
      </c>
      <c r="E57" s="42"/>
      <c r="F57" s="42"/>
      <c r="G57" s="11">
        <f>G58</f>
        <v>335</v>
      </c>
    </row>
    <row r="58" spans="1:7" ht="47.25" x14ac:dyDescent="0.25">
      <c r="A58" s="31" t="s">
        <v>208</v>
      </c>
      <c r="B58" s="42" t="s">
        <v>711</v>
      </c>
      <c r="C58" s="42" t="s">
        <v>295</v>
      </c>
      <c r="D58" s="42" t="s">
        <v>266</v>
      </c>
      <c r="E58" s="42"/>
      <c r="F58" s="42"/>
      <c r="G58" s="11">
        <f>G59</f>
        <v>335</v>
      </c>
    </row>
    <row r="59" spans="1:7" ht="31.5" x14ac:dyDescent="0.25">
      <c r="A59" s="31" t="s">
        <v>299</v>
      </c>
      <c r="B59" s="42" t="s">
        <v>711</v>
      </c>
      <c r="C59" s="42" t="s">
        <v>295</v>
      </c>
      <c r="D59" s="42" t="s">
        <v>266</v>
      </c>
      <c r="E59" s="42" t="s">
        <v>300</v>
      </c>
      <c r="F59" s="42"/>
      <c r="G59" s="11">
        <f>G60</f>
        <v>335</v>
      </c>
    </row>
    <row r="60" spans="1:7" ht="31.5" x14ac:dyDescent="0.25">
      <c r="A60" s="31" t="s">
        <v>399</v>
      </c>
      <c r="B60" s="42" t="s">
        <v>711</v>
      </c>
      <c r="C60" s="42" t="s">
        <v>295</v>
      </c>
      <c r="D60" s="42" t="s">
        <v>266</v>
      </c>
      <c r="E60" s="42" t="s">
        <v>400</v>
      </c>
      <c r="F60" s="42"/>
      <c r="G60" s="11">
        <f>'Прил.№4 ведомств.'!G484</f>
        <v>335</v>
      </c>
    </row>
    <row r="61" spans="1:7" ht="63" x14ac:dyDescent="0.25">
      <c r="A61" s="47" t="s">
        <v>312</v>
      </c>
      <c r="B61" s="42" t="s">
        <v>413</v>
      </c>
      <c r="C61" s="42" t="s">
        <v>295</v>
      </c>
      <c r="D61" s="42" t="s">
        <v>266</v>
      </c>
      <c r="E61" s="42"/>
      <c r="F61" s="42" t="s">
        <v>704</v>
      </c>
      <c r="G61" s="11">
        <f>G55</f>
        <v>335</v>
      </c>
    </row>
    <row r="62" spans="1:7" ht="78.75" x14ac:dyDescent="0.25">
      <c r="A62" s="64" t="s">
        <v>415</v>
      </c>
      <c r="B62" s="8" t="s">
        <v>416</v>
      </c>
      <c r="C62" s="8"/>
      <c r="D62" s="8"/>
      <c r="E62" s="8"/>
      <c r="F62" s="8"/>
      <c r="G62" s="68">
        <f>G63</f>
        <v>210</v>
      </c>
    </row>
    <row r="63" spans="1:7" ht="15.75" x14ac:dyDescent="0.25">
      <c r="A63" s="47" t="s">
        <v>294</v>
      </c>
      <c r="B63" s="42" t="s">
        <v>416</v>
      </c>
      <c r="C63" s="42" t="s">
        <v>295</v>
      </c>
      <c r="D63" s="42"/>
      <c r="E63" s="42"/>
      <c r="F63" s="42"/>
      <c r="G63" s="11">
        <f>G64</f>
        <v>210</v>
      </c>
    </row>
    <row r="64" spans="1:7" ht="15.75" x14ac:dyDescent="0.25">
      <c r="A64" s="47" t="s">
        <v>303</v>
      </c>
      <c r="B64" s="42" t="s">
        <v>416</v>
      </c>
      <c r="C64" s="42" t="s">
        <v>295</v>
      </c>
      <c r="D64" s="42" t="s">
        <v>266</v>
      </c>
      <c r="E64" s="42"/>
      <c r="F64" s="42"/>
      <c r="G64" s="11">
        <f>G65</f>
        <v>210</v>
      </c>
    </row>
    <row r="65" spans="1:7" ht="42.75" customHeight="1" x14ac:dyDescent="0.25">
      <c r="A65" s="31" t="s">
        <v>208</v>
      </c>
      <c r="B65" s="42" t="s">
        <v>712</v>
      </c>
      <c r="C65" s="42" t="s">
        <v>295</v>
      </c>
      <c r="D65" s="42" t="s">
        <v>266</v>
      </c>
      <c r="E65" s="42"/>
      <c r="F65" s="42"/>
      <c r="G65" s="11">
        <f>G66</f>
        <v>210</v>
      </c>
    </row>
    <row r="66" spans="1:7" ht="47.25" x14ac:dyDescent="0.25">
      <c r="A66" s="31" t="s">
        <v>182</v>
      </c>
      <c r="B66" s="42" t="s">
        <v>712</v>
      </c>
      <c r="C66" s="42" t="s">
        <v>295</v>
      </c>
      <c r="D66" s="42" t="s">
        <v>266</v>
      </c>
      <c r="E66" s="42" t="s">
        <v>183</v>
      </c>
      <c r="F66" s="42"/>
      <c r="G66" s="11">
        <f>G67</f>
        <v>210</v>
      </c>
    </row>
    <row r="67" spans="1:7" ht="47.25" x14ac:dyDescent="0.25">
      <c r="A67" s="31" t="s">
        <v>184</v>
      </c>
      <c r="B67" s="42" t="s">
        <v>712</v>
      </c>
      <c r="C67" s="42" t="s">
        <v>295</v>
      </c>
      <c r="D67" s="42" t="s">
        <v>266</v>
      </c>
      <c r="E67" s="42" t="s">
        <v>185</v>
      </c>
      <c r="F67" s="42"/>
      <c r="G67" s="11">
        <f>'Прил.№4 ведомств.'!G488</f>
        <v>210</v>
      </c>
    </row>
    <row r="68" spans="1:7" ht="63" x14ac:dyDescent="0.25">
      <c r="A68" s="47" t="s">
        <v>312</v>
      </c>
      <c r="B68" s="42" t="s">
        <v>416</v>
      </c>
      <c r="C68" s="42" t="s">
        <v>295</v>
      </c>
      <c r="D68" s="42" t="s">
        <v>266</v>
      </c>
      <c r="E68" s="42"/>
      <c r="F68" s="42" t="s">
        <v>704</v>
      </c>
      <c r="G68" s="11">
        <f>G62</f>
        <v>210</v>
      </c>
    </row>
    <row r="69" spans="1:7" ht="94.5" x14ac:dyDescent="0.25">
      <c r="A69" s="43" t="s">
        <v>418</v>
      </c>
      <c r="B69" s="8" t="s">
        <v>419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294</v>
      </c>
      <c r="B70" s="42" t="s">
        <v>419</v>
      </c>
      <c r="C70" s="42" t="s">
        <v>295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303</v>
      </c>
      <c r="B71" s="42" t="s">
        <v>419</v>
      </c>
      <c r="C71" s="42" t="s">
        <v>295</v>
      </c>
      <c r="D71" s="42" t="s">
        <v>266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208</v>
      </c>
      <c r="B72" s="42" t="s">
        <v>421</v>
      </c>
      <c r="C72" s="42" t="s">
        <v>295</v>
      </c>
      <c r="D72" s="42" t="s">
        <v>266</v>
      </c>
      <c r="E72" s="42"/>
      <c r="F72" s="42"/>
      <c r="G72" s="11">
        <f>G75+G73</f>
        <v>20</v>
      </c>
    </row>
    <row r="73" spans="1:7" ht="47.25" hidden="1" x14ac:dyDescent="0.25">
      <c r="A73" s="31" t="s">
        <v>182</v>
      </c>
      <c r="B73" s="42" t="s">
        <v>419</v>
      </c>
      <c r="C73" s="42" t="s">
        <v>295</v>
      </c>
      <c r="D73" s="42" t="s">
        <v>266</v>
      </c>
      <c r="E73" s="42" t="s">
        <v>183</v>
      </c>
      <c r="F73" s="42"/>
      <c r="G73" s="11">
        <f>G74</f>
        <v>0</v>
      </c>
    </row>
    <row r="74" spans="1:7" ht="47.25" hidden="1" x14ac:dyDescent="0.25">
      <c r="A74" s="31" t="s">
        <v>184</v>
      </c>
      <c r="B74" s="42" t="s">
        <v>419</v>
      </c>
      <c r="C74" s="42" t="s">
        <v>295</v>
      </c>
      <c r="D74" s="42" t="s">
        <v>266</v>
      </c>
      <c r="E74" s="42" t="s">
        <v>185</v>
      </c>
      <c r="F74" s="42"/>
      <c r="G74" s="11"/>
    </row>
    <row r="75" spans="1:7" ht="63" x14ac:dyDescent="0.25">
      <c r="A75" s="26" t="s">
        <v>323</v>
      </c>
      <c r="B75" s="42" t="s">
        <v>421</v>
      </c>
      <c r="C75" s="42" t="s">
        <v>295</v>
      </c>
      <c r="D75" s="42" t="s">
        <v>266</v>
      </c>
      <c r="E75" s="42" t="s">
        <v>324</v>
      </c>
      <c r="F75" s="42"/>
      <c r="G75" s="11">
        <f>G76</f>
        <v>20</v>
      </c>
    </row>
    <row r="76" spans="1:7" ht="72.75" customHeight="1" x14ac:dyDescent="0.25">
      <c r="A76" s="26" t="s">
        <v>422</v>
      </c>
      <c r="B76" s="42" t="s">
        <v>421</v>
      </c>
      <c r="C76" s="42" t="s">
        <v>295</v>
      </c>
      <c r="D76" s="42" t="s">
        <v>266</v>
      </c>
      <c r="E76" s="42" t="s">
        <v>423</v>
      </c>
      <c r="F76" s="42"/>
      <c r="G76" s="11">
        <f>'Прил.№4 ведомств.'!G492</f>
        <v>20</v>
      </c>
    </row>
    <row r="77" spans="1:7" ht="63" x14ac:dyDescent="0.25">
      <c r="A77" s="26" t="s">
        <v>426</v>
      </c>
      <c r="B77" s="21" t="s">
        <v>427</v>
      </c>
      <c r="C77" s="42" t="s">
        <v>295</v>
      </c>
      <c r="D77" s="42" t="s">
        <v>266</v>
      </c>
      <c r="E77" s="42"/>
      <c r="F77" s="42"/>
      <c r="G77" s="11">
        <f>G78</f>
        <v>10</v>
      </c>
    </row>
    <row r="78" spans="1:7" ht="31.5" x14ac:dyDescent="0.25">
      <c r="A78" s="26" t="s">
        <v>299</v>
      </c>
      <c r="B78" s="21" t="s">
        <v>427</v>
      </c>
      <c r="C78" s="42" t="s">
        <v>295</v>
      </c>
      <c r="D78" s="42" t="s">
        <v>266</v>
      </c>
      <c r="E78" s="42" t="s">
        <v>300</v>
      </c>
      <c r="F78" s="42"/>
      <c r="G78" s="11">
        <f>G79</f>
        <v>10</v>
      </c>
    </row>
    <row r="79" spans="1:7" ht="47.25" x14ac:dyDescent="0.25">
      <c r="A79" s="26" t="s">
        <v>301</v>
      </c>
      <c r="B79" s="21" t="s">
        <v>427</v>
      </c>
      <c r="C79" s="42" t="s">
        <v>295</v>
      </c>
      <c r="D79" s="42" t="s">
        <v>266</v>
      </c>
      <c r="E79" s="42" t="s">
        <v>302</v>
      </c>
      <c r="F79" s="42"/>
      <c r="G79" s="11">
        <f>'Прил.№4 ведомств.'!G501</f>
        <v>10</v>
      </c>
    </row>
    <row r="80" spans="1:7" ht="63" x14ac:dyDescent="0.25">
      <c r="A80" s="47" t="s">
        <v>312</v>
      </c>
      <c r="B80" s="21" t="s">
        <v>419</v>
      </c>
      <c r="C80" s="42" t="s">
        <v>295</v>
      </c>
      <c r="D80" s="42" t="s">
        <v>266</v>
      </c>
      <c r="E80" s="42"/>
      <c r="F80" s="10" t="s">
        <v>704</v>
      </c>
      <c r="G80" s="11">
        <f>G69</f>
        <v>30</v>
      </c>
    </row>
    <row r="81" spans="1:7" ht="173.25" hidden="1" x14ac:dyDescent="0.25">
      <c r="A81" s="26" t="s">
        <v>424</v>
      </c>
      <c r="B81" s="21" t="s">
        <v>425</v>
      </c>
      <c r="C81" s="42" t="s">
        <v>295</v>
      </c>
      <c r="D81" s="42" t="s">
        <v>266</v>
      </c>
      <c r="E81" s="42"/>
      <c r="F81" s="10"/>
      <c r="G81" s="11">
        <f>G82</f>
        <v>0</v>
      </c>
    </row>
    <row r="82" spans="1:7" ht="15.75" hidden="1" x14ac:dyDescent="0.25">
      <c r="A82" s="26" t="s">
        <v>186</v>
      </c>
      <c r="B82" s="21" t="s">
        <v>425</v>
      </c>
      <c r="C82" s="42" t="s">
        <v>295</v>
      </c>
      <c r="D82" s="42" t="s">
        <v>266</v>
      </c>
      <c r="E82" s="42" t="s">
        <v>196</v>
      </c>
      <c r="F82" s="10"/>
      <c r="G82" s="11">
        <f>G83</f>
        <v>0</v>
      </c>
    </row>
    <row r="83" spans="1:7" ht="78.75" hidden="1" x14ac:dyDescent="0.25">
      <c r="A83" s="26" t="s">
        <v>235</v>
      </c>
      <c r="B83" s="21" t="s">
        <v>425</v>
      </c>
      <c r="C83" s="42" t="s">
        <v>295</v>
      </c>
      <c r="D83" s="42" t="s">
        <v>266</v>
      </c>
      <c r="E83" s="42" t="s">
        <v>211</v>
      </c>
      <c r="F83" s="10"/>
      <c r="G83" s="11"/>
    </row>
    <row r="84" spans="1:7" ht="63" hidden="1" x14ac:dyDescent="0.25">
      <c r="A84" s="47" t="s">
        <v>312</v>
      </c>
      <c r="B84" s="21" t="s">
        <v>425</v>
      </c>
      <c r="C84" s="42" t="s">
        <v>295</v>
      </c>
      <c r="D84" s="42" t="s">
        <v>266</v>
      </c>
      <c r="E84" s="42"/>
      <c r="F84" s="10" t="s">
        <v>704</v>
      </c>
      <c r="G84" s="11">
        <f>G83</f>
        <v>0</v>
      </c>
    </row>
    <row r="85" spans="1:7" ht="63" hidden="1" x14ac:dyDescent="0.25">
      <c r="A85" s="26" t="s">
        <v>426</v>
      </c>
      <c r="B85" s="21" t="s">
        <v>427</v>
      </c>
      <c r="C85" s="42" t="s">
        <v>295</v>
      </c>
      <c r="D85" s="42" t="s">
        <v>266</v>
      </c>
      <c r="E85" s="42"/>
      <c r="F85" s="10"/>
      <c r="G85" s="11">
        <f>G86</f>
        <v>0</v>
      </c>
    </row>
    <row r="86" spans="1:7" ht="31.5" hidden="1" x14ac:dyDescent="0.25">
      <c r="A86" s="31" t="s">
        <v>299</v>
      </c>
      <c r="B86" s="21" t="s">
        <v>427</v>
      </c>
      <c r="C86" s="42" t="s">
        <v>295</v>
      </c>
      <c r="D86" s="42" t="s">
        <v>266</v>
      </c>
      <c r="E86" s="42" t="s">
        <v>300</v>
      </c>
      <c r="F86" s="10"/>
      <c r="G86" s="11">
        <f>G87</f>
        <v>0</v>
      </c>
    </row>
    <row r="87" spans="1:7" ht="47.25" hidden="1" x14ac:dyDescent="0.25">
      <c r="A87" s="31" t="s">
        <v>301</v>
      </c>
      <c r="B87" s="21" t="s">
        <v>427</v>
      </c>
      <c r="C87" s="42" t="s">
        <v>295</v>
      </c>
      <c r="D87" s="42" t="s">
        <v>266</v>
      </c>
      <c r="E87" s="42" t="s">
        <v>302</v>
      </c>
      <c r="F87" s="10"/>
      <c r="G87" s="11"/>
    </row>
    <row r="88" spans="1:7" ht="63" hidden="1" x14ac:dyDescent="0.25">
      <c r="A88" s="47" t="s">
        <v>312</v>
      </c>
      <c r="B88" s="21" t="s">
        <v>427</v>
      </c>
      <c r="C88" s="42" t="s">
        <v>295</v>
      </c>
      <c r="D88" s="42" t="s">
        <v>266</v>
      </c>
      <c r="E88" s="42"/>
      <c r="F88" s="10" t="s">
        <v>704</v>
      </c>
      <c r="G88" s="11">
        <f>G85</f>
        <v>0</v>
      </c>
    </row>
    <row r="89" spans="1:7" ht="47.25" hidden="1" x14ac:dyDescent="0.25">
      <c r="A89" s="31" t="s">
        <v>428</v>
      </c>
      <c r="B89" s="21" t="s">
        <v>429</v>
      </c>
      <c r="C89" s="42" t="s">
        <v>295</v>
      </c>
      <c r="D89" s="42" t="s">
        <v>266</v>
      </c>
      <c r="E89" s="42"/>
      <c r="F89" s="42"/>
      <c r="G89" s="11">
        <f>G90</f>
        <v>0</v>
      </c>
    </row>
    <row r="90" spans="1:7" ht="47.25" hidden="1" x14ac:dyDescent="0.25">
      <c r="A90" s="31" t="s">
        <v>182</v>
      </c>
      <c r="B90" s="21" t="s">
        <v>429</v>
      </c>
      <c r="C90" s="42" t="s">
        <v>295</v>
      </c>
      <c r="D90" s="42" t="s">
        <v>266</v>
      </c>
      <c r="E90" s="42" t="s">
        <v>183</v>
      </c>
      <c r="F90" s="42"/>
      <c r="G90" s="11">
        <f>G91</f>
        <v>0</v>
      </c>
    </row>
    <row r="91" spans="1:7" ht="47.25" hidden="1" x14ac:dyDescent="0.25">
      <c r="A91" s="31" t="s">
        <v>184</v>
      </c>
      <c r="B91" s="21" t="s">
        <v>429</v>
      </c>
      <c r="C91" s="42" t="s">
        <v>295</v>
      </c>
      <c r="D91" s="42" t="s">
        <v>266</v>
      </c>
      <c r="E91" s="42" t="s">
        <v>185</v>
      </c>
      <c r="F91" s="42"/>
      <c r="G91" s="11">
        <v>0</v>
      </c>
    </row>
    <row r="92" spans="1:7" ht="15.75" hidden="1" x14ac:dyDescent="0.25">
      <c r="A92" s="31" t="s">
        <v>186</v>
      </c>
      <c r="B92" s="21" t="s">
        <v>429</v>
      </c>
      <c r="C92" s="42" t="s">
        <v>295</v>
      </c>
      <c r="D92" s="42" t="s">
        <v>266</v>
      </c>
      <c r="E92" s="42" t="s">
        <v>196</v>
      </c>
      <c r="F92" s="42"/>
      <c r="G92" s="11"/>
    </row>
    <row r="93" spans="1:7" ht="78.75" hidden="1" x14ac:dyDescent="0.25">
      <c r="A93" s="31" t="s">
        <v>235</v>
      </c>
      <c r="B93" s="21" t="s">
        <v>429</v>
      </c>
      <c r="C93" s="42" t="s">
        <v>295</v>
      </c>
      <c r="D93" s="42" t="s">
        <v>266</v>
      </c>
      <c r="E93" s="42" t="s">
        <v>211</v>
      </c>
      <c r="F93" s="42"/>
      <c r="G93" s="11"/>
    </row>
    <row r="94" spans="1:7" ht="63" hidden="1" x14ac:dyDescent="0.25">
      <c r="A94" s="47" t="s">
        <v>312</v>
      </c>
      <c r="B94" s="21" t="s">
        <v>429</v>
      </c>
      <c r="C94" s="42" t="s">
        <v>295</v>
      </c>
      <c r="D94" s="42" t="s">
        <v>266</v>
      </c>
      <c r="E94" s="42"/>
      <c r="F94" s="10" t="s">
        <v>704</v>
      </c>
      <c r="G94" s="11">
        <f>G89</f>
        <v>0</v>
      </c>
    </row>
    <row r="95" spans="1:7" ht="141.75" x14ac:dyDescent="0.25">
      <c r="A95" s="43" t="s">
        <v>431</v>
      </c>
      <c r="B95" s="8" t="s">
        <v>432</v>
      </c>
      <c r="C95" s="8"/>
      <c r="D95" s="8"/>
      <c r="E95" s="8"/>
      <c r="F95" s="9"/>
      <c r="G95" s="68">
        <f>G96</f>
        <v>105</v>
      </c>
    </row>
    <row r="96" spans="1:7" ht="15.75" x14ac:dyDescent="0.25">
      <c r="A96" s="47" t="s">
        <v>294</v>
      </c>
      <c r="B96" s="42" t="s">
        <v>432</v>
      </c>
      <c r="C96" s="42" t="s">
        <v>295</v>
      </c>
      <c r="D96" s="42"/>
      <c r="E96" s="42"/>
      <c r="F96" s="10"/>
      <c r="G96" s="11">
        <f>G97</f>
        <v>105</v>
      </c>
    </row>
    <row r="97" spans="1:7" ht="24.75" customHeight="1" x14ac:dyDescent="0.25">
      <c r="A97" s="47" t="s">
        <v>303</v>
      </c>
      <c r="B97" s="42" t="s">
        <v>432</v>
      </c>
      <c r="C97" s="42" t="s">
        <v>295</v>
      </c>
      <c r="D97" s="42" t="s">
        <v>266</v>
      </c>
      <c r="E97" s="42"/>
      <c r="F97" s="10"/>
      <c r="G97" s="11">
        <f>G98</f>
        <v>105</v>
      </c>
    </row>
    <row r="98" spans="1:7" ht="47.25" x14ac:dyDescent="0.25">
      <c r="A98" s="31" t="s">
        <v>208</v>
      </c>
      <c r="B98" s="42" t="s">
        <v>433</v>
      </c>
      <c r="C98" s="42" t="s">
        <v>295</v>
      </c>
      <c r="D98" s="42" t="s">
        <v>266</v>
      </c>
      <c r="E98" s="42"/>
      <c r="F98" s="10"/>
      <c r="G98" s="11">
        <f>G99</f>
        <v>105</v>
      </c>
    </row>
    <row r="99" spans="1:7" ht="47.25" x14ac:dyDescent="0.25">
      <c r="A99" s="31" t="s">
        <v>182</v>
      </c>
      <c r="B99" s="42" t="s">
        <v>433</v>
      </c>
      <c r="C99" s="42" t="s">
        <v>295</v>
      </c>
      <c r="D99" s="42" t="s">
        <v>266</v>
      </c>
      <c r="E99" s="42" t="s">
        <v>183</v>
      </c>
      <c r="F99" s="10"/>
      <c r="G99" s="11">
        <f>G100</f>
        <v>105</v>
      </c>
    </row>
    <row r="100" spans="1:7" ht="47.25" x14ac:dyDescent="0.25">
      <c r="A100" s="31" t="s">
        <v>184</v>
      </c>
      <c r="B100" s="42" t="s">
        <v>433</v>
      </c>
      <c r="C100" s="42" t="s">
        <v>295</v>
      </c>
      <c r="D100" s="42" t="s">
        <v>266</v>
      </c>
      <c r="E100" s="42" t="s">
        <v>185</v>
      </c>
      <c r="F100" s="10"/>
      <c r="G100" s="11">
        <f>'Прил.№4 ведомств.'!G510</f>
        <v>105</v>
      </c>
    </row>
    <row r="101" spans="1:7" ht="63" x14ac:dyDescent="0.25">
      <c r="A101" s="47" t="s">
        <v>312</v>
      </c>
      <c r="B101" s="42" t="s">
        <v>432</v>
      </c>
      <c r="C101" s="42" t="s">
        <v>295</v>
      </c>
      <c r="D101" s="42" t="s">
        <v>266</v>
      </c>
      <c r="E101" s="42"/>
      <c r="F101" s="10" t="s">
        <v>704</v>
      </c>
      <c r="G101" s="11">
        <f>G95</f>
        <v>105</v>
      </c>
    </row>
    <row r="102" spans="1:7" ht="63" x14ac:dyDescent="0.25">
      <c r="A102" s="64" t="s">
        <v>478</v>
      </c>
      <c r="B102" s="8" t="s">
        <v>458</v>
      </c>
      <c r="C102" s="8"/>
      <c r="D102" s="8"/>
      <c r="E102" s="8"/>
      <c r="F102" s="8"/>
      <c r="G102" s="68">
        <f>G103+G118+G163+G188+G210</f>
        <v>89244.7</v>
      </c>
    </row>
    <row r="103" spans="1:7" ht="47.25" x14ac:dyDescent="0.25">
      <c r="A103" s="43" t="s">
        <v>459</v>
      </c>
      <c r="B103" s="8" t="s">
        <v>460</v>
      </c>
      <c r="C103" s="8"/>
      <c r="D103" s="8"/>
      <c r="E103" s="8"/>
      <c r="F103" s="8"/>
      <c r="G103" s="68">
        <f>G104</f>
        <v>70853.600000000006</v>
      </c>
    </row>
    <row r="104" spans="1:7" ht="15.75" x14ac:dyDescent="0.25">
      <c r="A104" s="31" t="s">
        <v>314</v>
      </c>
      <c r="B104" s="42" t="s">
        <v>460</v>
      </c>
      <c r="C104" s="42" t="s">
        <v>315</v>
      </c>
      <c r="D104" s="42"/>
      <c r="E104" s="42"/>
      <c r="F104" s="42"/>
      <c r="G104" s="11">
        <f>G105+G109+G113</f>
        <v>70853.600000000006</v>
      </c>
    </row>
    <row r="105" spans="1:7" ht="15.75" x14ac:dyDescent="0.25">
      <c r="A105" s="47" t="s">
        <v>456</v>
      </c>
      <c r="B105" s="42" t="s">
        <v>460</v>
      </c>
      <c r="C105" s="42" t="s">
        <v>315</v>
      </c>
      <c r="D105" s="42" t="s">
        <v>169</v>
      </c>
      <c r="E105" s="42"/>
      <c r="F105" s="42"/>
      <c r="G105" s="11">
        <f>G106</f>
        <v>15578.400000000001</v>
      </c>
    </row>
    <row r="106" spans="1:7" ht="63" x14ac:dyDescent="0.25">
      <c r="A106" s="31" t="s">
        <v>461</v>
      </c>
      <c r="B106" s="42" t="s">
        <v>462</v>
      </c>
      <c r="C106" s="42" t="s">
        <v>315</v>
      </c>
      <c r="D106" s="42" t="s">
        <v>169</v>
      </c>
      <c r="E106" s="42"/>
      <c r="F106" s="42"/>
      <c r="G106" s="11">
        <f>G107</f>
        <v>15578.400000000001</v>
      </c>
    </row>
    <row r="107" spans="1:7" ht="63" x14ac:dyDescent="0.25">
      <c r="A107" s="31" t="s">
        <v>323</v>
      </c>
      <c r="B107" s="42" t="s">
        <v>462</v>
      </c>
      <c r="C107" s="42" t="s">
        <v>315</v>
      </c>
      <c r="D107" s="42" t="s">
        <v>169</v>
      </c>
      <c r="E107" s="42" t="s">
        <v>324</v>
      </c>
      <c r="F107" s="42"/>
      <c r="G107" s="11">
        <f>G108</f>
        <v>15578.400000000001</v>
      </c>
    </row>
    <row r="108" spans="1:7" ht="15.75" x14ac:dyDescent="0.25">
      <c r="A108" s="31" t="s">
        <v>325</v>
      </c>
      <c r="B108" s="42" t="s">
        <v>462</v>
      </c>
      <c r="C108" s="42" t="s">
        <v>315</v>
      </c>
      <c r="D108" s="42" t="s">
        <v>169</v>
      </c>
      <c r="E108" s="42" t="s">
        <v>326</v>
      </c>
      <c r="F108" s="42"/>
      <c r="G108" s="7">
        <f>'Прил.№4 ведомств.'!G602</f>
        <v>15578.400000000001</v>
      </c>
    </row>
    <row r="109" spans="1:7" ht="15.75" x14ac:dyDescent="0.25">
      <c r="A109" s="31" t="s">
        <v>477</v>
      </c>
      <c r="B109" s="42" t="s">
        <v>460</v>
      </c>
      <c r="C109" s="42" t="s">
        <v>315</v>
      </c>
      <c r="D109" s="42" t="s">
        <v>264</v>
      </c>
      <c r="E109" s="42"/>
      <c r="F109" s="42"/>
      <c r="G109" s="11">
        <f>G110</f>
        <v>34151.199999999997</v>
      </c>
    </row>
    <row r="110" spans="1:7" ht="57.75" customHeight="1" x14ac:dyDescent="0.25">
      <c r="A110" s="31" t="s">
        <v>479</v>
      </c>
      <c r="B110" s="42" t="s">
        <v>480</v>
      </c>
      <c r="C110" s="42" t="s">
        <v>315</v>
      </c>
      <c r="D110" s="42" t="s">
        <v>264</v>
      </c>
      <c r="E110" s="42"/>
      <c r="F110" s="42"/>
      <c r="G110" s="11">
        <f>G111</f>
        <v>34151.199999999997</v>
      </c>
    </row>
    <row r="111" spans="1:7" ht="70.5" customHeight="1" x14ac:dyDescent="0.25">
      <c r="A111" s="31" t="s">
        <v>323</v>
      </c>
      <c r="B111" s="42" t="s">
        <v>480</v>
      </c>
      <c r="C111" s="42" t="s">
        <v>315</v>
      </c>
      <c r="D111" s="42" t="s">
        <v>264</v>
      </c>
      <c r="E111" s="42" t="s">
        <v>324</v>
      </c>
      <c r="F111" s="42"/>
      <c r="G111" s="11">
        <f>G112</f>
        <v>34151.199999999997</v>
      </c>
    </row>
    <row r="112" spans="1:7" ht="15.75" x14ac:dyDescent="0.25">
      <c r="A112" s="31" t="s">
        <v>325</v>
      </c>
      <c r="B112" s="42" t="s">
        <v>480</v>
      </c>
      <c r="C112" s="42" t="s">
        <v>315</v>
      </c>
      <c r="D112" s="42" t="s">
        <v>264</v>
      </c>
      <c r="E112" s="42" t="s">
        <v>326</v>
      </c>
      <c r="F112" s="42"/>
      <c r="G112" s="7">
        <f>'Прил.№4 ведомств.'!G653</f>
        <v>34151.199999999997</v>
      </c>
    </row>
    <row r="113" spans="1:7" ht="15.75" x14ac:dyDescent="0.25">
      <c r="A113" s="31" t="s">
        <v>316</v>
      </c>
      <c r="B113" s="42" t="s">
        <v>460</v>
      </c>
      <c r="C113" s="42" t="s">
        <v>315</v>
      </c>
      <c r="D113" s="42" t="s">
        <v>266</v>
      </c>
      <c r="E113" s="42"/>
      <c r="F113" s="42"/>
      <c r="G113" s="7">
        <f>G114</f>
        <v>21124</v>
      </c>
    </row>
    <row r="114" spans="1:7" ht="63" x14ac:dyDescent="0.25">
      <c r="A114" s="31" t="s">
        <v>321</v>
      </c>
      <c r="B114" s="42" t="s">
        <v>481</v>
      </c>
      <c r="C114" s="42" t="s">
        <v>315</v>
      </c>
      <c r="D114" s="42" t="s">
        <v>266</v>
      </c>
      <c r="E114" s="8"/>
      <c r="F114" s="8"/>
      <c r="G114" s="11">
        <f>G115</f>
        <v>21124</v>
      </c>
    </row>
    <row r="115" spans="1:7" ht="63" x14ac:dyDescent="0.25">
      <c r="A115" s="31" t="s">
        <v>323</v>
      </c>
      <c r="B115" s="42" t="s">
        <v>481</v>
      </c>
      <c r="C115" s="42" t="s">
        <v>315</v>
      </c>
      <c r="D115" s="42" t="s">
        <v>266</v>
      </c>
      <c r="E115" s="42" t="s">
        <v>324</v>
      </c>
      <c r="F115" s="42"/>
      <c r="G115" s="11">
        <f>G116</f>
        <v>21124</v>
      </c>
    </row>
    <row r="116" spans="1:7" ht="15.75" x14ac:dyDescent="0.25">
      <c r="A116" s="31" t="s">
        <v>325</v>
      </c>
      <c r="B116" s="42" t="s">
        <v>481</v>
      </c>
      <c r="C116" s="42" t="s">
        <v>315</v>
      </c>
      <c r="D116" s="42" t="s">
        <v>266</v>
      </c>
      <c r="E116" s="42" t="s">
        <v>326</v>
      </c>
      <c r="F116" s="42"/>
      <c r="G116" s="7">
        <f>'Прил.№4 ведомств.'!G722</f>
        <v>21124</v>
      </c>
    </row>
    <row r="117" spans="1:7" ht="47.25" x14ac:dyDescent="0.25">
      <c r="A117" s="31" t="s">
        <v>455</v>
      </c>
      <c r="B117" s="42" t="s">
        <v>460</v>
      </c>
      <c r="C117" s="42" t="s">
        <v>315</v>
      </c>
      <c r="D117" s="42" t="s">
        <v>266</v>
      </c>
      <c r="E117" s="42"/>
      <c r="F117" s="42" t="s">
        <v>713</v>
      </c>
      <c r="G117" s="7">
        <f>G103</f>
        <v>70853.600000000006</v>
      </c>
    </row>
    <row r="118" spans="1:7" ht="47.25" x14ac:dyDescent="0.25">
      <c r="A118" s="43" t="s">
        <v>463</v>
      </c>
      <c r="B118" s="8" t="s">
        <v>464</v>
      </c>
      <c r="C118" s="8"/>
      <c r="D118" s="8"/>
      <c r="E118" s="8"/>
      <c r="F118" s="8"/>
      <c r="G118" s="68">
        <f>G119</f>
        <v>7875</v>
      </c>
    </row>
    <row r="119" spans="1:7" ht="15.75" x14ac:dyDescent="0.25">
      <c r="A119" s="31" t="s">
        <v>314</v>
      </c>
      <c r="B119" s="42" t="s">
        <v>464</v>
      </c>
      <c r="C119" s="42" t="s">
        <v>315</v>
      </c>
      <c r="D119" s="42"/>
      <c r="E119" s="42"/>
      <c r="F119" s="42"/>
      <c r="G119" s="11">
        <f>G120</f>
        <v>7875</v>
      </c>
    </row>
    <row r="120" spans="1:7" ht="15.75" x14ac:dyDescent="0.25">
      <c r="A120" s="47" t="s">
        <v>456</v>
      </c>
      <c r="B120" s="42" t="s">
        <v>464</v>
      </c>
      <c r="C120" s="42" t="s">
        <v>315</v>
      </c>
      <c r="D120" s="42" t="s">
        <v>169</v>
      </c>
      <c r="E120" s="42"/>
      <c r="F120" s="42"/>
      <c r="G120" s="11">
        <f>G133+G130</f>
        <v>7875</v>
      </c>
    </row>
    <row r="121" spans="1:7" ht="57.75" hidden="1" customHeight="1" x14ac:dyDescent="0.25">
      <c r="A121" s="31" t="s">
        <v>657</v>
      </c>
      <c r="B121" s="42" t="s">
        <v>658</v>
      </c>
      <c r="C121" s="42" t="s">
        <v>315</v>
      </c>
      <c r="D121" s="42" t="s">
        <v>169</v>
      </c>
      <c r="E121" s="42"/>
      <c r="F121" s="42"/>
      <c r="G121" s="11">
        <f>G122</f>
        <v>0</v>
      </c>
    </row>
    <row r="122" spans="1:7" ht="63" hidden="1" x14ac:dyDescent="0.25">
      <c r="A122" s="31" t="s">
        <v>323</v>
      </c>
      <c r="B122" s="42" t="s">
        <v>658</v>
      </c>
      <c r="C122" s="42" t="s">
        <v>315</v>
      </c>
      <c r="D122" s="42" t="s">
        <v>169</v>
      </c>
      <c r="E122" s="42" t="s">
        <v>324</v>
      </c>
      <c r="F122" s="42"/>
      <c r="G122" s="11">
        <f>G123</f>
        <v>0</v>
      </c>
    </row>
    <row r="123" spans="1:7" ht="15.75" hidden="1" x14ac:dyDescent="0.25">
      <c r="A123" s="31" t="s">
        <v>325</v>
      </c>
      <c r="B123" s="42" t="s">
        <v>658</v>
      </c>
      <c r="C123" s="42" t="s">
        <v>315</v>
      </c>
      <c r="D123" s="42" t="s">
        <v>169</v>
      </c>
      <c r="E123" s="42" t="s">
        <v>326</v>
      </c>
      <c r="F123" s="42"/>
      <c r="G123" s="11"/>
    </row>
    <row r="124" spans="1:7" ht="47.25" hidden="1" x14ac:dyDescent="0.25">
      <c r="A124" s="31" t="s">
        <v>455</v>
      </c>
      <c r="B124" s="42" t="s">
        <v>658</v>
      </c>
      <c r="C124" s="42" t="s">
        <v>315</v>
      </c>
      <c r="D124" s="42" t="s">
        <v>169</v>
      </c>
      <c r="E124" s="42"/>
      <c r="F124" s="42" t="s">
        <v>713</v>
      </c>
      <c r="G124" s="11">
        <v>0</v>
      </c>
    </row>
    <row r="125" spans="1:7" ht="47.25" hidden="1" x14ac:dyDescent="0.25">
      <c r="A125" s="31" t="s">
        <v>329</v>
      </c>
      <c r="B125" s="42" t="s">
        <v>659</v>
      </c>
      <c r="C125" s="42" t="s">
        <v>315</v>
      </c>
      <c r="D125" s="42" t="s">
        <v>169</v>
      </c>
      <c r="E125" s="42"/>
      <c r="F125" s="42"/>
      <c r="G125" s="11">
        <f>G126</f>
        <v>0</v>
      </c>
    </row>
    <row r="126" spans="1:7" ht="63" hidden="1" x14ac:dyDescent="0.25">
      <c r="A126" s="31" t="s">
        <v>323</v>
      </c>
      <c r="B126" s="42" t="s">
        <v>659</v>
      </c>
      <c r="C126" s="42" t="s">
        <v>315</v>
      </c>
      <c r="D126" s="42" t="s">
        <v>169</v>
      </c>
      <c r="E126" s="42" t="s">
        <v>324</v>
      </c>
      <c r="F126" s="42"/>
      <c r="G126" s="11">
        <f>G127</f>
        <v>0</v>
      </c>
    </row>
    <row r="127" spans="1:7" ht="15.75" hidden="1" x14ac:dyDescent="0.25">
      <c r="A127" s="31" t="s">
        <v>325</v>
      </c>
      <c r="B127" s="42" t="s">
        <v>659</v>
      </c>
      <c r="C127" s="42" t="s">
        <v>315</v>
      </c>
      <c r="D127" s="42" t="s">
        <v>169</v>
      </c>
      <c r="E127" s="42" t="s">
        <v>326</v>
      </c>
      <c r="F127" s="42"/>
      <c r="G127" s="11"/>
    </row>
    <row r="128" spans="1:7" ht="47.25" hidden="1" x14ac:dyDescent="0.25">
      <c r="A128" s="31" t="s">
        <v>455</v>
      </c>
      <c r="B128" s="42" t="s">
        <v>659</v>
      </c>
      <c r="C128" s="42" t="s">
        <v>315</v>
      </c>
      <c r="D128" s="42" t="s">
        <v>169</v>
      </c>
      <c r="E128" s="42"/>
      <c r="F128" s="42" t="s">
        <v>713</v>
      </c>
      <c r="G128" s="11">
        <v>0</v>
      </c>
    </row>
    <row r="129" spans="1:8" ht="31.5" x14ac:dyDescent="0.25">
      <c r="A129" s="31" t="s">
        <v>331</v>
      </c>
      <c r="B129" s="42" t="s">
        <v>466</v>
      </c>
      <c r="C129" s="42" t="s">
        <v>315</v>
      </c>
      <c r="D129" s="42" t="s">
        <v>169</v>
      </c>
      <c r="E129" s="42"/>
      <c r="F129" s="42"/>
      <c r="G129" s="11">
        <f>G130</f>
        <v>1145</v>
      </c>
    </row>
    <row r="130" spans="1:8" ht="63" x14ac:dyDescent="0.25">
      <c r="A130" s="31" t="s">
        <v>323</v>
      </c>
      <c r="B130" s="42" t="s">
        <v>466</v>
      </c>
      <c r="C130" s="42" t="s">
        <v>315</v>
      </c>
      <c r="D130" s="42" t="s">
        <v>169</v>
      </c>
      <c r="E130" s="42" t="s">
        <v>324</v>
      </c>
      <c r="F130" s="42"/>
      <c r="G130" s="11">
        <f>G131</f>
        <v>1145</v>
      </c>
    </row>
    <row r="131" spans="1:8" ht="15.75" x14ac:dyDescent="0.25">
      <c r="A131" s="31" t="s">
        <v>325</v>
      </c>
      <c r="B131" s="42" t="s">
        <v>466</v>
      </c>
      <c r="C131" s="42" t="s">
        <v>315</v>
      </c>
      <c r="D131" s="42" t="s">
        <v>169</v>
      </c>
      <c r="E131" s="42" t="s">
        <v>326</v>
      </c>
      <c r="F131" s="42"/>
      <c r="G131" s="191">
        <f>'Прил.№4 ведомств.'!G609</f>
        <v>1145</v>
      </c>
      <c r="H131" s="192" t="s">
        <v>819</v>
      </c>
    </row>
    <row r="132" spans="1:8" ht="47.25" hidden="1" x14ac:dyDescent="0.25">
      <c r="A132" s="31" t="s">
        <v>455</v>
      </c>
      <c r="B132" s="42" t="s">
        <v>466</v>
      </c>
      <c r="C132" s="42" t="s">
        <v>315</v>
      </c>
      <c r="D132" s="42" t="s">
        <v>169</v>
      </c>
      <c r="E132" s="42"/>
      <c r="F132" s="42" t="s">
        <v>713</v>
      </c>
      <c r="G132" s="11"/>
    </row>
    <row r="133" spans="1:8" ht="63" x14ac:dyDescent="0.25">
      <c r="A133" s="31" t="s">
        <v>467</v>
      </c>
      <c r="B133" s="42" t="s">
        <v>468</v>
      </c>
      <c r="C133" s="42" t="s">
        <v>315</v>
      </c>
      <c r="D133" s="42" t="s">
        <v>169</v>
      </c>
      <c r="E133" s="42"/>
      <c r="F133" s="42"/>
      <c r="G133" s="11">
        <f>G134</f>
        <v>6730</v>
      </c>
    </row>
    <row r="134" spans="1:8" ht="65.25" customHeight="1" x14ac:dyDescent="0.25">
      <c r="A134" s="31" t="s">
        <v>323</v>
      </c>
      <c r="B134" s="42" t="s">
        <v>468</v>
      </c>
      <c r="C134" s="42" t="s">
        <v>315</v>
      </c>
      <c r="D134" s="42" t="s">
        <v>169</v>
      </c>
      <c r="E134" s="42" t="s">
        <v>324</v>
      </c>
      <c r="F134" s="42"/>
      <c r="G134" s="11">
        <f>G135</f>
        <v>6730</v>
      </c>
    </row>
    <row r="135" spans="1:8" ht="15.75" x14ac:dyDescent="0.25">
      <c r="A135" s="31" t="s">
        <v>325</v>
      </c>
      <c r="B135" s="42" t="s">
        <v>468</v>
      </c>
      <c r="C135" s="42" t="s">
        <v>315</v>
      </c>
      <c r="D135" s="42" t="s">
        <v>169</v>
      </c>
      <c r="E135" s="42" t="s">
        <v>326</v>
      </c>
      <c r="F135" s="42"/>
      <c r="G135" s="7">
        <f>'Прил.№4 ведомств.'!G612</f>
        <v>6730</v>
      </c>
    </row>
    <row r="136" spans="1:8" ht="47.25" x14ac:dyDescent="0.25">
      <c r="A136" s="31" t="s">
        <v>455</v>
      </c>
      <c r="B136" s="42" t="s">
        <v>464</v>
      </c>
      <c r="C136" s="42" t="s">
        <v>315</v>
      </c>
      <c r="D136" s="42" t="s">
        <v>169</v>
      </c>
      <c r="E136" s="42"/>
      <c r="F136" s="42" t="s">
        <v>713</v>
      </c>
      <c r="G136" s="7">
        <f>G118+G131</f>
        <v>9020</v>
      </c>
    </row>
    <row r="137" spans="1:8" ht="31.5" hidden="1" x14ac:dyDescent="0.25">
      <c r="A137" s="31" t="s">
        <v>335</v>
      </c>
      <c r="B137" s="42" t="s">
        <v>662</v>
      </c>
      <c r="C137" s="42" t="s">
        <v>315</v>
      </c>
      <c r="D137" s="42" t="s">
        <v>169</v>
      </c>
      <c r="E137" s="42"/>
      <c r="F137" s="42"/>
      <c r="G137" s="11">
        <f>G138</f>
        <v>0</v>
      </c>
    </row>
    <row r="138" spans="1:8" ht="63" hidden="1" x14ac:dyDescent="0.25">
      <c r="A138" s="31" t="s">
        <v>323</v>
      </c>
      <c r="B138" s="42" t="s">
        <v>662</v>
      </c>
      <c r="C138" s="42" t="s">
        <v>315</v>
      </c>
      <c r="D138" s="42" t="s">
        <v>169</v>
      </c>
      <c r="E138" s="42" t="s">
        <v>324</v>
      </c>
      <c r="F138" s="42"/>
      <c r="G138" s="11">
        <f>G139</f>
        <v>0</v>
      </c>
    </row>
    <row r="139" spans="1:8" ht="15.75" hidden="1" x14ac:dyDescent="0.25">
      <c r="A139" s="31" t="s">
        <v>325</v>
      </c>
      <c r="B139" s="42" t="s">
        <v>662</v>
      </c>
      <c r="C139" s="42" t="s">
        <v>315</v>
      </c>
      <c r="D139" s="42" t="s">
        <v>169</v>
      </c>
      <c r="E139" s="42" t="s">
        <v>326</v>
      </c>
      <c r="F139" s="42"/>
      <c r="G139" s="11"/>
    </row>
    <row r="140" spans="1:8" ht="47.25" hidden="1" x14ac:dyDescent="0.25">
      <c r="A140" s="31" t="s">
        <v>455</v>
      </c>
      <c r="B140" s="42" t="s">
        <v>662</v>
      </c>
      <c r="C140" s="42" t="s">
        <v>315</v>
      </c>
      <c r="D140" s="42" t="s">
        <v>169</v>
      </c>
      <c r="E140" s="42"/>
      <c r="F140" s="42" t="s">
        <v>713</v>
      </c>
      <c r="G140" s="11">
        <v>0</v>
      </c>
    </row>
    <row r="141" spans="1:8" ht="47.25" x14ac:dyDescent="0.25">
      <c r="A141" s="43" t="s">
        <v>482</v>
      </c>
      <c r="B141" s="8" t="s">
        <v>483</v>
      </c>
      <c r="C141" s="8"/>
      <c r="D141" s="8"/>
      <c r="E141" s="8"/>
      <c r="F141" s="8"/>
      <c r="G141" s="4">
        <f>G162</f>
        <v>6675.4</v>
      </c>
    </row>
    <row r="142" spans="1:8" ht="70.5" hidden="1" customHeight="1" x14ac:dyDescent="0.25">
      <c r="A142" s="31" t="s">
        <v>657</v>
      </c>
      <c r="B142" s="42" t="s">
        <v>663</v>
      </c>
      <c r="C142" s="42" t="s">
        <v>315</v>
      </c>
      <c r="D142" s="42" t="s">
        <v>264</v>
      </c>
      <c r="E142" s="42"/>
      <c r="F142" s="42"/>
      <c r="G142" s="11">
        <f>G143</f>
        <v>0</v>
      </c>
    </row>
    <row r="143" spans="1:8" ht="63" hidden="1" x14ac:dyDescent="0.25">
      <c r="A143" s="31" t="s">
        <v>323</v>
      </c>
      <c r="B143" s="42" t="s">
        <v>663</v>
      </c>
      <c r="C143" s="42" t="s">
        <v>315</v>
      </c>
      <c r="D143" s="42" t="s">
        <v>264</v>
      </c>
      <c r="E143" s="42" t="s">
        <v>324</v>
      </c>
      <c r="F143" s="42"/>
      <c r="G143" s="11">
        <f>G145</f>
        <v>0</v>
      </c>
    </row>
    <row r="144" spans="1:8" ht="18.75" hidden="1" customHeight="1" x14ac:dyDescent="0.25">
      <c r="A144" s="31" t="s">
        <v>325</v>
      </c>
      <c r="B144" s="42" t="s">
        <v>663</v>
      </c>
      <c r="C144" s="42" t="s">
        <v>315</v>
      </c>
      <c r="D144" s="42" t="s">
        <v>264</v>
      </c>
      <c r="E144" s="42" t="s">
        <v>326</v>
      </c>
      <c r="F144" s="42"/>
      <c r="G144" s="11"/>
    </row>
    <row r="145" spans="1:7" ht="47.25" hidden="1" x14ac:dyDescent="0.25">
      <c r="A145" s="31" t="s">
        <v>455</v>
      </c>
      <c r="B145" s="42" t="s">
        <v>663</v>
      </c>
      <c r="C145" s="42" t="s">
        <v>315</v>
      </c>
      <c r="D145" s="42" t="s">
        <v>264</v>
      </c>
      <c r="E145" s="42"/>
      <c r="F145" s="42" t="s">
        <v>713</v>
      </c>
      <c r="G145" s="11"/>
    </row>
    <row r="146" spans="1:7" ht="78.75" hidden="1" x14ac:dyDescent="0.25">
      <c r="A146" s="26" t="s">
        <v>484</v>
      </c>
      <c r="B146" s="42" t="s">
        <v>485</v>
      </c>
      <c r="C146" s="42" t="s">
        <v>315</v>
      </c>
      <c r="D146" s="42" t="s">
        <v>264</v>
      </c>
      <c r="E146" s="42"/>
      <c r="F146" s="42"/>
      <c r="G146" s="11">
        <f>G147</f>
        <v>0</v>
      </c>
    </row>
    <row r="147" spans="1:7" ht="63" hidden="1" x14ac:dyDescent="0.25">
      <c r="A147" s="31" t="s">
        <v>323</v>
      </c>
      <c r="B147" s="42" t="s">
        <v>485</v>
      </c>
      <c r="C147" s="42" t="s">
        <v>315</v>
      </c>
      <c r="D147" s="42" t="s">
        <v>264</v>
      </c>
      <c r="E147" s="42" t="s">
        <v>324</v>
      </c>
      <c r="F147" s="42"/>
      <c r="G147" s="11">
        <f>G148</f>
        <v>0</v>
      </c>
    </row>
    <row r="148" spans="1:7" ht="15.75" hidden="1" x14ac:dyDescent="0.25">
      <c r="A148" s="31" t="s">
        <v>325</v>
      </c>
      <c r="B148" s="42" t="s">
        <v>485</v>
      </c>
      <c r="C148" s="42" t="s">
        <v>315</v>
      </c>
      <c r="D148" s="42" t="s">
        <v>264</v>
      </c>
      <c r="E148" s="42" t="s">
        <v>326</v>
      </c>
      <c r="F148" s="42"/>
      <c r="G148" s="11"/>
    </row>
    <row r="149" spans="1:7" ht="54.75" hidden="1" customHeight="1" x14ac:dyDescent="0.25">
      <c r="A149" s="31" t="s">
        <v>455</v>
      </c>
      <c r="B149" s="42" t="s">
        <v>485</v>
      </c>
      <c r="C149" s="42" t="s">
        <v>315</v>
      </c>
      <c r="D149" s="42" t="s">
        <v>264</v>
      </c>
      <c r="E149" s="42"/>
      <c r="F149" s="42" t="s">
        <v>713</v>
      </c>
      <c r="G149" s="11">
        <f>G146</f>
        <v>0</v>
      </c>
    </row>
    <row r="150" spans="1:7" ht="31.5" hidden="1" x14ac:dyDescent="0.25">
      <c r="A150" s="26" t="s">
        <v>486</v>
      </c>
      <c r="B150" s="21" t="s">
        <v>487</v>
      </c>
      <c r="C150" s="42" t="s">
        <v>315</v>
      </c>
      <c r="D150" s="42" t="s">
        <v>264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323</v>
      </c>
      <c r="B151" s="21" t="s">
        <v>487</v>
      </c>
      <c r="C151" s="42" t="s">
        <v>315</v>
      </c>
      <c r="D151" s="42" t="s">
        <v>264</v>
      </c>
      <c r="E151" s="42" t="s">
        <v>324</v>
      </c>
      <c r="F151" s="42"/>
      <c r="G151" s="11">
        <f>G152</f>
        <v>0</v>
      </c>
    </row>
    <row r="152" spans="1:7" ht="15.75" hidden="1" x14ac:dyDescent="0.25">
      <c r="A152" s="26" t="s">
        <v>325</v>
      </c>
      <c r="B152" s="21" t="s">
        <v>487</v>
      </c>
      <c r="C152" s="42" t="s">
        <v>315</v>
      </c>
      <c r="D152" s="42" t="s">
        <v>264</v>
      </c>
      <c r="E152" s="42" t="s">
        <v>326</v>
      </c>
      <c r="F152" s="42"/>
      <c r="G152" s="11"/>
    </row>
    <row r="153" spans="1:7" ht="47.25" hidden="1" x14ac:dyDescent="0.25">
      <c r="A153" s="31" t="s">
        <v>455</v>
      </c>
      <c r="B153" s="21" t="s">
        <v>487</v>
      </c>
      <c r="C153" s="42" t="s">
        <v>315</v>
      </c>
      <c r="D153" s="42" t="s">
        <v>264</v>
      </c>
      <c r="E153" s="42"/>
      <c r="F153" s="42" t="s">
        <v>713</v>
      </c>
      <c r="G153" s="11">
        <f>G150</f>
        <v>0</v>
      </c>
    </row>
    <row r="154" spans="1:7" ht="63" hidden="1" x14ac:dyDescent="0.25">
      <c r="A154" s="26" t="s">
        <v>490</v>
      </c>
      <c r="B154" s="21" t="s">
        <v>491</v>
      </c>
      <c r="C154" s="42" t="s">
        <v>315</v>
      </c>
      <c r="D154" s="42" t="s">
        <v>264</v>
      </c>
      <c r="E154" s="42"/>
      <c r="F154" s="42"/>
      <c r="G154" s="11">
        <f>G155</f>
        <v>0</v>
      </c>
    </row>
    <row r="155" spans="1:7" ht="63" hidden="1" x14ac:dyDescent="0.25">
      <c r="A155" s="31" t="s">
        <v>323</v>
      </c>
      <c r="B155" s="21" t="s">
        <v>491</v>
      </c>
      <c r="C155" s="42" t="s">
        <v>315</v>
      </c>
      <c r="D155" s="42" t="s">
        <v>264</v>
      </c>
      <c r="E155" s="42" t="s">
        <v>324</v>
      </c>
      <c r="F155" s="42"/>
      <c r="G155" s="11">
        <f>G156</f>
        <v>0</v>
      </c>
    </row>
    <row r="156" spans="1:7" ht="15.75" hidden="1" x14ac:dyDescent="0.25">
      <c r="A156" s="31" t="s">
        <v>325</v>
      </c>
      <c r="B156" s="21" t="s">
        <v>491</v>
      </c>
      <c r="C156" s="42" t="s">
        <v>315</v>
      </c>
      <c r="D156" s="42" t="s">
        <v>264</v>
      </c>
      <c r="E156" s="42" t="s">
        <v>326</v>
      </c>
      <c r="F156" s="42"/>
      <c r="G156" s="11"/>
    </row>
    <row r="157" spans="1:7" ht="47.25" hidden="1" x14ac:dyDescent="0.25">
      <c r="A157" s="31" t="s">
        <v>455</v>
      </c>
      <c r="B157" s="21" t="s">
        <v>491</v>
      </c>
      <c r="C157" s="42" t="s">
        <v>315</v>
      </c>
      <c r="D157" s="42" t="s">
        <v>264</v>
      </c>
      <c r="E157" s="42"/>
      <c r="F157" s="42" t="s">
        <v>713</v>
      </c>
      <c r="G157" s="11">
        <f>G156</f>
        <v>0</v>
      </c>
    </row>
    <row r="158" spans="1:7" ht="47.25" hidden="1" x14ac:dyDescent="0.25">
      <c r="A158" s="26" t="s">
        <v>666</v>
      </c>
      <c r="B158" s="21" t="s">
        <v>494</v>
      </c>
      <c r="C158" s="42" t="s">
        <v>315</v>
      </c>
      <c r="D158" s="42" t="s">
        <v>264</v>
      </c>
      <c r="E158" s="42"/>
      <c r="F158" s="42"/>
      <c r="G158" s="11">
        <f>G159</f>
        <v>0</v>
      </c>
    </row>
    <row r="159" spans="1:7" ht="63" hidden="1" x14ac:dyDescent="0.25">
      <c r="A159" s="26" t="s">
        <v>323</v>
      </c>
      <c r="B159" s="21" t="s">
        <v>494</v>
      </c>
      <c r="C159" s="42" t="s">
        <v>315</v>
      </c>
      <c r="D159" s="42" t="s">
        <v>264</v>
      </c>
      <c r="E159" s="42" t="s">
        <v>324</v>
      </c>
      <c r="F159" s="42"/>
      <c r="G159" s="11">
        <f>G160</f>
        <v>0</v>
      </c>
    </row>
    <row r="160" spans="1:7" ht="15.75" hidden="1" x14ac:dyDescent="0.25">
      <c r="A160" s="26" t="s">
        <v>325</v>
      </c>
      <c r="B160" s="21" t="s">
        <v>494</v>
      </c>
      <c r="C160" s="42" t="s">
        <v>315</v>
      </c>
      <c r="D160" s="42" t="s">
        <v>264</v>
      </c>
      <c r="E160" s="42" t="s">
        <v>326</v>
      </c>
      <c r="F160" s="42"/>
      <c r="G160" s="11"/>
    </row>
    <row r="161" spans="1:8" ht="47.25" hidden="1" x14ac:dyDescent="0.25">
      <c r="A161" s="31" t="s">
        <v>455</v>
      </c>
      <c r="B161" s="21" t="s">
        <v>494</v>
      </c>
      <c r="C161" s="42" t="s">
        <v>315</v>
      </c>
      <c r="D161" s="42" t="s">
        <v>264</v>
      </c>
      <c r="E161" s="42"/>
      <c r="F161" s="42" t="s">
        <v>713</v>
      </c>
      <c r="G161" s="11">
        <f>G159</f>
        <v>0</v>
      </c>
    </row>
    <row r="162" spans="1:8" ht="15.75" x14ac:dyDescent="0.25">
      <c r="A162" s="31" t="s">
        <v>314</v>
      </c>
      <c r="B162" s="42" t="s">
        <v>483</v>
      </c>
      <c r="C162" s="42" t="s">
        <v>315</v>
      </c>
      <c r="D162" s="42"/>
      <c r="E162" s="42"/>
      <c r="F162" s="42"/>
      <c r="G162" s="11">
        <f>G163</f>
        <v>6675.4</v>
      </c>
    </row>
    <row r="163" spans="1:8" ht="15.75" x14ac:dyDescent="0.25">
      <c r="A163" s="31" t="s">
        <v>477</v>
      </c>
      <c r="B163" s="42" t="s">
        <v>483</v>
      </c>
      <c r="C163" s="42" t="s">
        <v>315</v>
      </c>
      <c r="D163" s="42" t="s">
        <v>264</v>
      </c>
      <c r="E163" s="42"/>
      <c r="F163" s="42"/>
      <c r="G163" s="11">
        <f>G164+G167+G173+G170+G176</f>
        <v>6675.4</v>
      </c>
    </row>
    <row r="164" spans="1:8" ht="78.75" x14ac:dyDescent="0.25">
      <c r="A164" s="31" t="s">
        <v>665</v>
      </c>
      <c r="B164" s="21" t="s">
        <v>489</v>
      </c>
      <c r="C164" s="42" t="s">
        <v>315</v>
      </c>
      <c r="D164" s="42" t="s">
        <v>264</v>
      </c>
      <c r="E164" s="42"/>
      <c r="F164" s="42"/>
      <c r="G164" s="11">
        <f>G165</f>
        <v>2690</v>
      </c>
    </row>
    <row r="165" spans="1:8" ht="63" x14ac:dyDescent="0.25">
      <c r="A165" s="31" t="s">
        <v>323</v>
      </c>
      <c r="B165" s="21" t="s">
        <v>489</v>
      </c>
      <c r="C165" s="42" t="s">
        <v>315</v>
      </c>
      <c r="D165" s="42" t="s">
        <v>264</v>
      </c>
      <c r="E165" s="42" t="s">
        <v>324</v>
      </c>
      <c r="F165" s="42"/>
      <c r="G165" s="11">
        <f>G166</f>
        <v>2690</v>
      </c>
    </row>
    <row r="166" spans="1:8" ht="24" customHeight="1" x14ac:dyDescent="0.25">
      <c r="A166" s="31" t="s">
        <v>325</v>
      </c>
      <c r="B166" s="21" t="s">
        <v>489</v>
      </c>
      <c r="C166" s="42" t="s">
        <v>315</v>
      </c>
      <c r="D166" s="42" t="s">
        <v>264</v>
      </c>
      <c r="E166" s="42" t="s">
        <v>326</v>
      </c>
      <c r="F166" s="42"/>
      <c r="G166" s="7">
        <f>'Прил.№4 ведомств.'!G663</f>
        <v>2690</v>
      </c>
    </row>
    <row r="167" spans="1:8" ht="63" x14ac:dyDescent="0.25">
      <c r="A167" s="26" t="s">
        <v>490</v>
      </c>
      <c r="B167" s="21" t="s">
        <v>491</v>
      </c>
      <c r="C167" s="42" t="s">
        <v>315</v>
      </c>
      <c r="D167" s="42" t="s">
        <v>264</v>
      </c>
      <c r="E167" s="42"/>
      <c r="F167" s="42"/>
      <c r="G167" s="7">
        <f>G168</f>
        <v>320</v>
      </c>
    </row>
    <row r="168" spans="1:8" ht="63" x14ac:dyDescent="0.25">
      <c r="A168" s="26" t="s">
        <v>323</v>
      </c>
      <c r="B168" s="21" t="s">
        <v>491</v>
      </c>
      <c r="C168" s="42" t="s">
        <v>315</v>
      </c>
      <c r="D168" s="42" t="s">
        <v>264</v>
      </c>
      <c r="E168" s="42" t="s">
        <v>324</v>
      </c>
      <c r="F168" s="42"/>
      <c r="G168" s="7">
        <f>G169</f>
        <v>320</v>
      </c>
    </row>
    <row r="169" spans="1:8" ht="15.75" x14ac:dyDescent="0.25">
      <c r="A169" s="26" t="s">
        <v>325</v>
      </c>
      <c r="B169" s="21" t="s">
        <v>491</v>
      </c>
      <c r="C169" s="42" t="s">
        <v>315</v>
      </c>
      <c r="D169" s="42" t="s">
        <v>264</v>
      </c>
      <c r="E169" s="42" t="s">
        <v>326</v>
      </c>
      <c r="F169" s="42"/>
      <c r="G169" s="7">
        <f>'Прил.№4 ведомств.'!G666</f>
        <v>320</v>
      </c>
    </row>
    <row r="170" spans="1:8" ht="47.25" x14ac:dyDescent="0.25">
      <c r="A170" s="26" t="s">
        <v>329</v>
      </c>
      <c r="B170" s="42" t="s">
        <v>494</v>
      </c>
      <c r="C170" s="42" t="s">
        <v>315</v>
      </c>
      <c r="D170" s="42" t="s">
        <v>264</v>
      </c>
      <c r="E170" s="42"/>
      <c r="F170" s="42"/>
      <c r="G170" s="7">
        <f>G171</f>
        <v>3309</v>
      </c>
    </row>
    <row r="171" spans="1:8" ht="63" x14ac:dyDescent="0.25">
      <c r="A171" s="26" t="s">
        <v>323</v>
      </c>
      <c r="B171" s="42" t="s">
        <v>494</v>
      </c>
      <c r="C171" s="42" t="s">
        <v>315</v>
      </c>
      <c r="D171" s="42" t="s">
        <v>264</v>
      </c>
      <c r="E171" s="42" t="s">
        <v>324</v>
      </c>
      <c r="F171" s="42"/>
      <c r="G171" s="7">
        <f>G172</f>
        <v>3309</v>
      </c>
    </row>
    <row r="172" spans="1:8" ht="15.75" x14ac:dyDescent="0.25">
      <c r="A172" s="26" t="s">
        <v>325</v>
      </c>
      <c r="B172" s="42" t="s">
        <v>494</v>
      </c>
      <c r="C172" s="42" t="s">
        <v>315</v>
      </c>
      <c r="D172" s="42" t="s">
        <v>264</v>
      </c>
      <c r="E172" s="42" t="s">
        <v>326</v>
      </c>
      <c r="F172" s="42"/>
      <c r="G172" s="7">
        <f>'Прил.№4 ведомств.'!G672</f>
        <v>3309</v>
      </c>
      <c r="H172" s="139"/>
    </row>
    <row r="173" spans="1:8" ht="47.25" x14ac:dyDescent="0.25">
      <c r="A173" s="31" t="s">
        <v>333</v>
      </c>
      <c r="B173" s="42" t="s">
        <v>496</v>
      </c>
      <c r="C173" s="42" t="s">
        <v>315</v>
      </c>
      <c r="D173" s="42" t="s">
        <v>264</v>
      </c>
      <c r="E173" s="42"/>
      <c r="F173" s="42"/>
      <c r="G173" s="11">
        <f>G174</f>
        <v>127</v>
      </c>
    </row>
    <row r="174" spans="1:8" ht="63" x14ac:dyDescent="0.25">
      <c r="A174" s="31" t="s">
        <v>323</v>
      </c>
      <c r="B174" s="42" t="s">
        <v>496</v>
      </c>
      <c r="C174" s="42" t="s">
        <v>315</v>
      </c>
      <c r="D174" s="42" t="s">
        <v>264</v>
      </c>
      <c r="E174" s="42" t="s">
        <v>324</v>
      </c>
      <c r="F174" s="42"/>
      <c r="G174" s="11">
        <f>G175</f>
        <v>127</v>
      </c>
    </row>
    <row r="175" spans="1:8" ht="26.25" customHeight="1" x14ac:dyDescent="0.25">
      <c r="A175" s="31" t="s">
        <v>325</v>
      </c>
      <c r="B175" s="42" t="s">
        <v>496</v>
      </c>
      <c r="C175" s="42" t="s">
        <v>315</v>
      </c>
      <c r="D175" s="42" t="s">
        <v>264</v>
      </c>
      <c r="E175" s="42" t="s">
        <v>326</v>
      </c>
      <c r="F175" s="42"/>
      <c r="G175" s="11">
        <f>'Прил.№4 ведомств.'!G678</f>
        <v>127</v>
      </c>
    </row>
    <row r="176" spans="1:8" ht="31.5" x14ac:dyDescent="0.25">
      <c r="A176" s="31" t="s">
        <v>335</v>
      </c>
      <c r="B176" s="42" t="s">
        <v>497</v>
      </c>
      <c r="C176" s="42" t="s">
        <v>315</v>
      </c>
      <c r="D176" s="42" t="s">
        <v>264</v>
      </c>
      <c r="E176" s="42"/>
      <c r="F176" s="42"/>
      <c r="G176" s="11">
        <f>G177</f>
        <v>229.4</v>
      </c>
    </row>
    <row r="177" spans="1:7" ht="63" x14ac:dyDescent="0.25">
      <c r="A177" s="31" t="s">
        <v>323</v>
      </c>
      <c r="B177" s="42" t="s">
        <v>497</v>
      </c>
      <c r="C177" s="42" t="s">
        <v>315</v>
      </c>
      <c r="D177" s="42" t="s">
        <v>264</v>
      </c>
      <c r="E177" s="42" t="s">
        <v>324</v>
      </c>
      <c r="F177" s="42"/>
      <c r="G177" s="11">
        <f>G178</f>
        <v>229.4</v>
      </c>
    </row>
    <row r="178" spans="1:7" ht="26.25" customHeight="1" x14ac:dyDescent="0.25">
      <c r="A178" s="31" t="s">
        <v>325</v>
      </c>
      <c r="B178" s="42" t="s">
        <v>497</v>
      </c>
      <c r="C178" s="42" t="s">
        <v>315</v>
      </c>
      <c r="D178" s="42" t="s">
        <v>264</v>
      </c>
      <c r="E178" s="42" t="s">
        <v>326</v>
      </c>
      <c r="F178" s="42"/>
      <c r="G178" s="11">
        <f>'Прил.№4 ведомств.'!G681</f>
        <v>229.4</v>
      </c>
    </row>
    <row r="179" spans="1:7" ht="47.25" x14ac:dyDescent="0.25">
      <c r="A179" s="31" t="s">
        <v>455</v>
      </c>
      <c r="B179" s="42" t="s">
        <v>483</v>
      </c>
      <c r="C179" s="42" t="s">
        <v>315</v>
      </c>
      <c r="D179" s="42" t="s">
        <v>264</v>
      </c>
      <c r="E179" s="42"/>
      <c r="F179" s="42" t="s">
        <v>713</v>
      </c>
      <c r="G179" s="11">
        <f>G141</f>
        <v>6675.4</v>
      </c>
    </row>
    <row r="180" spans="1:7" ht="31.5" hidden="1" x14ac:dyDescent="0.25">
      <c r="A180" s="31" t="s">
        <v>335</v>
      </c>
      <c r="B180" s="42" t="s">
        <v>667</v>
      </c>
      <c r="C180" s="42" t="s">
        <v>315</v>
      </c>
      <c r="D180" s="42" t="s">
        <v>264</v>
      </c>
      <c r="E180" s="42"/>
      <c r="F180" s="42"/>
      <c r="G180" s="11">
        <f>G181</f>
        <v>0</v>
      </c>
    </row>
    <row r="181" spans="1:7" ht="63" hidden="1" x14ac:dyDescent="0.25">
      <c r="A181" s="31" t="s">
        <v>323</v>
      </c>
      <c r="B181" s="42" t="s">
        <v>667</v>
      </c>
      <c r="C181" s="42" t="s">
        <v>315</v>
      </c>
      <c r="D181" s="42" t="s">
        <v>264</v>
      </c>
      <c r="E181" s="42" t="s">
        <v>324</v>
      </c>
      <c r="F181" s="42"/>
      <c r="G181" s="11">
        <f>G182</f>
        <v>0</v>
      </c>
    </row>
    <row r="182" spans="1:7" ht="15.75" hidden="1" x14ac:dyDescent="0.25">
      <c r="A182" s="31" t="s">
        <v>325</v>
      </c>
      <c r="B182" s="42" t="s">
        <v>667</v>
      </c>
      <c r="C182" s="42" t="s">
        <v>315</v>
      </c>
      <c r="D182" s="42" t="s">
        <v>264</v>
      </c>
      <c r="E182" s="42" t="s">
        <v>326</v>
      </c>
      <c r="F182" s="42"/>
      <c r="G182" s="11"/>
    </row>
    <row r="183" spans="1:7" ht="47.25" hidden="1" x14ac:dyDescent="0.25">
      <c r="A183" s="31" t="s">
        <v>455</v>
      </c>
      <c r="B183" s="42" t="s">
        <v>667</v>
      </c>
      <c r="C183" s="42" t="s">
        <v>315</v>
      </c>
      <c r="D183" s="42" t="s">
        <v>264</v>
      </c>
      <c r="E183" s="42"/>
      <c r="F183" s="42" t="s">
        <v>713</v>
      </c>
      <c r="G183" s="11">
        <v>0</v>
      </c>
    </row>
    <row r="184" spans="1:7" ht="47.25" hidden="1" x14ac:dyDescent="0.25">
      <c r="A184" s="31" t="s">
        <v>714</v>
      </c>
      <c r="B184" s="42" t="s">
        <v>668</v>
      </c>
      <c r="C184" s="42" t="s">
        <v>315</v>
      </c>
      <c r="D184" s="42" t="s">
        <v>264</v>
      </c>
      <c r="E184" s="42"/>
      <c r="F184" s="42"/>
      <c r="G184" s="11">
        <f>G185</f>
        <v>0</v>
      </c>
    </row>
    <row r="185" spans="1:7" ht="63" hidden="1" x14ac:dyDescent="0.25">
      <c r="A185" s="31" t="s">
        <v>323</v>
      </c>
      <c r="B185" s="42" t="s">
        <v>668</v>
      </c>
      <c r="C185" s="42" t="s">
        <v>315</v>
      </c>
      <c r="D185" s="42" t="s">
        <v>264</v>
      </c>
      <c r="E185" s="42" t="s">
        <v>324</v>
      </c>
      <c r="F185" s="42"/>
      <c r="G185" s="11">
        <f>G186</f>
        <v>0</v>
      </c>
    </row>
    <row r="186" spans="1:7" ht="15.75" hidden="1" x14ac:dyDescent="0.25">
      <c r="A186" s="31" t="s">
        <v>325</v>
      </c>
      <c r="B186" s="42" t="s">
        <v>668</v>
      </c>
      <c r="C186" s="42" t="s">
        <v>315</v>
      </c>
      <c r="D186" s="42" t="s">
        <v>264</v>
      </c>
      <c r="E186" s="42" t="s">
        <v>326</v>
      </c>
      <c r="F186" s="42"/>
      <c r="G186" s="11"/>
    </row>
    <row r="187" spans="1:7" ht="47.25" hidden="1" x14ac:dyDescent="0.25">
      <c r="A187" s="31" t="s">
        <v>455</v>
      </c>
      <c r="B187" s="42" t="s">
        <v>668</v>
      </c>
      <c r="C187" s="42" t="s">
        <v>315</v>
      </c>
      <c r="D187" s="42" t="s">
        <v>264</v>
      </c>
      <c r="E187" s="42"/>
      <c r="F187" s="42" t="s">
        <v>713</v>
      </c>
      <c r="G187" s="11">
        <v>0</v>
      </c>
    </row>
    <row r="188" spans="1:7" ht="45.75" customHeight="1" x14ac:dyDescent="0.25">
      <c r="A188" s="43" t="s">
        <v>498</v>
      </c>
      <c r="B188" s="8" t="s">
        <v>499</v>
      </c>
      <c r="C188" s="8"/>
      <c r="D188" s="8"/>
      <c r="E188" s="8"/>
      <c r="F188" s="8"/>
      <c r="G188" s="68">
        <f>G189</f>
        <v>355.9</v>
      </c>
    </row>
    <row r="189" spans="1:7" ht="21" customHeight="1" x14ac:dyDescent="0.25">
      <c r="A189" s="31" t="s">
        <v>314</v>
      </c>
      <c r="B189" s="42" t="s">
        <v>499</v>
      </c>
      <c r="C189" s="42" t="s">
        <v>315</v>
      </c>
      <c r="D189" s="42"/>
      <c r="E189" s="42"/>
      <c r="F189" s="42"/>
      <c r="G189" s="11">
        <f>G190</f>
        <v>355.9</v>
      </c>
    </row>
    <row r="190" spans="1:7" ht="22.5" customHeight="1" x14ac:dyDescent="0.25">
      <c r="A190" s="31" t="s">
        <v>316</v>
      </c>
      <c r="B190" s="42" t="s">
        <v>499</v>
      </c>
      <c r="C190" s="42" t="s">
        <v>315</v>
      </c>
      <c r="D190" s="42" t="s">
        <v>266</v>
      </c>
      <c r="E190" s="42"/>
      <c r="F190" s="42"/>
      <c r="G190" s="11">
        <f>G191</f>
        <v>355.9</v>
      </c>
    </row>
    <row r="191" spans="1:7" ht="31.5" x14ac:dyDescent="0.25">
      <c r="A191" s="47" t="s">
        <v>791</v>
      </c>
      <c r="B191" s="21" t="s">
        <v>792</v>
      </c>
      <c r="C191" s="42" t="s">
        <v>315</v>
      </c>
      <c r="D191" s="42" t="s">
        <v>266</v>
      </c>
      <c r="E191" s="42"/>
      <c r="F191" s="42"/>
      <c r="G191" s="11">
        <f>G192</f>
        <v>355.9</v>
      </c>
    </row>
    <row r="192" spans="1:7" ht="63" x14ac:dyDescent="0.25">
      <c r="A192" s="31" t="s">
        <v>323</v>
      </c>
      <c r="B192" s="21" t="s">
        <v>792</v>
      </c>
      <c r="C192" s="42" t="s">
        <v>315</v>
      </c>
      <c r="D192" s="42" t="s">
        <v>266</v>
      </c>
      <c r="E192" s="42" t="s">
        <v>324</v>
      </c>
      <c r="F192" s="42"/>
      <c r="G192" s="11">
        <f>G193</f>
        <v>355.9</v>
      </c>
    </row>
    <row r="193" spans="1:8" ht="15.75" x14ac:dyDescent="0.25">
      <c r="A193" s="31" t="s">
        <v>325</v>
      </c>
      <c r="B193" s="21" t="s">
        <v>792</v>
      </c>
      <c r="C193" s="42" t="s">
        <v>315</v>
      </c>
      <c r="D193" s="42" t="s">
        <v>266</v>
      </c>
      <c r="E193" s="42" t="s">
        <v>326</v>
      </c>
      <c r="F193" s="42"/>
      <c r="G193" s="11">
        <f>'Прил.№4 ведомств.'!G726</f>
        <v>355.9</v>
      </c>
      <c r="H193" s="139"/>
    </row>
    <row r="194" spans="1:8" ht="47.25" x14ac:dyDescent="0.25">
      <c r="A194" s="31" t="s">
        <v>455</v>
      </c>
      <c r="B194" s="21" t="s">
        <v>792</v>
      </c>
      <c r="C194" s="42" t="s">
        <v>315</v>
      </c>
      <c r="D194" s="42" t="s">
        <v>266</v>
      </c>
      <c r="E194" s="42"/>
      <c r="F194" s="42" t="s">
        <v>713</v>
      </c>
      <c r="G194" s="11">
        <f>G189</f>
        <v>355.9</v>
      </c>
    </row>
    <row r="195" spans="1:8" ht="47.25" hidden="1" x14ac:dyDescent="0.25">
      <c r="A195" s="31" t="s">
        <v>715</v>
      </c>
      <c r="B195" s="42" t="s">
        <v>669</v>
      </c>
      <c r="C195" s="42" t="s">
        <v>315</v>
      </c>
      <c r="D195" s="42" t="s">
        <v>264</v>
      </c>
      <c r="E195" s="42"/>
      <c r="F195" s="42"/>
      <c r="G195" s="11">
        <f>G199</f>
        <v>0</v>
      </c>
    </row>
    <row r="196" spans="1:8" ht="63" hidden="1" x14ac:dyDescent="0.25">
      <c r="A196" s="31" t="s">
        <v>323</v>
      </c>
      <c r="B196" s="42" t="s">
        <v>669</v>
      </c>
      <c r="C196" s="42" t="s">
        <v>520</v>
      </c>
      <c r="D196" s="42" t="s">
        <v>716</v>
      </c>
      <c r="E196" s="42" t="s">
        <v>324</v>
      </c>
      <c r="F196" s="42"/>
      <c r="G196" s="11">
        <f>G197</f>
        <v>0</v>
      </c>
    </row>
    <row r="197" spans="1:8" ht="15.75" hidden="1" x14ac:dyDescent="0.25">
      <c r="A197" s="31" t="s">
        <v>325</v>
      </c>
      <c r="B197" s="42" t="s">
        <v>669</v>
      </c>
      <c r="C197" s="42" t="s">
        <v>520</v>
      </c>
      <c r="D197" s="42" t="s">
        <v>716</v>
      </c>
      <c r="E197" s="42" t="s">
        <v>326</v>
      </c>
      <c r="F197" s="42"/>
      <c r="G197" s="11">
        <f>G198</f>
        <v>0</v>
      </c>
    </row>
    <row r="198" spans="1:8" ht="31.5" hidden="1" x14ac:dyDescent="0.25">
      <c r="A198" s="31" t="s">
        <v>660</v>
      </c>
      <c r="B198" s="42" t="s">
        <v>669</v>
      </c>
      <c r="C198" s="42" t="s">
        <v>520</v>
      </c>
      <c r="D198" s="42" t="s">
        <v>716</v>
      </c>
      <c r="E198" s="42" t="s">
        <v>661</v>
      </c>
      <c r="F198" s="42"/>
      <c r="G198" s="11">
        <f>G199</f>
        <v>0</v>
      </c>
    </row>
    <row r="199" spans="1:8" ht="47.25" hidden="1" x14ac:dyDescent="0.25">
      <c r="A199" s="31" t="s">
        <v>455</v>
      </c>
      <c r="B199" s="42" t="s">
        <v>669</v>
      </c>
      <c r="C199" s="42" t="s">
        <v>315</v>
      </c>
      <c r="D199" s="42" t="s">
        <v>264</v>
      </c>
      <c r="E199" s="42"/>
      <c r="F199" s="42" t="s">
        <v>713</v>
      </c>
      <c r="G199" s="11"/>
    </row>
    <row r="200" spans="1:8" ht="47.25" hidden="1" x14ac:dyDescent="0.25">
      <c r="A200" s="31" t="s">
        <v>717</v>
      </c>
      <c r="B200" s="21" t="s">
        <v>500</v>
      </c>
      <c r="C200" s="42" t="s">
        <v>315</v>
      </c>
      <c r="D200" s="42" t="s">
        <v>264</v>
      </c>
      <c r="E200" s="42"/>
      <c r="F200" s="42"/>
      <c r="G200" s="11">
        <f>G201</f>
        <v>0</v>
      </c>
    </row>
    <row r="201" spans="1:8" ht="31.5" hidden="1" x14ac:dyDescent="0.25">
      <c r="A201" s="31" t="s">
        <v>331</v>
      </c>
      <c r="B201" s="21" t="s">
        <v>500</v>
      </c>
      <c r="C201" s="42" t="s">
        <v>315</v>
      </c>
      <c r="D201" s="42" t="s">
        <v>264</v>
      </c>
      <c r="E201" s="42" t="s">
        <v>324</v>
      </c>
      <c r="F201" s="42"/>
      <c r="G201" s="11">
        <f>G202</f>
        <v>0</v>
      </c>
    </row>
    <row r="202" spans="1:8" ht="15.75" hidden="1" x14ac:dyDescent="0.25">
      <c r="A202" s="31" t="s">
        <v>325</v>
      </c>
      <c r="B202" s="21" t="s">
        <v>500</v>
      </c>
      <c r="C202" s="42" t="s">
        <v>315</v>
      </c>
      <c r="D202" s="42" t="s">
        <v>264</v>
      </c>
      <c r="E202" s="42" t="s">
        <v>326</v>
      </c>
      <c r="F202" s="42"/>
      <c r="G202" s="11"/>
    </row>
    <row r="203" spans="1:8" ht="31.5" hidden="1" x14ac:dyDescent="0.25">
      <c r="A203" s="31" t="s">
        <v>660</v>
      </c>
      <c r="B203" s="21" t="s">
        <v>500</v>
      </c>
      <c r="C203" s="42" t="s">
        <v>315</v>
      </c>
      <c r="D203" s="42" t="s">
        <v>264</v>
      </c>
      <c r="E203" s="42" t="s">
        <v>661</v>
      </c>
      <c r="F203" s="42"/>
      <c r="G203" s="11"/>
    </row>
    <row r="204" spans="1:8" ht="47.25" hidden="1" x14ac:dyDescent="0.25">
      <c r="A204" s="31" t="s">
        <v>455</v>
      </c>
      <c r="B204" s="21" t="s">
        <v>500</v>
      </c>
      <c r="C204" s="42" t="s">
        <v>315</v>
      </c>
      <c r="D204" s="42" t="s">
        <v>264</v>
      </c>
      <c r="E204" s="42"/>
      <c r="F204" s="42" t="s">
        <v>713</v>
      </c>
      <c r="G204" s="7">
        <f>G200</f>
        <v>0</v>
      </c>
    </row>
    <row r="205" spans="1:8" ht="47.25" hidden="1" x14ac:dyDescent="0.25">
      <c r="A205" s="31" t="s">
        <v>666</v>
      </c>
      <c r="B205" s="42" t="s">
        <v>501</v>
      </c>
      <c r="C205" s="42" t="s">
        <v>315</v>
      </c>
      <c r="D205" s="42" t="s">
        <v>264</v>
      </c>
      <c r="E205" s="42"/>
      <c r="F205" s="42"/>
      <c r="G205" s="11">
        <f>G206</f>
        <v>0</v>
      </c>
    </row>
    <row r="206" spans="1:8" ht="63" hidden="1" x14ac:dyDescent="0.25">
      <c r="A206" s="31" t="s">
        <v>323</v>
      </c>
      <c r="B206" s="42" t="s">
        <v>501</v>
      </c>
      <c r="C206" s="42" t="s">
        <v>315</v>
      </c>
      <c r="D206" s="42" t="s">
        <v>264</v>
      </c>
      <c r="E206" s="42" t="s">
        <v>324</v>
      </c>
      <c r="F206" s="42"/>
      <c r="G206" s="11">
        <f>G207</f>
        <v>0</v>
      </c>
    </row>
    <row r="207" spans="1:8" ht="15.75" hidden="1" x14ac:dyDescent="0.25">
      <c r="A207" s="31" t="s">
        <v>325</v>
      </c>
      <c r="B207" s="42" t="s">
        <v>501</v>
      </c>
      <c r="C207" s="42" t="s">
        <v>315</v>
      </c>
      <c r="D207" s="42" t="s">
        <v>264</v>
      </c>
      <c r="E207" s="42" t="s">
        <v>326</v>
      </c>
      <c r="F207" s="42" t="s">
        <v>713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519</v>
      </c>
      <c r="B210" s="8" t="s">
        <v>521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314</v>
      </c>
      <c r="B211" s="42" t="s">
        <v>521</v>
      </c>
      <c r="C211" s="42" t="s">
        <v>315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518</v>
      </c>
      <c r="B212" s="42" t="s">
        <v>521</v>
      </c>
      <c r="C212" s="42" t="s">
        <v>315</v>
      </c>
      <c r="D212" s="42" t="s">
        <v>315</v>
      </c>
      <c r="E212" s="42"/>
      <c r="F212" s="42"/>
      <c r="G212" s="11">
        <f>G213</f>
        <v>3484.8</v>
      </c>
    </row>
    <row r="213" spans="1:7" ht="47.25" x14ac:dyDescent="0.25">
      <c r="A213" s="26" t="s">
        <v>673</v>
      </c>
      <c r="B213" s="21" t="s">
        <v>523</v>
      </c>
      <c r="C213" s="42" t="s">
        <v>315</v>
      </c>
      <c r="D213" s="42" t="s">
        <v>315</v>
      </c>
      <c r="E213" s="42"/>
      <c r="F213" s="42"/>
      <c r="G213" s="11">
        <f>G214</f>
        <v>3484.8</v>
      </c>
    </row>
    <row r="214" spans="1:7" ht="63" x14ac:dyDescent="0.25">
      <c r="A214" s="31" t="s">
        <v>323</v>
      </c>
      <c r="B214" s="21" t="s">
        <v>523</v>
      </c>
      <c r="C214" s="42" t="s">
        <v>315</v>
      </c>
      <c r="D214" s="42" t="s">
        <v>315</v>
      </c>
      <c r="E214" s="42" t="s">
        <v>324</v>
      </c>
      <c r="F214" s="42"/>
      <c r="G214" s="11">
        <f>G215</f>
        <v>3484.8</v>
      </c>
    </row>
    <row r="215" spans="1:7" ht="15.75" x14ac:dyDescent="0.25">
      <c r="A215" s="31" t="s">
        <v>325</v>
      </c>
      <c r="B215" s="21" t="s">
        <v>523</v>
      </c>
      <c r="C215" s="42" t="s">
        <v>315</v>
      </c>
      <c r="D215" s="42" t="s">
        <v>315</v>
      </c>
      <c r="E215" s="42" t="s">
        <v>326</v>
      </c>
      <c r="F215" s="42"/>
      <c r="G215" s="11">
        <f>'Прил.№4 ведомств.'!G746</f>
        <v>3484.8</v>
      </c>
    </row>
    <row r="216" spans="1:7" ht="47.25" x14ac:dyDescent="0.25">
      <c r="A216" s="31" t="s">
        <v>455</v>
      </c>
      <c r="B216" s="21" t="s">
        <v>521</v>
      </c>
      <c r="C216" s="42" t="s">
        <v>315</v>
      </c>
      <c r="D216" s="42" t="s">
        <v>315</v>
      </c>
      <c r="E216" s="42"/>
      <c r="F216" s="42" t="s">
        <v>713</v>
      </c>
      <c r="G216" s="11">
        <f>G210</f>
        <v>3484.8</v>
      </c>
    </row>
    <row r="217" spans="1:7" ht="78.75" x14ac:dyDescent="0.25">
      <c r="A217" s="64" t="s">
        <v>206</v>
      </c>
      <c r="B217" s="208" t="s">
        <v>207</v>
      </c>
      <c r="C217" s="8"/>
      <c r="D217" s="208"/>
      <c r="E217" s="208"/>
      <c r="F217" s="208"/>
      <c r="G217" s="68">
        <f>G220</f>
        <v>250</v>
      </c>
    </row>
    <row r="218" spans="1:7" ht="15.75" x14ac:dyDescent="0.25">
      <c r="A218" s="47" t="s">
        <v>168</v>
      </c>
      <c r="B218" s="6" t="s">
        <v>207</v>
      </c>
      <c r="C218" s="42" t="s">
        <v>169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190</v>
      </c>
      <c r="B219" s="78" t="s">
        <v>207</v>
      </c>
      <c r="C219" s="42" t="s">
        <v>169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208</v>
      </c>
      <c r="B220" s="78" t="s">
        <v>209</v>
      </c>
      <c r="C220" s="42" t="s">
        <v>169</v>
      </c>
      <c r="D220" s="42" t="s">
        <v>191</v>
      </c>
      <c r="E220" s="42"/>
      <c r="F220" s="42"/>
      <c r="G220" s="11">
        <f>G221</f>
        <v>250</v>
      </c>
    </row>
    <row r="221" spans="1:7" ht="47.25" x14ac:dyDescent="0.25">
      <c r="A221" s="31" t="s">
        <v>182</v>
      </c>
      <c r="B221" s="78" t="s">
        <v>209</v>
      </c>
      <c r="C221" s="42" t="s">
        <v>169</v>
      </c>
      <c r="D221" s="42" t="s">
        <v>191</v>
      </c>
      <c r="E221" s="42" t="s">
        <v>196</v>
      </c>
      <c r="F221" s="42"/>
      <c r="G221" s="11">
        <f>G222</f>
        <v>250</v>
      </c>
    </row>
    <row r="222" spans="1:7" ht="78.75" x14ac:dyDescent="0.25">
      <c r="A222" s="31" t="s">
        <v>235</v>
      </c>
      <c r="B222" s="78" t="s">
        <v>209</v>
      </c>
      <c r="C222" s="42" t="s">
        <v>169</v>
      </c>
      <c r="D222" s="42" t="s">
        <v>191</v>
      </c>
      <c r="E222" s="42" t="s">
        <v>211</v>
      </c>
      <c r="F222" s="42"/>
      <c r="G222" s="11">
        <f>'Прил.№4 ведомств.'!G66</f>
        <v>250</v>
      </c>
    </row>
    <row r="223" spans="1:7" ht="31.5" x14ac:dyDescent="0.25">
      <c r="A223" s="31" t="s">
        <v>199</v>
      </c>
      <c r="B223" s="78" t="s">
        <v>207</v>
      </c>
      <c r="C223" s="42" t="s">
        <v>169</v>
      </c>
      <c r="D223" s="42" t="s">
        <v>191</v>
      </c>
      <c r="E223" s="42"/>
      <c r="F223" s="42" t="s">
        <v>718</v>
      </c>
      <c r="G223" s="11">
        <f>G217</f>
        <v>250</v>
      </c>
    </row>
    <row r="224" spans="1:7" ht="73.5" customHeight="1" x14ac:dyDescent="0.25">
      <c r="A224" s="43" t="s">
        <v>212</v>
      </c>
      <c r="B224" s="208" t="s">
        <v>213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168</v>
      </c>
      <c r="B225" s="6" t="s">
        <v>213</v>
      </c>
      <c r="C225" s="42" t="s">
        <v>169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190</v>
      </c>
      <c r="B226" s="78" t="s">
        <v>213</v>
      </c>
      <c r="C226" s="42" t="s">
        <v>169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214</v>
      </c>
      <c r="B227" s="42" t="s">
        <v>215</v>
      </c>
      <c r="C227" s="42" t="s">
        <v>169</v>
      </c>
      <c r="D227" s="42" t="s">
        <v>191</v>
      </c>
      <c r="E227" s="42"/>
      <c r="F227" s="42"/>
      <c r="G227" s="11">
        <f>G228</f>
        <v>428.1</v>
      </c>
    </row>
    <row r="228" spans="1:7" ht="47.25" x14ac:dyDescent="0.25">
      <c r="A228" s="31" t="s">
        <v>182</v>
      </c>
      <c r="B228" s="42" t="s">
        <v>215</v>
      </c>
      <c r="C228" s="42" t="s">
        <v>169</v>
      </c>
      <c r="D228" s="42" t="s">
        <v>191</v>
      </c>
      <c r="E228" s="42" t="s">
        <v>183</v>
      </c>
      <c r="F228" s="42"/>
      <c r="G228" s="11">
        <f>G229</f>
        <v>428.1</v>
      </c>
    </row>
    <row r="229" spans="1:7" ht="47.25" x14ac:dyDescent="0.25">
      <c r="A229" s="31" t="s">
        <v>184</v>
      </c>
      <c r="B229" s="42" t="s">
        <v>215</v>
      </c>
      <c r="C229" s="42" t="s">
        <v>169</v>
      </c>
      <c r="D229" s="42" t="s">
        <v>191</v>
      </c>
      <c r="E229" s="42" t="s">
        <v>185</v>
      </c>
      <c r="F229" s="42"/>
      <c r="G229" s="11">
        <f>'Прил.№4 ведомств.'!G70</f>
        <v>428.1</v>
      </c>
    </row>
    <row r="230" spans="1:7" ht="78.75" x14ac:dyDescent="0.25">
      <c r="A230" s="123" t="s">
        <v>216</v>
      </c>
      <c r="B230" s="42" t="s">
        <v>217</v>
      </c>
      <c r="C230" s="42" t="s">
        <v>169</v>
      </c>
      <c r="D230" s="42" t="s">
        <v>191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178</v>
      </c>
      <c r="B231" s="42" t="s">
        <v>217</v>
      </c>
      <c r="C231" s="42" t="s">
        <v>169</v>
      </c>
      <c r="D231" s="42" t="s">
        <v>191</v>
      </c>
      <c r="E231" s="42" t="s">
        <v>179</v>
      </c>
      <c r="F231" s="42"/>
      <c r="G231" s="11">
        <f>G232</f>
        <v>159.69999999999999</v>
      </c>
    </row>
    <row r="232" spans="1:7" ht="47.25" x14ac:dyDescent="0.25">
      <c r="A232" s="31" t="s">
        <v>180</v>
      </c>
      <c r="B232" s="42" t="s">
        <v>217</v>
      </c>
      <c r="C232" s="42" t="s">
        <v>169</v>
      </c>
      <c r="D232" s="42" t="s">
        <v>191</v>
      </c>
      <c r="E232" s="42" t="s">
        <v>181</v>
      </c>
      <c r="F232" s="42"/>
      <c r="G232" s="11">
        <f>'Прил.№4 ведомств.'!G73</f>
        <v>159.69999999999999</v>
      </c>
    </row>
    <row r="233" spans="1:7" ht="47.25" x14ac:dyDescent="0.25">
      <c r="A233" s="31" t="s">
        <v>182</v>
      </c>
      <c r="B233" s="42" t="s">
        <v>217</v>
      </c>
      <c r="C233" s="42" t="s">
        <v>169</v>
      </c>
      <c r="D233" s="42" t="s">
        <v>191</v>
      </c>
      <c r="E233" s="42" t="s">
        <v>183</v>
      </c>
      <c r="F233" s="42"/>
      <c r="G233" s="11">
        <f>G234</f>
        <v>65.2</v>
      </c>
    </row>
    <row r="234" spans="1:7" ht="47.25" x14ac:dyDescent="0.25">
      <c r="A234" s="31" t="s">
        <v>184</v>
      </c>
      <c r="B234" s="42" t="s">
        <v>217</v>
      </c>
      <c r="C234" s="42" t="s">
        <v>169</v>
      </c>
      <c r="D234" s="42" t="s">
        <v>191</v>
      </c>
      <c r="E234" s="42" t="s">
        <v>185</v>
      </c>
      <c r="F234" s="42"/>
      <c r="G234" s="11">
        <f>'Прил.№4 ведомств.'!G75</f>
        <v>65.2</v>
      </c>
    </row>
    <row r="235" spans="1:7" ht="63" x14ac:dyDescent="0.25">
      <c r="A235" s="33" t="s">
        <v>776</v>
      </c>
      <c r="B235" s="42" t="s">
        <v>777</v>
      </c>
      <c r="C235" s="42" t="s">
        <v>169</v>
      </c>
      <c r="D235" s="42" t="s">
        <v>191</v>
      </c>
      <c r="E235" s="42"/>
      <c r="F235" s="42"/>
      <c r="G235" s="11">
        <f>G236</f>
        <v>0.5</v>
      </c>
    </row>
    <row r="236" spans="1:7" ht="47.25" x14ac:dyDescent="0.25">
      <c r="A236" s="26" t="s">
        <v>182</v>
      </c>
      <c r="B236" s="42" t="s">
        <v>777</v>
      </c>
      <c r="C236" s="42" t="s">
        <v>169</v>
      </c>
      <c r="D236" s="42" t="s">
        <v>191</v>
      </c>
      <c r="E236" s="42" t="s">
        <v>183</v>
      </c>
      <c r="F236" s="42"/>
      <c r="G236" s="11">
        <f>G237</f>
        <v>0.5</v>
      </c>
    </row>
    <row r="237" spans="1:7" ht="47.25" x14ac:dyDescent="0.25">
      <c r="A237" s="26" t="s">
        <v>184</v>
      </c>
      <c r="B237" s="42" t="s">
        <v>777</v>
      </c>
      <c r="C237" s="42" t="s">
        <v>169</v>
      </c>
      <c r="D237" s="42" t="s">
        <v>191</v>
      </c>
      <c r="E237" s="42" t="s">
        <v>185</v>
      </c>
      <c r="F237" s="42"/>
      <c r="G237" s="11">
        <f>'Прил.№4 ведомств.'!G1111</f>
        <v>0.5</v>
      </c>
    </row>
    <row r="238" spans="1:7" ht="63" x14ac:dyDescent="0.25">
      <c r="A238" s="35" t="s">
        <v>242</v>
      </c>
      <c r="B238" s="42" t="s">
        <v>763</v>
      </c>
      <c r="C238" s="42" t="s">
        <v>169</v>
      </c>
      <c r="D238" s="42" t="s">
        <v>191</v>
      </c>
      <c r="E238" s="42"/>
      <c r="F238" s="42"/>
      <c r="G238" s="11">
        <f>G239</f>
        <v>0.5</v>
      </c>
    </row>
    <row r="239" spans="1:7" ht="47.25" x14ac:dyDescent="0.25">
      <c r="A239" s="26" t="s">
        <v>182</v>
      </c>
      <c r="B239" s="42" t="s">
        <v>763</v>
      </c>
      <c r="C239" s="42" t="s">
        <v>169</v>
      </c>
      <c r="D239" s="42" t="s">
        <v>191</v>
      </c>
      <c r="E239" s="42" t="s">
        <v>183</v>
      </c>
      <c r="F239" s="42"/>
      <c r="G239" s="11">
        <f>G240</f>
        <v>0.5</v>
      </c>
    </row>
    <row r="240" spans="1:7" ht="47.25" x14ac:dyDescent="0.25">
      <c r="A240" s="26" t="s">
        <v>184</v>
      </c>
      <c r="B240" s="42" t="s">
        <v>763</v>
      </c>
      <c r="C240" s="42" t="s">
        <v>169</v>
      </c>
      <c r="D240" s="42" t="s">
        <v>191</v>
      </c>
      <c r="E240" s="42" t="s">
        <v>185</v>
      </c>
      <c r="F240" s="42"/>
      <c r="G240" s="11">
        <f>'Прил.№4 ведомств.'!G78</f>
        <v>0.5</v>
      </c>
    </row>
    <row r="241" spans="1:7" ht="31.5" x14ac:dyDescent="0.25">
      <c r="A241" s="31" t="s">
        <v>199</v>
      </c>
      <c r="B241" s="42" t="s">
        <v>213</v>
      </c>
      <c r="C241" s="42" t="s">
        <v>169</v>
      </c>
      <c r="D241" s="42" t="s">
        <v>191</v>
      </c>
      <c r="E241" s="42"/>
      <c r="F241" s="42" t="s">
        <v>718</v>
      </c>
      <c r="G241" s="11">
        <f>G224</f>
        <v>654</v>
      </c>
    </row>
    <row r="242" spans="1:7" ht="94.5" x14ac:dyDescent="0.25">
      <c r="A242" s="43" t="s">
        <v>304</v>
      </c>
      <c r="B242" s="208" t="s">
        <v>305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294</v>
      </c>
      <c r="B243" s="6" t="s">
        <v>305</v>
      </c>
      <c r="C243" s="42" t="s">
        <v>295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303</v>
      </c>
      <c r="B244" s="6" t="s">
        <v>305</v>
      </c>
      <c r="C244" s="42" t="s">
        <v>295</v>
      </c>
      <c r="D244" s="42" t="s">
        <v>266</v>
      </c>
      <c r="E244" s="42"/>
      <c r="F244" s="42"/>
      <c r="G244" s="11">
        <f>G245</f>
        <v>10</v>
      </c>
    </row>
    <row r="245" spans="1:7" ht="47.25" x14ac:dyDescent="0.25">
      <c r="A245" s="31" t="s">
        <v>208</v>
      </c>
      <c r="B245" s="78" t="s">
        <v>306</v>
      </c>
      <c r="C245" s="42" t="s">
        <v>295</v>
      </c>
      <c r="D245" s="42" t="s">
        <v>266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299</v>
      </c>
      <c r="B246" s="78" t="s">
        <v>306</v>
      </c>
      <c r="C246" s="42" t="s">
        <v>295</v>
      </c>
      <c r="D246" s="42" t="s">
        <v>266</v>
      </c>
      <c r="E246" s="42" t="s">
        <v>300</v>
      </c>
      <c r="F246" s="42"/>
      <c r="G246" s="11">
        <f>G247</f>
        <v>10</v>
      </c>
    </row>
    <row r="247" spans="1:7" ht="47.25" x14ac:dyDescent="0.25">
      <c r="A247" s="31" t="s">
        <v>301</v>
      </c>
      <c r="B247" s="78" t="s">
        <v>306</v>
      </c>
      <c r="C247" s="42" t="s">
        <v>295</v>
      </c>
      <c r="D247" s="42" t="s">
        <v>266</v>
      </c>
      <c r="E247" s="42" t="s">
        <v>302</v>
      </c>
      <c r="F247" s="42"/>
      <c r="G247" s="11">
        <f>'Прил.№4 ведомств.'!G228</f>
        <v>10</v>
      </c>
    </row>
    <row r="248" spans="1:7" ht="31.5" x14ac:dyDescent="0.25">
      <c r="A248" s="47" t="s">
        <v>199</v>
      </c>
      <c r="B248" s="78" t="s">
        <v>305</v>
      </c>
      <c r="C248" s="42" t="s">
        <v>295</v>
      </c>
      <c r="D248" s="42" t="s">
        <v>266</v>
      </c>
      <c r="E248" s="42"/>
      <c r="F248" s="42" t="s">
        <v>718</v>
      </c>
      <c r="G248" s="11">
        <f>G242</f>
        <v>10</v>
      </c>
    </row>
    <row r="249" spans="1:7" ht="141.75" x14ac:dyDescent="0.25">
      <c r="A249" s="43" t="s">
        <v>652</v>
      </c>
      <c r="B249" s="208" t="s">
        <v>219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220</v>
      </c>
      <c r="B250" s="208" t="s">
        <v>221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168</v>
      </c>
      <c r="B251" s="6" t="s">
        <v>221</v>
      </c>
      <c r="C251" s="42" t="s">
        <v>169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190</v>
      </c>
      <c r="B252" s="6" t="s">
        <v>221</v>
      </c>
      <c r="C252" s="42" t="s">
        <v>169</v>
      </c>
      <c r="D252" s="42" t="s">
        <v>191</v>
      </c>
      <c r="E252" s="42"/>
      <c r="F252" s="42"/>
      <c r="G252" s="11">
        <f>G253</f>
        <v>15</v>
      </c>
    </row>
    <row r="253" spans="1:7" ht="47.25" x14ac:dyDescent="0.25">
      <c r="A253" s="123" t="s">
        <v>222</v>
      </c>
      <c r="B253" s="6" t="s">
        <v>223</v>
      </c>
      <c r="C253" s="42" t="s">
        <v>169</v>
      </c>
      <c r="D253" s="42" t="s">
        <v>191</v>
      </c>
      <c r="E253" s="42"/>
      <c r="F253" s="42"/>
      <c r="G253" s="11">
        <f>G254</f>
        <v>15</v>
      </c>
    </row>
    <row r="254" spans="1:7" ht="47.25" x14ac:dyDescent="0.25">
      <c r="A254" s="31" t="s">
        <v>182</v>
      </c>
      <c r="B254" s="6" t="s">
        <v>223</v>
      </c>
      <c r="C254" s="42" t="s">
        <v>169</v>
      </c>
      <c r="D254" s="42" t="s">
        <v>191</v>
      </c>
      <c r="E254" s="42" t="s">
        <v>183</v>
      </c>
      <c r="F254" s="42"/>
      <c r="G254" s="11">
        <f>G255</f>
        <v>15</v>
      </c>
    </row>
    <row r="255" spans="1:7" ht="47.25" x14ac:dyDescent="0.25">
      <c r="A255" s="31" t="s">
        <v>184</v>
      </c>
      <c r="B255" s="6" t="s">
        <v>223</v>
      </c>
      <c r="C255" s="42" t="s">
        <v>169</v>
      </c>
      <c r="D255" s="42" t="s">
        <v>191</v>
      </c>
      <c r="E255" s="42" t="s">
        <v>185</v>
      </c>
      <c r="F255" s="42"/>
      <c r="G255" s="11">
        <f>'Прил.№4 ведомств.'!G83</f>
        <v>15</v>
      </c>
    </row>
    <row r="256" spans="1:7" ht="31.5" x14ac:dyDescent="0.25">
      <c r="A256" s="31" t="s">
        <v>199</v>
      </c>
      <c r="B256" s="6" t="s">
        <v>221</v>
      </c>
      <c r="C256" s="42" t="s">
        <v>169</v>
      </c>
      <c r="D256" s="42" t="s">
        <v>191</v>
      </c>
      <c r="E256" s="42"/>
      <c r="F256" s="42" t="s">
        <v>718</v>
      </c>
      <c r="G256" s="7">
        <f>G250</f>
        <v>15</v>
      </c>
    </row>
    <row r="257" spans="1:7" ht="94.5" x14ac:dyDescent="0.25">
      <c r="A257" s="43" t="s">
        <v>224</v>
      </c>
      <c r="B257" s="208" t="s">
        <v>225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168</v>
      </c>
      <c r="B258" s="6" t="s">
        <v>225</v>
      </c>
      <c r="C258" s="42" t="s">
        <v>169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190</v>
      </c>
      <c r="B259" s="6" t="s">
        <v>225</v>
      </c>
      <c r="C259" s="42" t="s">
        <v>169</v>
      </c>
      <c r="D259" s="42" t="s">
        <v>191</v>
      </c>
      <c r="E259" s="42"/>
      <c r="F259" s="42"/>
      <c r="G259" s="7">
        <f>G260</f>
        <v>50</v>
      </c>
    </row>
    <row r="260" spans="1:7" ht="31.5" x14ac:dyDescent="0.25">
      <c r="A260" s="47" t="s">
        <v>226</v>
      </c>
      <c r="B260" s="6" t="s">
        <v>227</v>
      </c>
      <c r="C260" s="10" t="s">
        <v>169</v>
      </c>
      <c r="D260" s="10" t="s">
        <v>191</v>
      </c>
      <c r="E260" s="10"/>
      <c r="F260" s="27"/>
      <c r="G260" s="27">
        <f>G261</f>
        <v>50</v>
      </c>
    </row>
    <row r="261" spans="1:7" ht="47.25" x14ac:dyDescent="0.25">
      <c r="A261" s="26" t="s">
        <v>182</v>
      </c>
      <c r="B261" s="6" t="s">
        <v>227</v>
      </c>
      <c r="C261" s="10" t="s">
        <v>169</v>
      </c>
      <c r="D261" s="10" t="s">
        <v>191</v>
      </c>
      <c r="E261" s="10" t="s">
        <v>183</v>
      </c>
      <c r="F261" s="27"/>
      <c r="G261" s="27">
        <f>G262</f>
        <v>50</v>
      </c>
    </row>
    <row r="262" spans="1:7" ht="47.25" x14ac:dyDescent="0.25">
      <c r="A262" s="26" t="s">
        <v>184</v>
      </c>
      <c r="B262" s="6" t="s">
        <v>227</v>
      </c>
      <c r="C262" s="10" t="s">
        <v>169</v>
      </c>
      <c r="D262" s="10" t="s">
        <v>191</v>
      </c>
      <c r="E262" s="10" t="s">
        <v>185</v>
      </c>
      <c r="F262" s="27"/>
      <c r="G262" s="27">
        <f>'Прил.№4 ведомств.'!G87</f>
        <v>50</v>
      </c>
    </row>
    <row r="263" spans="1:7" ht="31.5" x14ac:dyDescent="0.25">
      <c r="A263" s="31" t="s">
        <v>199</v>
      </c>
      <c r="B263" s="6" t="s">
        <v>225</v>
      </c>
      <c r="C263" s="42" t="s">
        <v>169</v>
      </c>
      <c r="D263" s="42" t="s">
        <v>191</v>
      </c>
      <c r="E263" s="42"/>
      <c r="F263" s="42" t="s">
        <v>718</v>
      </c>
      <c r="G263" s="7">
        <f>G257</f>
        <v>50</v>
      </c>
    </row>
    <row r="264" spans="1:7" ht="63" x14ac:dyDescent="0.25">
      <c r="A264" s="24" t="s">
        <v>228</v>
      </c>
      <c r="B264" s="208" t="s">
        <v>229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168</v>
      </c>
      <c r="B265" s="6" t="s">
        <v>229</v>
      </c>
      <c r="C265" s="42" t="s">
        <v>169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190</v>
      </c>
      <c r="B266" s="6" t="s">
        <v>229</v>
      </c>
      <c r="C266" s="42" t="s">
        <v>169</v>
      </c>
      <c r="D266" s="42" t="s">
        <v>191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230</v>
      </c>
      <c r="B267" s="6" t="s">
        <v>231</v>
      </c>
      <c r="C267" s="42" t="s">
        <v>169</v>
      </c>
      <c r="D267" s="42" t="s">
        <v>191</v>
      </c>
      <c r="E267" s="42"/>
      <c r="F267" s="42"/>
      <c r="G267" s="11">
        <f>G268</f>
        <v>15</v>
      </c>
    </row>
    <row r="268" spans="1:7" ht="47.25" x14ac:dyDescent="0.25">
      <c r="A268" s="31" t="s">
        <v>182</v>
      </c>
      <c r="B268" s="6" t="s">
        <v>231</v>
      </c>
      <c r="C268" s="42" t="s">
        <v>169</v>
      </c>
      <c r="D268" s="42" t="s">
        <v>191</v>
      </c>
      <c r="E268" s="42" t="s">
        <v>183</v>
      </c>
      <c r="F268" s="42"/>
      <c r="G268" s="11">
        <f>G269</f>
        <v>15</v>
      </c>
    </row>
    <row r="269" spans="1:7" ht="47.25" x14ac:dyDescent="0.25">
      <c r="A269" s="31" t="s">
        <v>184</v>
      </c>
      <c r="B269" s="6" t="s">
        <v>231</v>
      </c>
      <c r="C269" s="42" t="s">
        <v>169</v>
      </c>
      <c r="D269" s="42" t="s">
        <v>191</v>
      </c>
      <c r="E269" s="42" t="s">
        <v>185</v>
      </c>
      <c r="F269" s="42"/>
      <c r="G269" s="11">
        <f>'Прил.№4 ведомств.'!G91</f>
        <v>15</v>
      </c>
    </row>
    <row r="270" spans="1:7" ht="31.5" x14ac:dyDescent="0.25">
      <c r="A270" s="31" t="s">
        <v>199</v>
      </c>
      <c r="B270" s="6" t="s">
        <v>229</v>
      </c>
      <c r="C270" s="42" t="s">
        <v>169</v>
      </c>
      <c r="D270" s="42" t="s">
        <v>191</v>
      </c>
      <c r="E270" s="42"/>
      <c r="F270" s="42" t="s">
        <v>718</v>
      </c>
      <c r="G270" s="11">
        <f>G264</f>
        <v>15</v>
      </c>
    </row>
    <row r="271" spans="1:7" ht="69" customHeight="1" x14ac:dyDescent="0.25">
      <c r="A271" s="43" t="s">
        <v>533</v>
      </c>
      <c r="B271" s="3" t="s">
        <v>534</v>
      </c>
      <c r="C271" s="80"/>
      <c r="D271" s="80"/>
      <c r="E271" s="80"/>
      <c r="F271" s="80"/>
      <c r="G271" s="4">
        <f>G273+G294+G317</f>
        <v>36478.9</v>
      </c>
    </row>
    <row r="272" spans="1:7" ht="94.5" x14ac:dyDescent="0.25">
      <c r="A272" s="43" t="s">
        <v>719</v>
      </c>
      <c r="B272" s="3" t="s">
        <v>536</v>
      </c>
      <c r="C272" s="81"/>
      <c r="D272" s="81"/>
      <c r="E272" s="81"/>
      <c r="F272" s="81"/>
      <c r="G272" s="68">
        <f>G273</f>
        <v>10758</v>
      </c>
    </row>
    <row r="273" spans="1:7" ht="15.75" x14ac:dyDescent="0.25">
      <c r="A273" s="31" t="s">
        <v>314</v>
      </c>
      <c r="B273" s="42" t="s">
        <v>536</v>
      </c>
      <c r="C273" s="42" t="s">
        <v>315</v>
      </c>
      <c r="D273" s="80"/>
      <c r="E273" s="80"/>
      <c r="F273" s="80"/>
      <c r="G273" s="11">
        <f>G274</f>
        <v>10758</v>
      </c>
    </row>
    <row r="274" spans="1:7" ht="15.75" x14ac:dyDescent="0.25">
      <c r="A274" s="31" t="s">
        <v>316</v>
      </c>
      <c r="B274" s="42" t="s">
        <v>536</v>
      </c>
      <c r="C274" s="42" t="s">
        <v>315</v>
      </c>
      <c r="D274" s="42" t="s">
        <v>266</v>
      </c>
      <c r="E274" s="80"/>
      <c r="F274" s="80"/>
      <c r="G274" s="11">
        <f>G275+G290</f>
        <v>10758</v>
      </c>
    </row>
    <row r="275" spans="1:7" ht="63" x14ac:dyDescent="0.25">
      <c r="A275" s="31" t="s">
        <v>321</v>
      </c>
      <c r="B275" s="42" t="s">
        <v>537</v>
      </c>
      <c r="C275" s="42" t="s">
        <v>315</v>
      </c>
      <c r="D275" s="42" t="s">
        <v>266</v>
      </c>
      <c r="E275" s="80"/>
      <c r="F275" s="80"/>
      <c r="G275" s="11">
        <f>G276</f>
        <v>10722</v>
      </c>
    </row>
    <row r="276" spans="1:7" ht="63" x14ac:dyDescent="0.25">
      <c r="A276" s="31" t="s">
        <v>323</v>
      </c>
      <c r="B276" s="42" t="s">
        <v>537</v>
      </c>
      <c r="C276" s="42" t="s">
        <v>315</v>
      </c>
      <c r="D276" s="42" t="s">
        <v>266</v>
      </c>
      <c r="E276" s="42" t="s">
        <v>324</v>
      </c>
      <c r="F276" s="80"/>
      <c r="G276" s="11">
        <f>G277</f>
        <v>10722</v>
      </c>
    </row>
    <row r="277" spans="1:7" ht="15.75" x14ac:dyDescent="0.25">
      <c r="A277" s="31" t="s">
        <v>325</v>
      </c>
      <c r="B277" s="42" t="s">
        <v>537</v>
      </c>
      <c r="C277" s="42" t="s">
        <v>315</v>
      </c>
      <c r="D277" s="42" t="s">
        <v>266</v>
      </c>
      <c r="E277" s="42" t="s">
        <v>326</v>
      </c>
      <c r="F277" s="80"/>
      <c r="G277" s="11">
        <f>'Прил.№4 ведомств.'!G794</f>
        <v>10722</v>
      </c>
    </row>
    <row r="278" spans="1:7" ht="78.75" hidden="1" customHeight="1" x14ac:dyDescent="0.25">
      <c r="A278" s="31" t="s">
        <v>657</v>
      </c>
      <c r="B278" s="42" t="s">
        <v>720</v>
      </c>
      <c r="C278" s="42" t="s">
        <v>315</v>
      </c>
      <c r="D278" s="42" t="s">
        <v>266</v>
      </c>
      <c r="E278" s="42"/>
      <c r="F278" s="80"/>
      <c r="G278" s="11">
        <f>G279</f>
        <v>0</v>
      </c>
    </row>
    <row r="279" spans="1:7" ht="63" hidden="1" x14ac:dyDescent="0.25">
      <c r="A279" s="31" t="s">
        <v>323</v>
      </c>
      <c r="B279" s="42" t="s">
        <v>720</v>
      </c>
      <c r="C279" s="42" t="s">
        <v>315</v>
      </c>
      <c r="D279" s="42" t="s">
        <v>266</v>
      </c>
      <c r="E279" s="42" t="s">
        <v>324</v>
      </c>
      <c r="F279" s="80"/>
      <c r="G279" s="11">
        <f>G280</f>
        <v>0</v>
      </c>
    </row>
    <row r="280" spans="1:7" ht="15.75" hidden="1" x14ac:dyDescent="0.25">
      <c r="A280" s="31" t="s">
        <v>325</v>
      </c>
      <c r="B280" s="42" t="s">
        <v>720</v>
      </c>
      <c r="C280" s="42" t="s">
        <v>315</v>
      </c>
      <c r="D280" s="42" t="s">
        <v>266</v>
      </c>
      <c r="E280" s="42" t="s">
        <v>326</v>
      </c>
      <c r="F280" s="80"/>
      <c r="G280" s="11">
        <f>G281</f>
        <v>0</v>
      </c>
    </row>
    <row r="281" spans="1:7" ht="47.25" hidden="1" x14ac:dyDescent="0.25">
      <c r="A281" s="48" t="s">
        <v>532</v>
      </c>
      <c r="B281" s="42" t="s">
        <v>720</v>
      </c>
      <c r="C281" s="42" t="s">
        <v>315</v>
      </c>
      <c r="D281" s="42" t="s">
        <v>266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329</v>
      </c>
      <c r="B282" s="42" t="s">
        <v>721</v>
      </c>
      <c r="C282" s="42" t="s">
        <v>315</v>
      </c>
      <c r="D282" s="42" t="s">
        <v>266</v>
      </c>
      <c r="E282" s="42"/>
      <c r="F282" s="80"/>
      <c r="G282" s="11">
        <f>G283</f>
        <v>0</v>
      </c>
    </row>
    <row r="283" spans="1:7" ht="63" hidden="1" x14ac:dyDescent="0.25">
      <c r="A283" s="31" t="s">
        <v>323</v>
      </c>
      <c r="B283" s="42" t="s">
        <v>721</v>
      </c>
      <c r="C283" s="42" t="s">
        <v>315</v>
      </c>
      <c r="D283" s="42" t="s">
        <v>266</v>
      </c>
      <c r="E283" s="42" t="s">
        <v>324</v>
      </c>
      <c r="F283" s="80"/>
      <c r="G283" s="11">
        <f>G284</f>
        <v>0</v>
      </c>
    </row>
    <row r="284" spans="1:7" ht="15.75" hidden="1" x14ac:dyDescent="0.25">
      <c r="A284" s="31" t="s">
        <v>325</v>
      </c>
      <c r="B284" s="42" t="s">
        <v>721</v>
      </c>
      <c r="C284" s="42" t="s">
        <v>315</v>
      </c>
      <c r="D284" s="42" t="s">
        <v>266</v>
      </c>
      <c r="E284" s="42" t="s">
        <v>326</v>
      </c>
      <c r="F284" s="80"/>
      <c r="G284" s="11"/>
    </row>
    <row r="285" spans="1:7" ht="47.25" hidden="1" x14ac:dyDescent="0.25">
      <c r="A285" s="48" t="s">
        <v>532</v>
      </c>
      <c r="B285" s="42" t="s">
        <v>721</v>
      </c>
      <c r="C285" s="42" t="s">
        <v>315</v>
      </c>
      <c r="D285" s="42" t="s">
        <v>266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331</v>
      </c>
      <c r="B286" s="42" t="s">
        <v>722</v>
      </c>
      <c r="C286" s="42" t="s">
        <v>315</v>
      </c>
      <c r="D286" s="42" t="s">
        <v>266</v>
      </c>
      <c r="E286" s="42"/>
      <c r="F286" s="80"/>
      <c r="G286" s="11">
        <f>G287</f>
        <v>0</v>
      </c>
    </row>
    <row r="287" spans="1:7" ht="63" hidden="1" x14ac:dyDescent="0.25">
      <c r="A287" s="31" t="s">
        <v>323</v>
      </c>
      <c r="B287" s="42" t="s">
        <v>722</v>
      </c>
      <c r="C287" s="42" t="s">
        <v>315</v>
      </c>
      <c r="D287" s="42" t="s">
        <v>266</v>
      </c>
      <c r="E287" s="42" t="s">
        <v>324</v>
      </c>
      <c r="F287" s="80"/>
      <c r="G287" s="11">
        <f>G288</f>
        <v>0</v>
      </c>
    </row>
    <row r="288" spans="1:7" ht="15.75" hidden="1" x14ac:dyDescent="0.25">
      <c r="A288" s="31" t="s">
        <v>325</v>
      </c>
      <c r="B288" s="42" t="s">
        <v>722</v>
      </c>
      <c r="C288" s="42" t="s">
        <v>315</v>
      </c>
      <c r="D288" s="42" t="s">
        <v>266</v>
      </c>
      <c r="E288" s="42" t="s">
        <v>326</v>
      </c>
      <c r="F288" s="80"/>
      <c r="G288" s="11"/>
    </row>
    <row r="289" spans="1:7" ht="47.25" hidden="1" x14ac:dyDescent="0.25">
      <c r="A289" s="48" t="s">
        <v>532</v>
      </c>
      <c r="B289" s="42" t="s">
        <v>722</v>
      </c>
      <c r="C289" s="42" t="s">
        <v>315</v>
      </c>
      <c r="D289" s="42" t="s">
        <v>266</v>
      </c>
      <c r="E289" s="42"/>
      <c r="F289" s="2">
        <v>907</v>
      </c>
      <c r="G289" s="11">
        <v>0</v>
      </c>
    </row>
    <row r="290" spans="1:7" ht="47.25" x14ac:dyDescent="0.25">
      <c r="A290" s="31" t="s">
        <v>333</v>
      </c>
      <c r="B290" s="42" t="s">
        <v>540</v>
      </c>
      <c r="C290" s="42" t="s">
        <v>315</v>
      </c>
      <c r="D290" s="42" t="s">
        <v>266</v>
      </c>
      <c r="E290" s="42"/>
      <c r="F290" s="80"/>
      <c r="G290" s="11">
        <f>G291</f>
        <v>36</v>
      </c>
    </row>
    <row r="291" spans="1:7" ht="63" x14ac:dyDescent="0.25">
      <c r="A291" s="31" t="s">
        <v>323</v>
      </c>
      <c r="B291" s="42" t="s">
        <v>540</v>
      </c>
      <c r="C291" s="42" t="s">
        <v>315</v>
      </c>
      <c r="D291" s="42" t="s">
        <v>266</v>
      </c>
      <c r="E291" s="42" t="s">
        <v>324</v>
      </c>
      <c r="F291" s="80"/>
      <c r="G291" s="11">
        <f>G292</f>
        <v>36</v>
      </c>
    </row>
    <row r="292" spans="1:7" ht="15.75" x14ac:dyDescent="0.25">
      <c r="A292" s="31" t="s">
        <v>325</v>
      </c>
      <c r="B292" s="42" t="s">
        <v>540</v>
      </c>
      <c r="C292" s="42" t="s">
        <v>315</v>
      </c>
      <c r="D292" s="42" t="s">
        <v>266</v>
      </c>
      <c r="E292" s="42" t="s">
        <v>326</v>
      </c>
      <c r="F292" s="80"/>
      <c r="G292" s="11">
        <f>'Прил.№4 ведомств.'!G803</f>
        <v>36</v>
      </c>
    </row>
    <row r="293" spans="1:7" ht="58.5" customHeight="1" x14ac:dyDescent="0.25">
      <c r="A293" s="82" t="s">
        <v>532</v>
      </c>
      <c r="B293" s="42" t="s">
        <v>536</v>
      </c>
      <c r="C293" s="42" t="s">
        <v>315</v>
      </c>
      <c r="D293" s="42" t="s">
        <v>266</v>
      </c>
      <c r="E293" s="42"/>
      <c r="F293" s="2">
        <v>907</v>
      </c>
      <c r="G293" s="11">
        <f>G272</f>
        <v>10758</v>
      </c>
    </row>
    <row r="294" spans="1:7" ht="63" x14ac:dyDescent="0.25">
      <c r="A294" s="64" t="s">
        <v>545</v>
      </c>
      <c r="B294" s="8" t="s">
        <v>546</v>
      </c>
      <c r="C294" s="8"/>
      <c r="D294" s="8"/>
      <c r="E294" s="8"/>
      <c r="F294" s="3"/>
      <c r="G294" s="68">
        <f>G295</f>
        <v>22673.9</v>
      </c>
    </row>
    <row r="295" spans="1:7" ht="15.75" x14ac:dyDescent="0.25">
      <c r="A295" s="31" t="s">
        <v>542</v>
      </c>
      <c r="B295" s="42" t="s">
        <v>546</v>
      </c>
      <c r="C295" s="2">
        <v>11</v>
      </c>
      <c r="D295" s="80"/>
      <c r="E295" s="80"/>
      <c r="F295" s="80"/>
      <c r="G295" s="11">
        <f>G296</f>
        <v>22673.9</v>
      </c>
    </row>
    <row r="296" spans="1:7" ht="20.25" customHeight="1" x14ac:dyDescent="0.25">
      <c r="A296" s="31" t="s">
        <v>544</v>
      </c>
      <c r="B296" s="42" t="s">
        <v>546</v>
      </c>
      <c r="C296" s="42" t="s">
        <v>543</v>
      </c>
      <c r="D296" s="42" t="s">
        <v>169</v>
      </c>
      <c r="E296" s="83"/>
      <c r="F296" s="6"/>
      <c r="G296" s="11">
        <f>G297+G301+G305+G309+G313</f>
        <v>22673.9</v>
      </c>
    </row>
    <row r="297" spans="1:7" ht="47.25" x14ac:dyDescent="0.25">
      <c r="A297" s="31" t="s">
        <v>547</v>
      </c>
      <c r="B297" s="42" t="s">
        <v>548</v>
      </c>
      <c r="C297" s="42" t="s">
        <v>543</v>
      </c>
      <c r="D297" s="42" t="s">
        <v>169</v>
      </c>
      <c r="E297" s="83"/>
      <c r="F297" s="6"/>
      <c r="G297" s="11">
        <f>G298</f>
        <v>22376.400000000001</v>
      </c>
    </row>
    <row r="298" spans="1:7" ht="65.25" customHeight="1" x14ac:dyDescent="0.25">
      <c r="A298" s="31" t="s">
        <v>323</v>
      </c>
      <c r="B298" s="42" t="s">
        <v>548</v>
      </c>
      <c r="C298" s="42" t="s">
        <v>543</v>
      </c>
      <c r="D298" s="42" t="s">
        <v>169</v>
      </c>
      <c r="E298" s="42" t="s">
        <v>324</v>
      </c>
      <c r="F298" s="6"/>
      <c r="G298" s="11">
        <f>G299</f>
        <v>22376.400000000001</v>
      </c>
    </row>
    <row r="299" spans="1:7" ht="15.75" x14ac:dyDescent="0.25">
      <c r="A299" s="31" t="s">
        <v>325</v>
      </c>
      <c r="B299" s="42" t="s">
        <v>548</v>
      </c>
      <c r="C299" s="42" t="s">
        <v>543</v>
      </c>
      <c r="D299" s="42" t="s">
        <v>169</v>
      </c>
      <c r="E299" s="42" t="s">
        <v>326</v>
      </c>
      <c r="F299" s="6"/>
      <c r="G299" s="11">
        <f>'Прил.№4 ведомств.'!G827</f>
        <v>22376.400000000001</v>
      </c>
    </row>
    <row r="300" spans="1:7" ht="47.25" hidden="1" x14ac:dyDescent="0.25">
      <c r="A300" s="48" t="s">
        <v>532</v>
      </c>
      <c r="B300" s="42" t="s">
        <v>546</v>
      </c>
      <c r="C300" s="42" t="s">
        <v>543</v>
      </c>
      <c r="D300" s="42" t="s">
        <v>169</v>
      </c>
      <c r="E300" s="42"/>
      <c r="F300" s="6">
        <v>907</v>
      </c>
      <c r="G300" s="11">
        <f>G294</f>
        <v>22673.9</v>
      </c>
    </row>
    <row r="301" spans="1:7" ht="63" hidden="1" x14ac:dyDescent="0.25">
      <c r="A301" s="31" t="s">
        <v>657</v>
      </c>
      <c r="B301" s="42" t="s">
        <v>723</v>
      </c>
      <c r="C301" s="42" t="s">
        <v>543</v>
      </c>
      <c r="D301" s="42" t="s">
        <v>169</v>
      </c>
      <c r="E301" s="42"/>
      <c r="F301" s="6"/>
      <c r="G301" s="11">
        <f>G302</f>
        <v>0</v>
      </c>
    </row>
    <row r="302" spans="1:7" ht="63" hidden="1" x14ac:dyDescent="0.25">
      <c r="A302" s="31" t="s">
        <v>323</v>
      </c>
      <c r="B302" s="42" t="s">
        <v>723</v>
      </c>
      <c r="C302" s="42" t="s">
        <v>543</v>
      </c>
      <c r="D302" s="42" t="s">
        <v>169</v>
      </c>
      <c r="E302" s="42" t="s">
        <v>324</v>
      </c>
      <c r="F302" s="6"/>
      <c r="G302" s="11">
        <f>G303</f>
        <v>0</v>
      </c>
    </row>
    <row r="303" spans="1:7" ht="15.75" hidden="1" x14ac:dyDescent="0.25">
      <c r="A303" s="31" t="s">
        <v>325</v>
      </c>
      <c r="B303" s="42" t="s">
        <v>723</v>
      </c>
      <c r="C303" s="42" t="s">
        <v>543</v>
      </c>
      <c r="D303" s="42" t="s">
        <v>169</v>
      </c>
      <c r="E303" s="42" t="s">
        <v>326</v>
      </c>
      <c r="F303" s="6"/>
      <c r="G303" s="11">
        <f>G304</f>
        <v>0</v>
      </c>
    </row>
    <row r="304" spans="1:7" ht="47.25" hidden="1" x14ac:dyDescent="0.25">
      <c r="A304" s="82" t="s">
        <v>532</v>
      </c>
      <c r="B304" s="42" t="s">
        <v>723</v>
      </c>
      <c r="C304" s="42" t="s">
        <v>543</v>
      </c>
      <c r="D304" s="42" t="s">
        <v>169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329</v>
      </c>
      <c r="B305" s="42" t="s">
        <v>549</v>
      </c>
      <c r="C305" s="42" t="s">
        <v>543</v>
      </c>
      <c r="D305" s="42" t="s">
        <v>169</v>
      </c>
      <c r="E305" s="42"/>
      <c r="F305" s="6"/>
      <c r="G305" s="11">
        <f>G306</f>
        <v>297.5</v>
      </c>
    </row>
    <row r="306" spans="1:8" ht="63" x14ac:dyDescent="0.25">
      <c r="A306" s="31" t="s">
        <v>323</v>
      </c>
      <c r="B306" s="42" t="s">
        <v>549</v>
      </c>
      <c r="C306" s="42" t="s">
        <v>543</v>
      </c>
      <c r="D306" s="42" t="s">
        <v>169</v>
      </c>
      <c r="E306" s="42" t="s">
        <v>324</v>
      </c>
      <c r="F306" s="6"/>
      <c r="G306" s="11">
        <f>G307</f>
        <v>297.5</v>
      </c>
    </row>
    <row r="307" spans="1:8" ht="15.75" x14ac:dyDescent="0.25">
      <c r="A307" s="31" t="s">
        <v>325</v>
      </c>
      <c r="B307" s="42" t="s">
        <v>549</v>
      </c>
      <c r="C307" s="42" t="s">
        <v>543</v>
      </c>
      <c r="D307" s="42" t="s">
        <v>169</v>
      </c>
      <c r="E307" s="42" t="s">
        <v>326</v>
      </c>
      <c r="F307" s="6"/>
      <c r="G307" s="191">
        <f>'Прил.№4 ведомств.'!G830</f>
        <v>297.5</v>
      </c>
      <c r="H307" s="192" t="s">
        <v>825</v>
      </c>
    </row>
    <row r="308" spans="1:8" ht="47.25" x14ac:dyDescent="0.25">
      <c r="A308" s="48" t="s">
        <v>532</v>
      </c>
      <c r="B308" s="42" t="s">
        <v>546</v>
      </c>
      <c r="C308" s="42" t="s">
        <v>543</v>
      </c>
      <c r="D308" s="42" t="s">
        <v>169</v>
      </c>
      <c r="E308" s="42"/>
      <c r="F308" s="6">
        <v>907</v>
      </c>
      <c r="G308" s="11">
        <f>G299+G307</f>
        <v>22673.9</v>
      </c>
    </row>
    <row r="309" spans="1:8" ht="31.5" hidden="1" x14ac:dyDescent="0.25">
      <c r="A309" s="31" t="s">
        <v>331</v>
      </c>
      <c r="B309" s="42" t="s">
        <v>724</v>
      </c>
      <c r="C309" s="42" t="s">
        <v>543</v>
      </c>
      <c r="D309" s="42" t="s">
        <v>169</v>
      </c>
      <c r="E309" s="42"/>
      <c r="F309" s="6"/>
      <c r="G309" s="11">
        <f>G310</f>
        <v>0</v>
      </c>
    </row>
    <row r="310" spans="1:8" ht="63" hidden="1" x14ac:dyDescent="0.25">
      <c r="A310" s="31" t="s">
        <v>323</v>
      </c>
      <c r="B310" s="42" t="s">
        <v>724</v>
      </c>
      <c r="C310" s="42" t="s">
        <v>543</v>
      </c>
      <c r="D310" s="42" t="s">
        <v>169</v>
      </c>
      <c r="E310" s="42" t="s">
        <v>324</v>
      </c>
      <c r="F310" s="6"/>
      <c r="G310" s="11">
        <f>G311</f>
        <v>0</v>
      </c>
    </row>
    <row r="311" spans="1:8" ht="15.75" hidden="1" x14ac:dyDescent="0.25">
      <c r="A311" s="31" t="s">
        <v>325</v>
      </c>
      <c r="B311" s="42" t="s">
        <v>724</v>
      </c>
      <c r="C311" s="42" t="s">
        <v>543</v>
      </c>
      <c r="D311" s="42" t="s">
        <v>169</v>
      </c>
      <c r="E311" s="42" t="s">
        <v>326</v>
      </c>
      <c r="F311" s="6"/>
      <c r="G311" s="11"/>
    </row>
    <row r="312" spans="1:8" ht="47.25" hidden="1" x14ac:dyDescent="0.25">
      <c r="A312" s="48" t="s">
        <v>532</v>
      </c>
      <c r="B312" s="42" t="s">
        <v>724</v>
      </c>
      <c r="C312" s="42" t="s">
        <v>543</v>
      </c>
      <c r="D312" s="42" t="s">
        <v>169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335</v>
      </c>
      <c r="B313" s="42" t="s">
        <v>725</v>
      </c>
      <c r="C313" s="42" t="s">
        <v>543</v>
      </c>
      <c r="D313" s="42" t="s">
        <v>169</v>
      </c>
      <c r="E313" s="42"/>
      <c r="F313" s="6"/>
      <c r="G313" s="11">
        <f>G314</f>
        <v>0</v>
      </c>
    </row>
    <row r="314" spans="1:8" ht="63" hidden="1" x14ac:dyDescent="0.25">
      <c r="A314" s="31" t="s">
        <v>323</v>
      </c>
      <c r="B314" s="42" t="s">
        <v>725</v>
      </c>
      <c r="C314" s="42" t="s">
        <v>543</v>
      </c>
      <c r="D314" s="42" t="s">
        <v>169</v>
      </c>
      <c r="E314" s="42" t="s">
        <v>324</v>
      </c>
      <c r="F314" s="6"/>
      <c r="G314" s="11">
        <f>G315</f>
        <v>0</v>
      </c>
    </row>
    <row r="315" spans="1:8" ht="15.75" hidden="1" x14ac:dyDescent="0.25">
      <c r="A315" s="31" t="s">
        <v>325</v>
      </c>
      <c r="B315" s="42" t="s">
        <v>725</v>
      </c>
      <c r="C315" s="42" t="s">
        <v>543</v>
      </c>
      <c r="D315" s="42" t="s">
        <v>169</v>
      </c>
      <c r="E315" s="42" t="s">
        <v>326</v>
      </c>
      <c r="F315" s="6"/>
      <c r="G315" s="11"/>
    </row>
    <row r="316" spans="1:8" ht="47.25" hidden="1" x14ac:dyDescent="0.25">
      <c r="A316" s="48" t="s">
        <v>532</v>
      </c>
      <c r="B316" s="42" t="s">
        <v>725</v>
      </c>
      <c r="C316" s="42" t="s">
        <v>543</v>
      </c>
      <c r="D316" s="42" t="s">
        <v>169</v>
      </c>
      <c r="E316" s="42"/>
      <c r="F316" s="6">
        <v>907</v>
      </c>
      <c r="G316" s="11">
        <v>0</v>
      </c>
    </row>
    <row r="317" spans="1:8" ht="63" x14ac:dyDescent="0.25">
      <c r="A317" s="64" t="s">
        <v>553</v>
      </c>
      <c r="B317" s="8" t="s">
        <v>554</v>
      </c>
      <c r="C317" s="8"/>
      <c r="D317" s="8"/>
      <c r="E317" s="8"/>
      <c r="F317" s="208"/>
      <c r="G317" s="4">
        <f>G318</f>
        <v>3047</v>
      </c>
    </row>
    <row r="318" spans="1:8" ht="15.75" x14ac:dyDescent="0.25">
      <c r="A318" s="31" t="s">
        <v>542</v>
      </c>
      <c r="B318" s="42" t="s">
        <v>554</v>
      </c>
      <c r="C318" s="2">
        <v>11</v>
      </c>
      <c r="D318" s="42"/>
      <c r="E318" s="42"/>
      <c r="F318" s="6"/>
      <c r="G318" s="7">
        <f>G319</f>
        <v>3047</v>
      </c>
    </row>
    <row r="319" spans="1:8" ht="31.5" x14ac:dyDescent="0.25">
      <c r="A319" s="26" t="s">
        <v>552</v>
      </c>
      <c r="B319" s="42" t="s">
        <v>554</v>
      </c>
      <c r="C319" s="42" t="s">
        <v>543</v>
      </c>
      <c r="D319" s="42" t="s">
        <v>285</v>
      </c>
      <c r="E319" s="42"/>
      <c r="F319" s="6"/>
      <c r="G319" s="7">
        <f>G320</f>
        <v>3047</v>
      </c>
    </row>
    <row r="320" spans="1:8" ht="47.25" x14ac:dyDescent="0.25">
      <c r="A320" s="31" t="s">
        <v>208</v>
      </c>
      <c r="B320" s="42" t="s">
        <v>555</v>
      </c>
      <c r="C320" s="42" t="s">
        <v>543</v>
      </c>
      <c r="D320" s="42" t="s">
        <v>285</v>
      </c>
      <c r="E320" s="42"/>
      <c r="F320" s="6"/>
      <c r="G320" s="7">
        <f>G323+G321</f>
        <v>3047</v>
      </c>
    </row>
    <row r="321" spans="1:7" ht="110.25" x14ac:dyDescent="0.25">
      <c r="A321" s="26" t="s">
        <v>178</v>
      </c>
      <c r="B321" s="42" t="s">
        <v>555</v>
      </c>
      <c r="C321" s="42" t="s">
        <v>543</v>
      </c>
      <c r="D321" s="42" t="s">
        <v>285</v>
      </c>
      <c r="E321" s="42" t="s">
        <v>179</v>
      </c>
      <c r="F321" s="6"/>
      <c r="G321" s="7">
        <f>G322</f>
        <v>2111</v>
      </c>
    </row>
    <row r="322" spans="1:7" ht="55.5" customHeight="1" x14ac:dyDescent="0.25">
      <c r="A322" s="26" t="s">
        <v>180</v>
      </c>
      <c r="B322" s="42" t="s">
        <v>555</v>
      </c>
      <c r="C322" s="42" t="s">
        <v>543</v>
      </c>
      <c r="D322" s="42" t="s">
        <v>285</v>
      </c>
      <c r="E322" s="42" t="s">
        <v>181</v>
      </c>
      <c r="F322" s="6"/>
      <c r="G322" s="7">
        <f>'Прил.№4 ведомств.'!G854</f>
        <v>2111</v>
      </c>
    </row>
    <row r="323" spans="1:7" ht="47.25" x14ac:dyDescent="0.25">
      <c r="A323" s="31" t="s">
        <v>182</v>
      </c>
      <c r="B323" s="42" t="s">
        <v>555</v>
      </c>
      <c r="C323" s="42" t="s">
        <v>543</v>
      </c>
      <c r="D323" s="42" t="s">
        <v>285</v>
      </c>
      <c r="E323" s="42" t="s">
        <v>183</v>
      </c>
      <c r="F323" s="6"/>
      <c r="G323" s="7">
        <f>G324</f>
        <v>936</v>
      </c>
    </row>
    <row r="324" spans="1:7" ht="47.25" x14ac:dyDescent="0.25">
      <c r="A324" s="31" t="s">
        <v>184</v>
      </c>
      <c r="B324" s="42" t="s">
        <v>555</v>
      </c>
      <c r="C324" s="42" t="s">
        <v>543</v>
      </c>
      <c r="D324" s="42" t="s">
        <v>285</v>
      </c>
      <c r="E324" s="42" t="s">
        <v>185</v>
      </c>
      <c r="F324" s="6"/>
      <c r="G324" s="7">
        <f>'Прил.№4 ведомств.'!G856</f>
        <v>936</v>
      </c>
    </row>
    <row r="325" spans="1:7" ht="47.25" x14ac:dyDescent="0.25">
      <c r="A325" s="82" t="s">
        <v>532</v>
      </c>
      <c r="B325" s="42" t="s">
        <v>554</v>
      </c>
      <c r="C325" s="42" t="s">
        <v>543</v>
      </c>
      <c r="D325" s="42" t="s">
        <v>285</v>
      </c>
      <c r="E325" s="42"/>
      <c r="F325" s="6">
        <v>907</v>
      </c>
      <c r="G325" s="11">
        <f>G317</f>
        <v>3047</v>
      </c>
    </row>
    <row r="326" spans="1:7" ht="63" x14ac:dyDescent="0.25">
      <c r="A326" s="43" t="s">
        <v>317</v>
      </c>
      <c r="B326" s="8" t="s">
        <v>318</v>
      </c>
      <c r="C326" s="84"/>
      <c r="D326" s="84"/>
      <c r="E326" s="84"/>
      <c r="F326" s="3"/>
      <c r="G326" s="68">
        <f>G327+G353+G374</f>
        <v>58528.7</v>
      </c>
    </row>
    <row r="327" spans="1:7" ht="78.75" x14ac:dyDescent="0.25">
      <c r="A327" s="43" t="s">
        <v>319</v>
      </c>
      <c r="B327" s="8" t="s">
        <v>320</v>
      </c>
      <c r="C327" s="84"/>
      <c r="D327" s="84"/>
      <c r="E327" s="84"/>
      <c r="F327" s="3"/>
      <c r="G327" s="68">
        <f>G328</f>
        <v>16445.599999999999</v>
      </c>
    </row>
    <row r="328" spans="1:7" ht="15.75" x14ac:dyDescent="0.25">
      <c r="A328" s="31" t="s">
        <v>314</v>
      </c>
      <c r="B328" s="42" t="s">
        <v>320</v>
      </c>
      <c r="C328" s="42" t="s">
        <v>315</v>
      </c>
      <c r="D328" s="84"/>
      <c r="E328" s="84"/>
      <c r="F328" s="3"/>
      <c r="G328" s="11">
        <f>G329</f>
        <v>16445.599999999999</v>
      </c>
    </row>
    <row r="329" spans="1:7" ht="15.75" x14ac:dyDescent="0.25">
      <c r="A329" s="31" t="s">
        <v>477</v>
      </c>
      <c r="B329" s="42" t="s">
        <v>320</v>
      </c>
      <c r="C329" s="42" t="s">
        <v>315</v>
      </c>
      <c r="D329" s="42" t="s">
        <v>266</v>
      </c>
      <c r="E329" s="84"/>
      <c r="F329" s="3"/>
      <c r="G329" s="11">
        <f>G330+G345</f>
        <v>16445.599999999999</v>
      </c>
    </row>
    <row r="330" spans="1:7" ht="63" x14ac:dyDescent="0.25">
      <c r="A330" s="31" t="s">
        <v>321</v>
      </c>
      <c r="B330" s="42" t="s">
        <v>322</v>
      </c>
      <c r="C330" s="42" t="s">
        <v>315</v>
      </c>
      <c r="D330" s="42" t="s">
        <v>266</v>
      </c>
      <c r="E330" s="84"/>
      <c r="F330" s="3"/>
      <c r="G330" s="11">
        <f>G331</f>
        <v>16395.599999999999</v>
      </c>
    </row>
    <row r="331" spans="1:7" ht="63" x14ac:dyDescent="0.25">
      <c r="A331" s="31" t="s">
        <v>323</v>
      </c>
      <c r="B331" s="42" t="s">
        <v>322</v>
      </c>
      <c r="C331" s="42" t="s">
        <v>315</v>
      </c>
      <c r="D331" s="42" t="s">
        <v>266</v>
      </c>
      <c r="E331" s="42" t="s">
        <v>324</v>
      </c>
      <c r="F331" s="3"/>
      <c r="G331" s="11">
        <f>G332</f>
        <v>16395.599999999999</v>
      </c>
    </row>
    <row r="332" spans="1:7" ht="15.75" x14ac:dyDescent="0.25">
      <c r="A332" s="31" t="s">
        <v>325</v>
      </c>
      <c r="B332" s="42" t="s">
        <v>322</v>
      </c>
      <c r="C332" s="42" t="s">
        <v>315</v>
      </c>
      <c r="D332" s="42" t="s">
        <v>266</v>
      </c>
      <c r="E332" s="42" t="s">
        <v>326</v>
      </c>
      <c r="F332" s="3"/>
      <c r="G332" s="7">
        <f>'Прил.№4 ведомств.'!G288</f>
        <v>16395.599999999999</v>
      </c>
    </row>
    <row r="333" spans="1:7" ht="63" hidden="1" x14ac:dyDescent="0.25">
      <c r="A333" s="31" t="s">
        <v>327</v>
      </c>
      <c r="B333" s="42" t="s">
        <v>726</v>
      </c>
      <c r="C333" s="42" t="s">
        <v>315</v>
      </c>
      <c r="D333" s="42" t="s">
        <v>266</v>
      </c>
      <c r="E333" s="42"/>
      <c r="F333" s="3"/>
      <c r="G333" s="11">
        <f>G334</f>
        <v>0</v>
      </c>
    </row>
    <row r="334" spans="1:7" ht="63" hidden="1" x14ac:dyDescent="0.25">
      <c r="A334" s="31" t="s">
        <v>323</v>
      </c>
      <c r="B334" s="42" t="s">
        <v>726</v>
      </c>
      <c r="C334" s="42" t="s">
        <v>315</v>
      </c>
      <c r="D334" s="42" t="s">
        <v>266</v>
      </c>
      <c r="E334" s="42" t="s">
        <v>324</v>
      </c>
      <c r="F334" s="3"/>
      <c r="G334" s="11">
        <f>G335</f>
        <v>0</v>
      </c>
    </row>
    <row r="335" spans="1:7" ht="15.75" hidden="1" x14ac:dyDescent="0.25">
      <c r="A335" s="31" t="s">
        <v>325</v>
      </c>
      <c r="B335" s="42" t="s">
        <v>726</v>
      </c>
      <c r="C335" s="42" t="s">
        <v>315</v>
      </c>
      <c r="D335" s="42" t="s">
        <v>266</v>
      </c>
      <c r="E335" s="42" t="s">
        <v>326</v>
      </c>
      <c r="F335" s="3"/>
      <c r="G335" s="11"/>
    </row>
    <row r="336" spans="1:7" ht="63" hidden="1" x14ac:dyDescent="0.25">
      <c r="A336" s="47" t="s">
        <v>312</v>
      </c>
      <c r="B336" s="42" t="s">
        <v>726</v>
      </c>
      <c r="C336" s="42" t="s">
        <v>315</v>
      </c>
      <c r="D336" s="42" t="s">
        <v>266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329</v>
      </c>
      <c r="B337" s="42" t="s">
        <v>727</v>
      </c>
      <c r="C337" s="42" t="s">
        <v>315</v>
      </c>
      <c r="D337" s="42" t="s">
        <v>266</v>
      </c>
      <c r="E337" s="42"/>
      <c r="F337" s="3"/>
      <c r="G337" s="11">
        <f>G338</f>
        <v>0</v>
      </c>
    </row>
    <row r="338" spans="1:7" ht="63" hidden="1" x14ac:dyDescent="0.25">
      <c r="A338" s="31" t="s">
        <v>323</v>
      </c>
      <c r="B338" s="42" t="s">
        <v>727</v>
      </c>
      <c r="C338" s="42" t="s">
        <v>315</v>
      </c>
      <c r="D338" s="42" t="s">
        <v>266</v>
      </c>
      <c r="E338" s="42" t="s">
        <v>324</v>
      </c>
      <c r="F338" s="3"/>
      <c r="G338" s="11">
        <f>G339</f>
        <v>0</v>
      </c>
    </row>
    <row r="339" spans="1:7" ht="15.75" hidden="1" x14ac:dyDescent="0.25">
      <c r="A339" s="31" t="s">
        <v>325</v>
      </c>
      <c r="B339" s="42" t="s">
        <v>727</v>
      </c>
      <c r="C339" s="42" t="s">
        <v>315</v>
      </c>
      <c r="D339" s="42" t="s">
        <v>266</v>
      </c>
      <c r="E339" s="42" t="s">
        <v>326</v>
      </c>
      <c r="F339" s="3"/>
      <c r="G339" s="11"/>
    </row>
    <row r="340" spans="1:7" ht="63" hidden="1" x14ac:dyDescent="0.25">
      <c r="A340" s="47" t="s">
        <v>312</v>
      </c>
      <c r="B340" s="42" t="s">
        <v>727</v>
      </c>
      <c r="C340" s="42" t="s">
        <v>315</v>
      </c>
      <c r="D340" s="42" t="s">
        <v>266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331</v>
      </c>
      <c r="B341" s="42" t="s">
        <v>728</v>
      </c>
      <c r="C341" s="42" t="s">
        <v>315</v>
      </c>
      <c r="D341" s="42" t="s">
        <v>266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323</v>
      </c>
      <c r="B342" s="42" t="s">
        <v>728</v>
      </c>
      <c r="C342" s="42" t="s">
        <v>315</v>
      </c>
      <c r="D342" s="42" t="s">
        <v>266</v>
      </c>
      <c r="E342" s="42" t="s">
        <v>324</v>
      </c>
      <c r="F342" s="3"/>
      <c r="G342" s="11">
        <f>G343</f>
        <v>0</v>
      </c>
    </row>
    <row r="343" spans="1:7" ht="15.75" hidden="1" x14ac:dyDescent="0.25">
      <c r="A343" s="31" t="s">
        <v>325</v>
      </c>
      <c r="B343" s="42" t="s">
        <v>728</v>
      </c>
      <c r="C343" s="42" t="s">
        <v>315</v>
      </c>
      <c r="D343" s="42" t="s">
        <v>266</v>
      </c>
      <c r="E343" s="42" t="s">
        <v>326</v>
      </c>
      <c r="F343" s="3"/>
      <c r="G343" s="11"/>
    </row>
    <row r="344" spans="1:7" ht="63" hidden="1" x14ac:dyDescent="0.25">
      <c r="A344" s="47" t="s">
        <v>312</v>
      </c>
      <c r="B344" s="42" t="s">
        <v>728</v>
      </c>
      <c r="C344" s="42" t="s">
        <v>315</v>
      </c>
      <c r="D344" s="42" t="s">
        <v>266</v>
      </c>
      <c r="E344" s="42"/>
      <c r="F344" s="2">
        <v>903</v>
      </c>
      <c r="G344" s="11">
        <v>0</v>
      </c>
    </row>
    <row r="345" spans="1:7" ht="47.25" x14ac:dyDescent="0.25">
      <c r="A345" s="31" t="s">
        <v>333</v>
      </c>
      <c r="B345" s="42" t="s">
        <v>334</v>
      </c>
      <c r="C345" s="42" t="s">
        <v>315</v>
      </c>
      <c r="D345" s="42" t="s">
        <v>266</v>
      </c>
      <c r="E345" s="42"/>
      <c r="F345" s="3"/>
      <c r="G345" s="11">
        <f>G346</f>
        <v>50</v>
      </c>
    </row>
    <row r="346" spans="1:7" ht="63" x14ac:dyDescent="0.25">
      <c r="A346" s="31" t="s">
        <v>323</v>
      </c>
      <c r="B346" s="42" t="s">
        <v>334</v>
      </c>
      <c r="C346" s="42" t="s">
        <v>315</v>
      </c>
      <c r="D346" s="42" t="s">
        <v>266</v>
      </c>
      <c r="E346" s="42" t="s">
        <v>324</v>
      </c>
      <c r="F346" s="3"/>
      <c r="G346" s="11">
        <f>G347</f>
        <v>50</v>
      </c>
    </row>
    <row r="347" spans="1:7" ht="15.75" x14ac:dyDescent="0.25">
      <c r="A347" s="31" t="s">
        <v>325</v>
      </c>
      <c r="B347" s="42" t="s">
        <v>334</v>
      </c>
      <c r="C347" s="42" t="s">
        <v>315</v>
      </c>
      <c r="D347" s="42" t="s">
        <v>266</v>
      </c>
      <c r="E347" s="42" t="s">
        <v>326</v>
      </c>
      <c r="F347" s="3"/>
      <c r="G347" s="7">
        <f>'Прил.№4 ведомств.'!G300</f>
        <v>50</v>
      </c>
    </row>
    <row r="348" spans="1:7" ht="63" x14ac:dyDescent="0.25">
      <c r="A348" s="47" t="s">
        <v>312</v>
      </c>
      <c r="B348" s="42" t="s">
        <v>320</v>
      </c>
      <c r="C348" s="42" t="s">
        <v>315</v>
      </c>
      <c r="D348" s="42" t="s">
        <v>266</v>
      </c>
      <c r="E348" s="42"/>
      <c r="F348" s="2">
        <v>903</v>
      </c>
      <c r="G348" s="11">
        <f>G327</f>
        <v>16445.599999999999</v>
      </c>
    </row>
    <row r="349" spans="1:7" ht="47.25" hidden="1" x14ac:dyDescent="0.25">
      <c r="A349" s="31" t="s">
        <v>670</v>
      </c>
      <c r="B349" s="42" t="s">
        <v>671</v>
      </c>
      <c r="C349" s="42" t="s">
        <v>315</v>
      </c>
      <c r="D349" s="42" t="s">
        <v>264</v>
      </c>
      <c r="E349" s="42"/>
      <c r="F349" s="3"/>
      <c r="G349" s="11">
        <f>G350</f>
        <v>0</v>
      </c>
    </row>
    <row r="350" spans="1:7" ht="63" hidden="1" x14ac:dyDescent="0.25">
      <c r="A350" s="31" t="s">
        <v>323</v>
      </c>
      <c r="B350" s="42" t="s">
        <v>671</v>
      </c>
      <c r="C350" s="42" t="s">
        <v>315</v>
      </c>
      <c r="D350" s="42" t="s">
        <v>264</v>
      </c>
      <c r="E350" s="42" t="s">
        <v>324</v>
      </c>
      <c r="F350" s="3"/>
      <c r="G350" s="11">
        <f>G351</f>
        <v>0</v>
      </c>
    </row>
    <row r="351" spans="1:7" ht="15.75" hidden="1" x14ac:dyDescent="0.25">
      <c r="A351" s="31" t="s">
        <v>325</v>
      </c>
      <c r="B351" s="42" t="s">
        <v>671</v>
      </c>
      <c r="C351" s="42" t="s">
        <v>315</v>
      </c>
      <c r="D351" s="42" t="s">
        <v>264</v>
      </c>
      <c r="E351" s="42" t="s">
        <v>326</v>
      </c>
      <c r="F351" s="3"/>
      <c r="G351" s="11"/>
    </row>
    <row r="352" spans="1:7" ht="63" hidden="1" x14ac:dyDescent="0.25">
      <c r="A352" s="47" t="s">
        <v>312</v>
      </c>
      <c r="B352" s="42" t="s">
        <v>671</v>
      </c>
      <c r="C352" s="42" t="s">
        <v>315</v>
      </c>
      <c r="D352" s="42" t="s">
        <v>264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352</v>
      </c>
      <c r="B353" s="8" t="s">
        <v>353</v>
      </c>
      <c r="C353" s="8"/>
      <c r="D353" s="8"/>
      <c r="E353" s="84"/>
      <c r="F353" s="3"/>
      <c r="G353" s="68">
        <f>G354</f>
        <v>25326.400000000001</v>
      </c>
    </row>
    <row r="354" spans="1:7" ht="15.75" x14ac:dyDescent="0.25">
      <c r="A354" s="85" t="s">
        <v>349</v>
      </c>
      <c r="B354" s="42" t="s">
        <v>353</v>
      </c>
      <c r="C354" s="42" t="s">
        <v>350</v>
      </c>
      <c r="D354" s="85"/>
      <c r="E354" s="85"/>
      <c r="F354" s="2"/>
      <c r="G354" s="11">
        <f>G355</f>
        <v>25326.400000000001</v>
      </c>
    </row>
    <row r="355" spans="1:7" ht="15.75" x14ac:dyDescent="0.25">
      <c r="A355" s="85" t="s">
        <v>351</v>
      </c>
      <c r="B355" s="42" t="s">
        <v>353</v>
      </c>
      <c r="C355" s="42" t="s">
        <v>350</v>
      </c>
      <c r="D355" s="42" t="s">
        <v>169</v>
      </c>
      <c r="E355" s="85"/>
      <c r="F355" s="2"/>
      <c r="G355" s="11">
        <f>G356+G363+G366</f>
        <v>25326.400000000001</v>
      </c>
    </row>
    <row r="356" spans="1:7" ht="63" x14ac:dyDescent="0.25">
      <c r="A356" s="31" t="s">
        <v>354</v>
      </c>
      <c r="B356" s="42" t="s">
        <v>355</v>
      </c>
      <c r="C356" s="42" t="s">
        <v>350</v>
      </c>
      <c r="D356" s="42" t="s">
        <v>169</v>
      </c>
      <c r="E356" s="85"/>
      <c r="F356" s="2"/>
      <c r="G356" s="11">
        <f>G357</f>
        <v>23654.800000000003</v>
      </c>
    </row>
    <row r="357" spans="1:7" ht="63" x14ac:dyDescent="0.25">
      <c r="A357" s="31" t="s">
        <v>323</v>
      </c>
      <c r="B357" s="42" t="s">
        <v>355</v>
      </c>
      <c r="C357" s="42" t="s">
        <v>350</v>
      </c>
      <c r="D357" s="42" t="s">
        <v>169</v>
      </c>
      <c r="E357" s="42" t="s">
        <v>324</v>
      </c>
      <c r="F357" s="2"/>
      <c r="G357" s="11">
        <f>G358</f>
        <v>23654.800000000003</v>
      </c>
    </row>
    <row r="358" spans="1:7" ht="15.75" x14ac:dyDescent="0.25">
      <c r="A358" s="31" t="s">
        <v>325</v>
      </c>
      <c r="B358" s="42" t="s">
        <v>355</v>
      </c>
      <c r="C358" s="42" t="s">
        <v>350</v>
      </c>
      <c r="D358" s="42" t="s">
        <v>169</v>
      </c>
      <c r="E358" s="42" t="s">
        <v>326</v>
      </c>
      <c r="F358" s="2"/>
      <c r="G358" s="11">
        <f>'Прил.№4 ведомств.'!G333</f>
        <v>23654.800000000003</v>
      </c>
    </row>
    <row r="359" spans="1:7" ht="63" hidden="1" x14ac:dyDescent="0.25">
      <c r="A359" s="31" t="s">
        <v>327</v>
      </c>
      <c r="B359" s="42" t="s">
        <v>675</v>
      </c>
      <c r="C359" s="42" t="s">
        <v>350</v>
      </c>
      <c r="D359" s="42" t="s">
        <v>169</v>
      </c>
      <c r="E359" s="42"/>
      <c r="F359" s="2"/>
      <c r="G359" s="11">
        <f>G360</f>
        <v>0</v>
      </c>
    </row>
    <row r="360" spans="1:7" ht="63" hidden="1" x14ac:dyDescent="0.25">
      <c r="A360" s="31" t="s">
        <v>323</v>
      </c>
      <c r="B360" s="42" t="s">
        <v>675</v>
      </c>
      <c r="C360" s="42" t="s">
        <v>350</v>
      </c>
      <c r="D360" s="42" t="s">
        <v>169</v>
      </c>
      <c r="E360" s="42" t="s">
        <v>324</v>
      </c>
      <c r="F360" s="2"/>
      <c r="G360" s="11">
        <f>G361</f>
        <v>0</v>
      </c>
    </row>
    <row r="361" spans="1:7" ht="15.75" hidden="1" x14ac:dyDescent="0.25">
      <c r="A361" s="31" t="s">
        <v>325</v>
      </c>
      <c r="B361" s="42" t="s">
        <v>675</v>
      </c>
      <c r="C361" s="42" t="s">
        <v>350</v>
      </c>
      <c r="D361" s="42" t="s">
        <v>169</v>
      </c>
      <c r="E361" s="42" t="s">
        <v>326</v>
      </c>
      <c r="F361" s="2"/>
      <c r="G361" s="11"/>
    </row>
    <row r="362" spans="1:7" ht="63" hidden="1" x14ac:dyDescent="0.25">
      <c r="A362" s="47" t="s">
        <v>312</v>
      </c>
      <c r="B362" s="42" t="s">
        <v>675</v>
      </c>
      <c r="C362" s="42" t="s">
        <v>350</v>
      </c>
      <c r="D362" s="42" t="s">
        <v>169</v>
      </c>
      <c r="E362" s="42"/>
      <c r="F362" s="2">
        <v>903</v>
      </c>
      <c r="G362" s="11">
        <v>0</v>
      </c>
    </row>
    <row r="363" spans="1:7" ht="31.5" x14ac:dyDescent="0.25">
      <c r="A363" s="31" t="s">
        <v>679</v>
      </c>
      <c r="B363" s="42" t="s">
        <v>357</v>
      </c>
      <c r="C363" s="42" t="s">
        <v>350</v>
      </c>
      <c r="D363" s="42" t="s">
        <v>169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323</v>
      </c>
      <c r="B364" s="42" t="s">
        <v>357</v>
      </c>
      <c r="C364" s="42" t="s">
        <v>350</v>
      </c>
      <c r="D364" s="42" t="s">
        <v>169</v>
      </c>
      <c r="E364" s="42" t="s">
        <v>324</v>
      </c>
      <c r="F364" s="2"/>
      <c r="G364" s="11">
        <f>G365</f>
        <v>142.1</v>
      </c>
    </row>
    <row r="365" spans="1:7" ht="15.75" x14ac:dyDescent="0.25">
      <c r="A365" s="31" t="s">
        <v>325</v>
      </c>
      <c r="B365" s="42" t="s">
        <v>357</v>
      </c>
      <c r="C365" s="42" t="s">
        <v>350</v>
      </c>
      <c r="D365" s="42" t="s">
        <v>169</v>
      </c>
      <c r="E365" s="42" t="s">
        <v>326</v>
      </c>
      <c r="F365" s="2"/>
      <c r="G365" s="11">
        <f>'Прил.№4 ведомств.'!G339</f>
        <v>142.1</v>
      </c>
    </row>
    <row r="366" spans="1:7" ht="31.5" x14ac:dyDescent="0.25">
      <c r="A366" s="31" t="s">
        <v>358</v>
      </c>
      <c r="B366" s="42" t="s">
        <v>359</v>
      </c>
      <c r="C366" s="42" t="s">
        <v>350</v>
      </c>
      <c r="D366" s="42" t="s">
        <v>169</v>
      </c>
      <c r="E366" s="42"/>
      <c r="F366" s="2"/>
      <c r="G366" s="11">
        <f>G367</f>
        <v>1529.5</v>
      </c>
    </row>
    <row r="367" spans="1:7" ht="63" x14ac:dyDescent="0.25">
      <c r="A367" s="31" t="s">
        <v>323</v>
      </c>
      <c r="B367" s="42" t="s">
        <v>359</v>
      </c>
      <c r="C367" s="42" t="s">
        <v>350</v>
      </c>
      <c r="D367" s="42" t="s">
        <v>169</v>
      </c>
      <c r="E367" s="42" t="s">
        <v>324</v>
      </c>
      <c r="F367" s="2"/>
      <c r="G367" s="11">
        <f>G368</f>
        <v>1529.5</v>
      </c>
    </row>
    <row r="368" spans="1:7" ht="15.75" x14ac:dyDescent="0.25">
      <c r="A368" s="31" t="s">
        <v>325</v>
      </c>
      <c r="B368" s="42" t="s">
        <v>359</v>
      </c>
      <c r="C368" s="42" t="s">
        <v>350</v>
      </c>
      <c r="D368" s="42" t="s">
        <v>169</v>
      </c>
      <c r="E368" s="42" t="s">
        <v>326</v>
      </c>
      <c r="F368" s="2"/>
      <c r="G368" s="11">
        <f>'Прил.№4 ведомств.'!G342</f>
        <v>1529.5</v>
      </c>
    </row>
    <row r="369" spans="1:7" ht="63" x14ac:dyDescent="0.25">
      <c r="A369" s="47" t="s">
        <v>312</v>
      </c>
      <c r="B369" s="42" t="s">
        <v>353</v>
      </c>
      <c r="C369" s="42" t="s">
        <v>350</v>
      </c>
      <c r="D369" s="42" t="s">
        <v>169</v>
      </c>
      <c r="E369" s="42"/>
      <c r="F369" s="2">
        <v>903</v>
      </c>
      <c r="G369" s="11">
        <f>G353</f>
        <v>25326.400000000001</v>
      </c>
    </row>
    <row r="370" spans="1:7" ht="31.5" hidden="1" x14ac:dyDescent="0.25">
      <c r="A370" s="31" t="s">
        <v>335</v>
      </c>
      <c r="B370" s="42" t="s">
        <v>678</v>
      </c>
      <c r="C370" s="42" t="s">
        <v>350</v>
      </c>
      <c r="D370" s="42" t="s">
        <v>169</v>
      </c>
      <c r="E370" s="42"/>
      <c r="F370" s="2"/>
      <c r="G370" s="11">
        <f>G371</f>
        <v>0</v>
      </c>
    </row>
    <row r="371" spans="1:7" ht="63" hidden="1" x14ac:dyDescent="0.25">
      <c r="A371" s="31" t="s">
        <v>323</v>
      </c>
      <c r="B371" s="42" t="s">
        <v>678</v>
      </c>
      <c r="C371" s="42" t="s">
        <v>350</v>
      </c>
      <c r="D371" s="42" t="s">
        <v>169</v>
      </c>
      <c r="E371" s="42" t="s">
        <v>324</v>
      </c>
      <c r="F371" s="2"/>
      <c r="G371" s="11">
        <f>G372</f>
        <v>0</v>
      </c>
    </row>
    <row r="372" spans="1:7" ht="15.75" hidden="1" x14ac:dyDescent="0.25">
      <c r="A372" s="31" t="s">
        <v>325</v>
      </c>
      <c r="B372" s="42" t="s">
        <v>678</v>
      </c>
      <c r="C372" s="42" t="s">
        <v>350</v>
      </c>
      <c r="D372" s="42" t="s">
        <v>169</v>
      </c>
      <c r="E372" s="42" t="s">
        <v>326</v>
      </c>
      <c r="F372" s="2"/>
      <c r="G372" s="11"/>
    </row>
    <row r="373" spans="1:7" ht="63" hidden="1" x14ac:dyDescent="0.25">
      <c r="A373" s="47" t="s">
        <v>312</v>
      </c>
      <c r="B373" s="42" t="s">
        <v>678</v>
      </c>
      <c r="C373" s="42" t="s">
        <v>350</v>
      </c>
      <c r="D373" s="42" t="s">
        <v>169</v>
      </c>
      <c r="E373" s="42"/>
      <c r="F373" s="2">
        <v>903</v>
      </c>
      <c r="G373" s="11">
        <v>0</v>
      </c>
    </row>
    <row r="374" spans="1:7" ht="63" x14ac:dyDescent="0.25">
      <c r="A374" s="43" t="s">
        <v>363</v>
      </c>
      <c r="B374" s="8" t="s">
        <v>364</v>
      </c>
      <c r="C374" s="8"/>
      <c r="D374" s="8"/>
      <c r="E374" s="8"/>
      <c r="F374" s="87"/>
      <c r="G374" s="68">
        <f>G375</f>
        <v>16756.7</v>
      </c>
    </row>
    <row r="375" spans="1:7" ht="15.75" x14ac:dyDescent="0.25">
      <c r="A375" s="85" t="s">
        <v>349</v>
      </c>
      <c r="B375" s="42" t="s">
        <v>364</v>
      </c>
      <c r="C375" s="42" t="s">
        <v>350</v>
      </c>
      <c r="D375" s="42"/>
      <c r="E375" s="8"/>
      <c r="F375" s="87"/>
      <c r="G375" s="11">
        <f>G376</f>
        <v>16756.7</v>
      </c>
    </row>
    <row r="376" spans="1:7" ht="15.75" x14ac:dyDescent="0.25">
      <c r="A376" s="85" t="s">
        <v>351</v>
      </c>
      <c r="B376" s="42" t="s">
        <v>364</v>
      </c>
      <c r="C376" s="42" t="s">
        <v>350</v>
      </c>
      <c r="D376" s="42" t="s">
        <v>169</v>
      </c>
      <c r="E376" s="8"/>
      <c r="F376" s="87"/>
      <c r="G376" s="11">
        <f>G377+G396+G401+G380</f>
        <v>16756.7</v>
      </c>
    </row>
    <row r="377" spans="1:7" ht="63" x14ac:dyDescent="0.25">
      <c r="A377" s="31" t="s">
        <v>354</v>
      </c>
      <c r="B377" s="42" t="s">
        <v>365</v>
      </c>
      <c r="C377" s="42" t="s">
        <v>350</v>
      </c>
      <c r="D377" s="42" t="s">
        <v>169</v>
      </c>
      <c r="E377" s="42"/>
      <c r="F377" s="86"/>
      <c r="G377" s="11">
        <f>G378</f>
        <v>16655.2</v>
      </c>
    </row>
    <row r="378" spans="1:7" ht="63" x14ac:dyDescent="0.25">
      <c r="A378" s="31" t="s">
        <v>323</v>
      </c>
      <c r="B378" s="42" t="s">
        <v>365</v>
      </c>
      <c r="C378" s="42" t="s">
        <v>350</v>
      </c>
      <c r="D378" s="42" t="s">
        <v>169</v>
      </c>
      <c r="E378" s="42" t="s">
        <v>324</v>
      </c>
      <c r="F378" s="86"/>
      <c r="G378" s="11">
        <f>G379</f>
        <v>16655.2</v>
      </c>
    </row>
    <row r="379" spans="1:7" ht="15.75" x14ac:dyDescent="0.25">
      <c r="A379" s="31" t="s">
        <v>325</v>
      </c>
      <c r="B379" s="42" t="s">
        <v>365</v>
      </c>
      <c r="C379" s="42" t="s">
        <v>350</v>
      </c>
      <c r="D379" s="42" t="s">
        <v>169</v>
      </c>
      <c r="E379" s="42" t="s">
        <v>326</v>
      </c>
      <c r="F379" s="86"/>
      <c r="G379" s="7">
        <f>'Прил.№4 ведомств.'!G362</f>
        <v>16655.2</v>
      </c>
    </row>
    <row r="380" spans="1:7" ht="63" x14ac:dyDescent="0.25">
      <c r="A380" s="31" t="s">
        <v>327</v>
      </c>
      <c r="B380" s="42" t="s">
        <v>368</v>
      </c>
      <c r="C380" s="42" t="s">
        <v>350</v>
      </c>
      <c r="D380" s="42" t="s">
        <v>169</v>
      </c>
      <c r="E380" s="42"/>
      <c r="F380" s="86"/>
      <c r="G380" s="11">
        <f>G381</f>
        <v>96.1</v>
      </c>
    </row>
    <row r="381" spans="1:7" ht="63" x14ac:dyDescent="0.25">
      <c r="A381" s="31" t="s">
        <v>323</v>
      </c>
      <c r="B381" s="42" t="s">
        <v>368</v>
      </c>
      <c r="C381" s="42" t="s">
        <v>350</v>
      </c>
      <c r="D381" s="42" t="s">
        <v>169</v>
      </c>
      <c r="E381" s="42" t="s">
        <v>324</v>
      </c>
      <c r="F381" s="86"/>
      <c r="G381" s="11">
        <f>G382</f>
        <v>96.1</v>
      </c>
    </row>
    <row r="382" spans="1:7" ht="15.75" x14ac:dyDescent="0.25">
      <c r="A382" s="31" t="s">
        <v>325</v>
      </c>
      <c r="B382" s="42" t="s">
        <v>368</v>
      </c>
      <c r="C382" s="42" t="s">
        <v>350</v>
      </c>
      <c r="D382" s="42" t="s">
        <v>169</v>
      </c>
      <c r="E382" s="42" t="s">
        <v>326</v>
      </c>
      <c r="F382" s="86"/>
      <c r="G382" s="11">
        <f>'Прил.№4 ведомств.'!G336</f>
        <v>96.1</v>
      </c>
    </row>
    <row r="383" spans="1:7" ht="63" hidden="1" x14ac:dyDescent="0.25">
      <c r="A383" s="47" t="s">
        <v>312</v>
      </c>
      <c r="B383" s="42" t="s">
        <v>729</v>
      </c>
      <c r="C383" s="42" t="s">
        <v>350</v>
      </c>
      <c r="D383" s="42" t="s">
        <v>169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329</v>
      </c>
      <c r="B384" s="42" t="s">
        <v>369</v>
      </c>
      <c r="C384" s="42" t="s">
        <v>350</v>
      </c>
      <c r="D384" s="42" t="s">
        <v>169</v>
      </c>
      <c r="E384" s="42"/>
      <c r="F384" s="86"/>
      <c r="G384" s="11">
        <f>G385</f>
        <v>0</v>
      </c>
    </row>
    <row r="385" spans="1:7" ht="63" hidden="1" x14ac:dyDescent="0.25">
      <c r="A385" s="31" t="s">
        <v>323</v>
      </c>
      <c r="B385" s="42" t="s">
        <v>369</v>
      </c>
      <c r="C385" s="42" t="s">
        <v>350</v>
      </c>
      <c r="D385" s="42" t="s">
        <v>169</v>
      </c>
      <c r="E385" s="42" t="s">
        <v>324</v>
      </c>
      <c r="F385" s="86"/>
      <c r="G385" s="11">
        <f>G386</f>
        <v>0</v>
      </c>
    </row>
    <row r="386" spans="1:7" ht="35.25" hidden="1" customHeight="1" x14ac:dyDescent="0.25">
      <c r="A386" s="31" t="s">
        <v>325</v>
      </c>
      <c r="B386" s="42" t="s">
        <v>369</v>
      </c>
      <c r="C386" s="42" t="s">
        <v>350</v>
      </c>
      <c r="D386" s="42" t="s">
        <v>169</v>
      </c>
      <c r="E386" s="42" t="s">
        <v>326</v>
      </c>
      <c r="F386" s="86"/>
      <c r="G386" s="11"/>
    </row>
    <row r="387" spans="1:7" ht="63" hidden="1" x14ac:dyDescent="0.25">
      <c r="A387" s="47" t="s">
        <v>312</v>
      </c>
      <c r="B387" s="42" t="s">
        <v>369</v>
      </c>
      <c r="C387" s="42" t="s">
        <v>350</v>
      </c>
      <c r="D387" s="42" t="s">
        <v>169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730</v>
      </c>
      <c r="B388" s="42" t="s">
        <v>370</v>
      </c>
      <c r="C388" s="42" t="s">
        <v>350</v>
      </c>
      <c r="D388" s="42" t="s">
        <v>169</v>
      </c>
      <c r="E388" s="42"/>
      <c r="F388" s="86"/>
      <c r="G388" s="11">
        <f>G389</f>
        <v>0</v>
      </c>
    </row>
    <row r="389" spans="1:7" ht="63" hidden="1" x14ac:dyDescent="0.25">
      <c r="A389" s="31" t="s">
        <v>323</v>
      </c>
      <c r="B389" s="42" t="s">
        <v>370</v>
      </c>
      <c r="C389" s="42" t="s">
        <v>350</v>
      </c>
      <c r="D389" s="42" t="s">
        <v>169</v>
      </c>
      <c r="E389" s="42" t="s">
        <v>324</v>
      </c>
      <c r="F389" s="86"/>
      <c r="G389" s="11">
        <f>G390</f>
        <v>0</v>
      </c>
    </row>
    <row r="390" spans="1:7" ht="15.75" hidden="1" x14ac:dyDescent="0.25">
      <c r="A390" s="31" t="s">
        <v>325</v>
      </c>
      <c r="B390" s="42" t="s">
        <v>370</v>
      </c>
      <c r="C390" s="42" t="s">
        <v>350</v>
      </c>
      <c r="D390" s="42" t="s">
        <v>169</v>
      </c>
      <c r="E390" s="42" t="s">
        <v>326</v>
      </c>
      <c r="F390" s="86"/>
      <c r="G390" s="11"/>
    </row>
    <row r="391" spans="1:7" ht="63" hidden="1" x14ac:dyDescent="0.25">
      <c r="A391" s="47" t="s">
        <v>312</v>
      </c>
      <c r="B391" s="42" t="s">
        <v>370</v>
      </c>
      <c r="C391" s="42" t="s">
        <v>350</v>
      </c>
      <c r="D391" s="42" t="s">
        <v>169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335</v>
      </c>
      <c r="B392" s="42" t="s">
        <v>683</v>
      </c>
      <c r="C392" s="42" t="s">
        <v>350</v>
      </c>
      <c r="D392" s="42" t="s">
        <v>169</v>
      </c>
      <c r="E392" s="42"/>
      <c r="F392" s="86"/>
      <c r="G392" s="11">
        <f>G393</f>
        <v>0</v>
      </c>
    </row>
    <row r="393" spans="1:7" ht="63" hidden="1" x14ac:dyDescent="0.25">
      <c r="A393" s="31" t="s">
        <v>323</v>
      </c>
      <c r="B393" s="42" t="s">
        <v>683</v>
      </c>
      <c r="C393" s="42" t="s">
        <v>350</v>
      </c>
      <c r="D393" s="42" t="s">
        <v>169</v>
      </c>
      <c r="E393" s="42" t="s">
        <v>324</v>
      </c>
      <c r="F393" s="86"/>
      <c r="G393" s="11">
        <f>G394</f>
        <v>0</v>
      </c>
    </row>
    <row r="394" spans="1:7" ht="15.75" hidden="1" x14ac:dyDescent="0.25">
      <c r="A394" s="31" t="s">
        <v>325</v>
      </c>
      <c r="B394" s="42" t="s">
        <v>683</v>
      </c>
      <c r="C394" s="42" t="s">
        <v>350</v>
      </c>
      <c r="D394" s="42" t="s">
        <v>169</v>
      </c>
      <c r="E394" s="42" t="s">
        <v>326</v>
      </c>
      <c r="F394" s="86"/>
      <c r="G394" s="11"/>
    </row>
    <row r="395" spans="1:7" ht="63" hidden="1" x14ac:dyDescent="0.25">
      <c r="A395" s="47" t="s">
        <v>312</v>
      </c>
      <c r="B395" s="42" t="s">
        <v>683</v>
      </c>
      <c r="C395" s="42" t="s">
        <v>350</v>
      </c>
      <c r="D395" s="42" t="s">
        <v>169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731</v>
      </c>
      <c r="B396" s="42" t="s">
        <v>367</v>
      </c>
      <c r="C396" s="42" t="s">
        <v>350</v>
      </c>
      <c r="D396" s="42" t="s">
        <v>169</v>
      </c>
      <c r="E396" s="42"/>
      <c r="F396" s="2"/>
      <c r="G396" s="11">
        <f>G397+G399</f>
        <v>5</v>
      </c>
    </row>
    <row r="397" spans="1:7" ht="47.25" hidden="1" x14ac:dyDescent="0.25">
      <c r="A397" s="31" t="s">
        <v>182</v>
      </c>
      <c r="B397" s="42" t="s">
        <v>367</v>
      </c>
      <c r="C397" s="42" t="s">
        <v>350</v>
      </c>
      <c r="D397" s="42" t="s">
        <v>169</v>
      </c>
      <c r="E397" s="42" t="s">
        <v>183</v>
      </c>
      <c r="F397" s="2"/>
      <c r="G397" s="11">
        <f>G398</f>
        <v>0</v>
      </c>
    </row>
    <row r="398" spans="1:7" ht="47.25" hidden="1" x14ac:dyDescent="0.25">
      <c r="A398" s="31" t="s">
        <v>184</v>
      </c>
      <c r="B398" s="42" t="s">
        <v>367</v>
      </c>
      <c r="C398" s="42" t="s">
        <v>350</v>
      </c>
      <c r="D398" s="42" t="s">
        <v>169</v>
      </c>
      <c r="E398" s="42" t="s">
        <v>185</v>
      </c>
      <c r="F398" s="2"/>
      <c r="G398" s="11">
        <v>0</v>
      </c>
    </row>
    <row r="399" spans="1:7" ht="62.25" customHeight="1" x14ac:dyDescent="0.25">
      <c r="A399" s="31" t="s">
        <v>323</v>
      </c>
      <c r="B399" s="42" t="s">
        <v>367</v>
      </c>
      <c r="C399" s="42" t="s">
        <v>350</v>
      </c>
      <c r="D399" s="42" t="s">
        <v>169</v>
      </c>
      <c r="E399" s="42" t="s">
        <v>324</v>
      </c>
      <c r="F399" s="2"/>
      <c r="G399" s="11">
        <f>G400</f>
        <v>5</v>
      </c>
    </row>
    <row r="400" spans="1:7" ht="15.75" x14ac:dyDescent="0.25">
      <c r="A400" s="31" t="s">
        <v>325</v>
      </c>
      <c r="B400" s="42" t="s">
        <v>367</v>
      </c>
      <c r="C400" s="42" t="s">
        <v>350</v>
      </c>
      <c r="D400" s="42" t="s">
        <v>169</v>
      </c>
      <c r="E400" s="42" t="s">
        <v>326</v>
      </c>
      <c r="F400" s="2"/>
      <c r="G400" s="11">
        <f>'Прил.№4 ведомств.'!G367</f>
        <v>5</v>
      </c>
    </row>
    <row r="401" spans="1:7" ht="15.75" x14ac:dyDescent="0.25">
      <c r="A401" s="26" t="s">
        <v>764</v>
      </c>
      <c r="B401" s="21" t="s">
        <v>765</v>
      </c>
      <c r="C401" s="42" t="s">
        <v>350</v>
      </c>
      <c r="D401" s="42" t="s">
        <v>169</v>
      </c>
      <c r="E401" s="42"/>
      <c r="F401" s="2"/>
      <c r="G401" s="11">
        <f>G402</f>
        <v>0.4</v>
      </c>
    </row>
    <row r="402" spans="1:7" ht="63" x14ac:dyDescent="0.25">
      <c r="A402" s="26" t="s">
        <v>323</v>
      </c>
      <c r="B402" s="21" t="s">
        <v>765</v>
      </c>
      <c r="C402" s="42" t="s">
        <v>350</v>
      </c>
      <c r="D402" s="42" t="s">
        <v>169</v>
      </c>
      <c r="E402" s="42" t="s">
        <v>324</v>
      </c>
      <c r="F402" s="2"/>
      <c r="G402" s="11">
        <f>G403</f>
        <v>0.4</v>
      </c>
    </row>
    <row r="403" spans="1:7" ht="15.75" x14ac:dyDescent="0.25">
      <c r="A403" s="26" t="s">
        <v>325</v>
      </c>
      <c r="B403" s="21" t="s">
        <v>765</v>
      </c>
      <c r="C403" s="42" t="s">
        <v>350</v>
      </c>
      <c r="D403" s="42" t="s">
        <v>169</v>
      </c>
      <c r="E403" s="42" t="s">
        <v>326</v>
      </c>
      <c r="F403" s="2"/>
      <c r="G403" s="11">
        <f>'Прил.№4 ведомств.'!G370</f>
        <v>0.4</v>
      </c>
    </row>
    <row r="404" spans="1:7" ht="63" x14ac:dyDescent="0.25">
      <c r="A404" s="47" t="s">
        <v>312</v>
      </c>
      <c r="B404" s="42" t="s">
        <v>364</v>
      </c>
      <c r="C404" s="42" t="s">
        <v>350</v>
      </c>
      <c r="D404" s="42" t="s">
        <v>169</v>
      </c>
      <c r="E404" s="42"/>
      <c r="F404" s="2">
        <v>903</v>
      </c>
      <c r="G404" s="11">
        <f>G374</f>
        <v>16756.7</v>
      </c>
    </row>
    <row r="405" spans="1:7" ht="47.25" hidden="1" x14ac:dyDescent="0.25">
      <c r="A405" s="70" t="s">
        <v>372</v>
      </c>
      <c r="B405" s="42" t="s">
        <v>373</v>
      </c>
      <c r="C405" s="42" t="s">
        <v>350</v>
      </c>
      <c r="D405" s="42" t="s">
        <v>169</v>
      </c>
      <c r="E405" s="42"/>
      <c r="F405" s="2"/>
      <c r="G405" s="11">
        <f>G406</f>
        <v>0</v>
      </c>
    </row>
    <row r="406" spans="1:7" ht="63" hidden="1" x14ac:dyDescent="0.25">
      <c r="A406" s="31" t="s">
        <v>323</v>
      </c>
      <c r="B406" s="42" t="s">
        <v>373</v>
      </c>
      <c r="C406" s="42" t="s">
        <v>350</v>
      </c>
      <c r="D406" s="42" t="s">
        <v>169</v>
      </c>
      <c r="E406" s="42" t="s">
        <v>324</v>
      </c>
      <c r="F406" s="2"/>
      <c r="G406" s="11"/>
    </row>
    <row r="407" spans="1:7" ht="15.75" hidden="1" x14ac:dyDescent="0.25">
      <c r="A407" s="31" t="s">
        <v>325</v>
      </c>
      <c r="B407" s="42" t="s">
        <v>373</v>
      </c>
      <c r="C407" s="42" t="s">
        <v>350</v>
      </c>
      <c r="D407" s="42" t="s">
        <v>169</v>
      </c>
      <c r="E407" s="42" t="s">
        <v>326</v>
      </c>
      <c r="F407" s="2"/>
      <c r="G407" s="11"/>
    </row>
    <row r="408" spans="1:7" ht="63" hidden="1" x14ac:dyDescent="0.25">
      <c r="A408" s="47" t="s">
        <v>312</v>
      </c>
      <c r="B408" s="42" t="s">
        <v>373</v>
      </c>
      <c r="C408" s="42" t="s">
        <v>350</v>
      </c>
      <c r="D408" s="42" t="s">
        <v>169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374</v>
      </c>
      <c r="B409" s="8" t="s">
        <v>375</v>
      </c>
      <c r="C409" s="84"/>
      <c r="D409" s="84"/>
      <c r="E409" s="84"/>
      <c r="F409" s="84"/>
      <c r="G409" s="68">
        <f>G410</f>
        <v>200</v>
      </c>
    </row>
    <row r="410" spans="1:7" ht="15.75" x14ac:dyDescent="0.25">
      <c r="A410" s="85" t="s">
        <v>349</v>
      </c>
      <c r="B410" s="42" t="s">
        <v>375</v>
      </c>
      <c r="C410" s="42" t="s">
        <v>350</v>
      </c>
      <c r="D410" s="85"/>
      <c r="E410" s="85"/>
      <c r="F410" s="85"/>
      <c r="G410" s="11">
        <f>G411</f>
        <v>200</v>
      </c>
    </row>
    <row r="411" spans="1:7" ht="15.75" x14ac:dyDescent="0.25">
      <c r="A411" s="85" t="s">
        <v>351</v>
      </c>
      <c r="B411" s="42" t="s">
        <v>375</v>
      </c>
      <c r="C411" s="42" t="s">
        <v>350</v>
      </c>
      <c r="D411" s="42" t="s">
        <v>169</v>
      </c>
      <c r="E411" s="85"/>
      <c r="F411" s="85"/>
      <c r="G411" s="11">
        <f>G412</f>
        <v>200</v>
      </c>
    </row>
    <row r="412" spans="1:7" ht="63" x14ac:dyDescent="0.25">
      <c r="A412" s="31" t="s">
        <v>376</v>
      </c>
      <c r="B412" s="42" t="s">
        <v>377</v>
      </c>
      <c r="C412" s="42" t="s">
        <v>350</v>
      </c>
      <c r="D412" s="42" t="s">
        <v>169</v>
      </c>
      <c r="E412" s="85"/>
      <c r="F412" s="85"/>
      <c r="G412" s="11">
        <f>G413</f>
        <v>200</v>
      </c>
    </row>
    <row r="413" spans="1:7" ht="63" x14ac:dyDescent="0.25">
      <c r="A413" s="26" t="s">
        <v>323</v>
      </c>
      <c r="B413" s="42" t="s">
        <v>377</v>
      </c>
      <c r="C413" s="42" t="s">
        <v>350</v>
      </c>
      <c r="D413" s="42" t="s">
        <v>169</v>
      </c>
      <c r="E413" s="42" t="s">
        <v>324</v>
      </c>
      <c r="F413" s="85"/>
      <c r="G413" s="11">
        <f>G414</f>
        <v>200</v>
      </c>
    </row>
    <row r="414" spans="1:7" ht="15.75" x14ac:dyDescent="0.25">
      <c r="A414" s="26" t="s">
        <v>325</v>
      </c>
      <c r="B414" s="42" t="s">
        <v>377</v>
      </c>
      <c r="C414" s="42" t="s">
        <v>350</v>
      </c>
      <c r="D414" s="42" t="s">
        <v>169</v>
      </c>
      <c r="E414" s="42" t="s">
        <v>326</v>
      </c>
      <c r="F414" s="85"/>
      <c r="G414" s="11">
        <f>'Прил.№4 ведомств.'!G392</f>
        <v>200</v>
      </c>
    </row>
    <row r="415" spans="1:7" ht="63" hidden="1" x14ac:dyDescent="0.25">
      <c r="A415" s="47" t="s">
        <v>732</v>
      </c>
      <c r="B415" s="42" t="s">
        <v>377</v>
      </c>
      <c r="C415" s="42" t="s">
        <v>350</v>
      </c>
      <c r="D415" s="42" t="s">
        <v>169</v>
      </c>
      <c r="E415" s="42"/>
      <c r="F415" s="85"/>
      <c r="G415" s="11">
        <f>G416</f>
        <v>0</v>
      </c>
    </row>
    <row r="416" spans="1:7" ht="63" hidden="1" x14ac:dyDescent="0.25">
      <c r="A416" s="31" t="s">
        <v>323</v>
      </c>
      <c r="B416" s="42" t="s">
        <v>377</v>
      </c>
      <c r="C416" s="42" t="s">
        <v>350</v>
      </c>
      <c r="D416" s="42" t="s">
        <v>169</v>
      </c>
      <c r="E416" s="42" t="s">
        <v>324</v>
      </c>
      <c r="F416" s="85"/>
      <c r="G416" s="11">
        <f>G417</f>
        <v>0</v>
      </c>
    </row>
    <row r="417" spans="1:7" ht="15.75" hidden="1" x14ac:dyDescent="0.25">
      <c r="A417" s="31" t="s">
        <v>325</v>
      </c>
      <c r="B417" s="42" t="s">
        <v>377</v>
      </c>
      <c r="C417" s="42" t="s">
        <v>350</v>
      </c>
      <c r="D417" s="42" t="s">
        <v>169</v>
      </c>
      <c r="E417" s="42" t="s">
        <v>326</v>
      </c>
      <c r="F417" s="85"/>
      <c r="G417" s="11"/>
    </row>
    <row r="418" spans="1:7" ht="63" x14ac:dyDescent="0.25">
      <c r="A418" s="47" t="s">
        <v>312</v>
      </c>
      <c r="B418" s="42" t="s">
        <v>375</v>
      </c>
      <c r="C418" s="42" t="s">
        <v>350</v>
      </c>
      <c r="D418" s="42" t="s">
        <v>169</v>
      </c>
      <c r="E418" s="85"/>
      <c r="F418" s="2">
        <v>903</v>
      </c>
      <c r="G418" s="11">
        <f>G409</f>
        <v>200</v>
      </c>
    </row>
    <row r="419" spans="1:7" ht="63" x14ac:dyDescent="0.25">
      <c r="A419" s="43" t="s">
        <v>594</v>
      </c>
      <c r="B419" s="8" t="s">
        <v>595</v>
      </c>
      <c r="C419" s="2"/>
      <c r="D419" s="2"/>
      <c r="E419" s="2"/>
      <c r="F419" s="2"/>
      <c r="G419" s="68">
        <f>G420+G433</f>
        <v>12375.499999999998</v>
      </c>
    </row>
    <row r="420" spans="1:7" ht="78.75" x14ac:dyDescent="0.25">
      <c r="A420" s="43" t="s">
        <v>596</v>
      </c>
      <c r="B420" s="8" t="s">
        <v>597</v>
      </c>
      <c r="C420" s="8"/>
      <c r="D420" s="8"/>
      <c r="E420" s="3"/>
      <c r="F420" s="3"/>
      <c r="G420" s="68">
        <f>G421</f>
        <v>8697.2999999999993</v>
      </c>
    </row>
    <row r="421" spans="1:7" ht="15.75" x14ac:dyDescent="0.25">
      <c r="A421" s="85" t="s">
        <v>442</v>
      </c>
      <c r="B421" s="42" t="s">
        <v>597</v>
      </c>
      <c r="C421" s="42" t="s">
        <v>285</v>
      </c>
      <c r="D421" s="42"/>
      <c r="E421" s="2"/>
      <c r="F421" s="2"/>
      <c r="G421" s="11">
        <f>G422</f>
        <v>8697.2999999999993</v>
      </c>
    </row>
    <row r="422" spans="1:7" ht="15.75" x14ac:dyDescent="0.25">
      <c r="A422" s="85" t="s">
        <v>593</v>
      </c>
      <c r="B422" s="42" t="s">
        <v>597</v>
      </c>
      <c r="C422" s="42" t="s">
        <v>285</v>
      </c>
      <c r="D422" s="42" t="s">
        <v>266</v>
      </c>
      <c r="E422" s="2"/>
      <c r="F422" s="2"/>
      <c r="G422" s="11">
        <f>G423+G426+G429</f>
        <v>8697.2999999999993</v>
      </c>
    </row>
    <row r="423" spans="1:7" ht="31.5" x14ac:dyDescent="0.25">
      <c r="A423" s="26" t="s">
        <v>598</v>
      </c>
      <c r="B423" s="21" t="s">
        <v>599</v>
      </c>
      <c r="C423" s="42" t="s">
        <v>285</v>
      </c>
      <c r="D423" s="42" t="s">
        <v>266</v>
      </c>
      <c r="E423" s="2"/>
      <c r="F423" s="2"/>
      <c r="G423" s="11">
        <f>G424</f>
        <v>253.4</v>
      </c>
    </row>
    <row r="424" spans="1:7" ht="51" customHeight="1" x14ac:dyDescent="0.25">
      <c r="A424" s="26" t="s">
        <v>182</v>
      </c>
      <c r="B424" s="21" t="s">
        <v>599</v>
      </c>
      <c r="C424" s="42" t="s">
        <v>285</v>
      </c>
      <c r="D424" s="42" t="s">
        <v>266</v>
      </c>
      <c r="E424" s="2">
        <v>200</v>
      </c>
      <c r="F424" s="2"/>
      <c r="G424" s="11">
        <f>G425</f>
        <v>253.4</v>
      </c>
    </row>
    <row r="425" spans="1:7" ht="47.25" x14ac:dyDescent="0.25">
      <c r="A425" s="26" t="s">
        <v>184</v>
      </c>
      <c r="B425" s="21" t="s">
        <v>599</v>
      </c>
      <c r="C425" s="42" t="s">
        <v>285</v>
      </c>
      <c r="D425" s="42" t="s">
        <v>266</v>
      </c>
      <c r="E425" s="2">
        <v>240</v>
      </c>
      <c r="F425" s="2"/>
      <c r="G425" s="11">
        <f>'Прил.№4 ведомств.'!G994</f>
        <v>253.4</v>
      </c>
    </row>
    <row r="426" spans="1:7" ht="31.5" customHeight="1" x14ac:dyDescent="0.25">
      <c r="A426" s="26" t="s">
        <v>600</v>
      </c>
      <c r="B426" s="21" t="s">
        <v>601</v>
      </c>
      <c r="C426" s="42" t="s">
        <v>285</v>
      </c>
      <c r="D426" s="42" t="s">
        <v>266</v>
      </c>
      <c r="E426" s="2"/>
      <c r="F426" s="2"/>
      <c r="G426" s="11">
        <f>G427</f>
        <v>5258.6</v>
      </c>
    </row>
    <row r="427" spans="1:7" ht="47.25" x14ac:dyDescent="0.25">
      <c r="A427" s="26" t="s">
        <v>182</v>
      </c>
      <c r="B427" s="21" t="s">
        <v>601</v>
      </c>
      <c r="C427" s="42" t="s">
        <v>285</v>
      </c>
      <c r="D427" s="42" t="s">
        <v>266</v>
      </c>
      <c r="E427" s="2">
        <v>200</v>
      </c>
      <c r="F427" s="2"/>
      <c r="G427" s="11">
        <f>G428</f>
        <v>5258.6</v>
      </c>
    </row>
    <row r="428" spans="1:7" ht="47.25" x14ac:dyDescent="0.25">
      <c r="A428" s="26" t="s">
        <v>184</v>
      </c>
      <c r="B428" s="21" t="s">
        <v>601</v>
      </c>
      <c r="C428" s="42" t="s">
        <v>285</v>
      </c>
      <c r="D428" s="42" t="s">
        <v>266</v>
      </c>
      <c r="E428" s="2">
        <v>240</v>
      </c>
      <c r="F428" s="2"/>
      <c r="G428" s="11">
        <f>'Прил.№4 ведомств.'!G997</f>
        <v>5258.6</v>
      </c>
    </row>
    <row r="429" spans="1:7" ht="31.5" x14ac:dyDescent="0.25">
      <c r="A429" s="26" t="s">
        <v>602</v>
      </c>
      <c r="B429" s="21" t="s">
        <v>603</v>
      </c>
      <c r="C429" s="42" t="s">
        <v>285</v>
      </c>
      <c r="D429" s="42" t="s">
        <v>266</v>
      </c>
      <c r="E429" s="2"/>
      <c r="F429" s="2"/>
      <c r="G429" s="11">
        <f>G430</f>
        <v>3185.3</v>
      </c>
    </row>
    <row r="430" spans="1:7" ht="47.25" x14ac:dyDescent="0.25">
      <c r="A430" s="26" t="s">
        <v>182</v>
      </c>
      <c r="B430" s="21" t="s">
        <v>603</v>
      </c>
      <c r="C430" s="42" t="s">
        <v>285</v>
      </c>
      <c r="D430" s="42" t="s">
        <v>266</v>
      </c>
      <c r="E430" s="2">
        <v>200</v>
      </c>
      <c r="F430" s="2"/>
      <c r="G430" s="11">
        <f>G431</f>
        <v>3185.3</v>
      </c>
    </row>
    <row r="431" spans="1:7" ht="47.25" x14ac:dyDescent="0.25">
      <c r="A431" s="26" t="s">
        <v>184</v>
      </c>
      <c r="B431" s="21" t="s">
        <v>603</v>
      </c>
      <c r="C431" s="42" t="s">
        <v>285</v>
      </c>
      <c r="D431" s="42" t="s">
        <v>266</v>
      </c>
      <c r="E431" s="2">
        <v>240</v>
      </c>
      <c r="F431" s="2"/>
      <c r="G431" s="11">
        <f>'Прил.№4 ведомств.'!G1002</f>
        <v>3185.3</v>
      </c>
    </row>
    <row r="432" spans="1:7" ht="47.25" x14ac:dyDescent="0.25">
      <c r="A432" s="47" t="s">
        <v>700</v>
      </c>
      <c r="B432" s="42" t="s">
        <v>597</v>
      </c>
      <c r="C432" s="42" t="s">
        <v>285</v>
      </c>
      <c r="D432" s="42" t="s">
        <v>266</v>
      </c>
      <c r="E432" s="2"/>
      <c r="F432" s="2">
        <v>908</v>
      </c>
      <c r="G432" s="11">
        <f>G420</f>
        <v>8697.2999999999993</v>
      </c>
    </row>
    <row r="433" spans="1:7" ht="63" x14ac:dyDescent="0.25">
      <c r="A433" s="24" t="s">
        <v>604</v>
      </c>
      <c r="B433" s="8" t="s">
        <v>605</v>
      </c>
      <c r="C433" s="8"/>
      <c r="D433" s="8"/>
      <c r="E433" s="3"/>
      <c r="F433" s="3"/>
      <c r="G433" s="68">
        <f>G434</f>
        <v>3678.1999999999994</v>
      </c>
    </row>
    <row r="434" spans="1:7" ht="15.75" x14ac:dyDescent="0.25">
      <c r="A434" s="85" t="s">
        <v>442</v>
      </c>
      <c r="B434" s="42" t="s">
        <v>605</v>
      </c>
      <c r="C434" s="42" t="s">
        <v>285</v>
      </c>
      <c r="D434" s="42"/>
      <c r="E434" s="2"/>
      <c r="F434" s="2"/>
      <c r="G434" s="11">
        <f>G435</f>
        <v>3678.1999999999994</v>
      </c>
    </row>
    <row r="435" spans="1:7" ht="15.75" x14ac:dyDescent="0.25">
      <c r="A435" s="85" t="s">
        <v>593</v>
      </c>
      <c r="B435" s="42" t="s">
        <v>605</v>
      </c>
      <c r="C435" s="42" t="s">
        <v>285</v>
      </c>
      <c r="D435" s="42" t="s">
        <v>266</v>
      </c>
      <c r="E435" s="2"/>
      <c r="F435" s="2"/>
      <c r="G435" s="11">
        <f>G436+G441+G444+G447</f>
        <v>3678.1999999999994</v>
      </c>
    </row>
    <row r="436" spans="1:7" ht="31.5" x14ac:dyDescent="0.25">
      <c r="A436" s="26" t="s">
        <v>602</v>
      </c>
      <c r="B436" s="21" t="s">
        <v>606</v>
      </c>
      <c r="C436" s="42" t="s">
        <v>285</v>
      </c>
      <c r="D436" s="42" t="s">
        <v>266</v>
      </c>
      <c r="E436" s="2"/>
      <c r="F436" s="2"/>
      <c r="G436" s="11">
        <f>G437+G439</f>
        <v>1112.3999999999999</v>
      </c>
    </row>
    <row r="437" spans="1:7" ht="110.25" x14ac:dyDescent="0.25">
      <c r="A437" s="26" t="s">
        <v>178</v>
      </c>
      <c r="B437" s="21" t="s">
        <v>606</v>
      </c>
      <c r="C437" s="42" t="s">
        <v>285</v>
      </c>
      <c r="D437" s="42" t="s">
        <v>266</v>
      </c>
      <c r="E437" s="2">
        <v>100</v>
      </c>
      <c r="F437" s="2"/>
      <c r="G437" s="11">
        <f>G438</f>
        <v>892.8</v>
      </c>
    </row>
    <row r="438" spans="1:7" ht="31.5" x14ac:dyDescent="0.25">
      <c r="A438" s="48" t="s">
        <v>393</v>
      </c>
      <c r="B438" s="21" t="s">
        <v>606</v>
      </c>
      <c r="C438" s="42" t="s">
        <v>285</v>
      </c>
      <c r="D438" s="42" t="s">
        <v>266</v>
      </c>
      <c r="E438" s="2">
        <v>110</v>
      </c>
      <c r="F438" s="2"/>
      <c r="G438" s="11">
        <f>'Прил.№4 ведомств.'!G1009</f>
        <v>892.8</v>
      </c>
    </row>
    <row r="439" spans="1:7" ht="47.25" x14ac:dyDescent="0.25">
      <c r="A439" s="26" t="s">
        <v>182</v>
      </c>
      <c r="B439" s="21" t="s">
        <v>606</v>
      </c>
      <c r="C439" s="42" t="s">
        <v>285</v>
      </c>
      <c r="D439" s="42" t="s">
        <v>266</v>
      </c>
      <c r="E439" s="2">
        <v>200</v>
      </c>
      <c r="F439" s="2"/>
      <c r="G439" s="11">
        <f>G440</f>
        <v>219.6</v>
      </c>
    </row>
    <row r="440" spans="1:7" ht="47.25" x14ac:dyDescent="0.25">
      <c r="A440" s="26" t="s">
        <v>184</v>
      </c>
      <c r="B440" s="21" t="s">
        <v>606</v>
      </c>
      <c r="C440" s="42" t="s">
        <v>285</v>
      </c>
      <c r="D440" s="42" t="s">
        <v>266</v>
      </c>
      <c r="E440" s="2">
        <v>240</v>
      </c>
      <c r="F440" s="2"/>
      <c r="G440" s="11">
        <f>'Прил.№4 ведомств.'!G1011</f>
        <v>219.6</v>
      </c>
    </row>
    <row r="441" spans="1:7" ht="15.75" x14ac:dyDescent="0.25">
      <c r="A441" s="26" t="s">
        <v>607</v>
      </c>
      <c r="B441" s="21" t="s">
        <v>608</v>
      </c>
      <c r="C441" s="42" t="s">
        <v>285</v>
      </c>
      <c r="D441" s="42" t="s">
        <v>266</v>
      </c>
      <c r="E441" s="2"/>
      <c r="F441" s="2"/>
      <c r="G441" s="11">
        <f>G442</f>
        <v>86.6</v>
      </c>
    </row>
    <row r="442" spans="1:7" ht="47.25" x14ac:dyDescent="0.25">
      <c r="A442" s="26" t="s">
        <v>182</v>
      </c>
      <c r="B442" s="21" t="s">
        <v>608</v>
      </c>
      <c r="C442" s="42" t="s">
        <v>285</v>
      </c>
      <c r="D442" s="42" t="s">
        <v>266</v>
      </c>
      <c r="E442" s="2">
        <v>200</v>
      </c>
      <c r="F442" s="2"/>
      <c r="G442" s="11">
        <f>G443</f>
        <v>86.6</v>
      </c>
    </row>
    <row r="443" spans="1:7" ht="47.25" x14ac:dyDescent="0.25">
      <c r="A443" s="26" t="s">
        <v>184</v>
      </c>
      <c r="B443" s="21" t="s">
        <v>608</v>
      </c>
      <c r="C443" s="42" t="s">
        <v>285</v>
      </c>
      <c r="D443" s="42" t="s">
        <v>266</v>
      </c>
      <c r="E443" s="2">
        <v>240</v>
      </c>
      <c r="F443" s="2"/>
      <c r="G443" s="11">
        <f>'Прил.№4 ведомств.'!G1014</f>
        <v>86.6</v>
      </c>
    </row>
    <row r="444" spans="1:7" ht="63" x14ac:dyDescent="0.25">
      <c r="A444" s="125" t="s">
        <v>609</v>
      </c>
      <c r="B444" s="21" t="s">
        <v>610</v>
      </c>
      <c r="C444" s="42" t="s">
        <v>285</v>
      </c>
      <c r="D444" s="42" t="s">
        <v>266</v>
      </c>
      <c r="E444" s="2"/>
      <c r="F444" s="2"/>
      <c r="G444" s="11">
        <f>G445</f>
        <v>2130.6</v>
      </c>
    </row>
    <row r="445" spans="1:7" ht="47.25" x14ac:dyDescent="0.25">
      <c r="A445" s="26" t="s">
        <v>182</v>
      </c>
      <c r="B445" s="21" t="s">
        <v>610</v>
      </c>
      <c r="C445" s="42" t="s">
        <v>285</v>
      </c>
      <c r="D445" s="42" t="s">
        <v>266</v>
      </c>
      <c r="E445" s="2">
        <v>200</v>
      </c>
      <c r="F445" s="2"/>
      <c r="G445" s="11">
        <f>G446</f>
        <v>2130.6</v>
      </c>
    </row>
    <row r="446" spans="1:7" ht="47.25" x14ac:dyDescent="0.25">
      <c r="A446" s="26" t="s">
        <v>184</v>
      </c>
      <c r="B446" s="21" t="s">
        <v>610</v>
      </c>
      <c r="C446" s="42" t="s">
        <v>285</v>
      </c>
      <c r="D446" s="42" t="s">
        <v>266</v>
      </c>
      <c r="E446" s="2">
        <v>240</v>
      </c>
      <c r="F446" s="2"/>
      <c r="G446" s="11">
        <f>'Прил.№4 ведомств.'!G1017</f>
        <v>2130.6</v>
      </c>
    </row>
    <row r="447" spans="1:7" ht="31.5" x14ac:dyDescent="0.25">
      <c r="A447" s="125" t="s">
        <v>611</v>
      </c>
      <c r="B447" s="21" t="s">
        <v>612</v>
      </c>
      <c r="C447" s="42" t="s">
        <v>285</v>
      </c>
      <c r="D447" s="42" t="s">
        <v>266</v>
      </c>
      <c r="E447" s="2"/>
      <c r="F447" s="2"/>
      <c r="G447" s="11">
        <f>G448</f>
        <v>348.6</v>
      </c>
    </row>
    <row r="448" spans="1:7" ht="47.25" x14ac:dyDescent="0.25">
      <c r="A448" s="26" t="s">
        <v>182</v>
      </c>
      <c r="B448" s="21" t="s">
        <v>612</v>
      </c>
      <c r="C448" s="42" t="s">
        <v>285</v>
      </c>
      <c r="D448" s="42" t="s">
        <v>266</v>
      </c>
      <c r="E448" s="2">
        <v>200</v>
      </c>
      <c r="F448" s="2"/>
      <c r="G448" s="11">
        <f>G449</f>
        <v>348.6</v>
      </c>
    </row>
    <row r="449" spans="1:7" ht="47.25" x14ac:dyDescent="0.25">
      <c r="A449" s="26" t="s">
        <v>184</v>
      </c>
      <c r="B449" s="21" t="s">
        <v>612</v>
      </c>
      <c r="C449" s="42" t="s">
        <v>285</v>
      </c>
      <c r="D449" s="42" t="s">
        <v>266</v>
      </c>
      <c r="E449" s="2">
        <v>240</v>
      </c>
      <c r="F449" s="2"/>
      <c r="G449" s="11">
        <f>'Прил.№4 ведомств.'!G1020</f>
        <v>348.6</v>
      </c>
    </row>
    <row r="450" spans="1:7" ht="47.25" x14ac:dyDescent="0.25">
      <c r="A450" s="47" t="s">
        <v>700</v>
      </c>
      <c r="B450" s="21" t="s">
        <v>605</v>
      </c>
      <c r="C450" s="42" t="s">
        <v>285</v>
      </c>
      <c r="D450" s="42" t="s">
        <v>266</v>
      </c>
      <c r="E450" s="2"/>
      <c r="F450" s="2">
        <v>908</v>
      </c>
      <c r="G450" s="11">
        <f>G433</f>
        <v>3678.1999999999994</v>
      </c>
    </row>
    <row r="451" spans="1:7" ht="78.75" x14ac:dyDescent="0.25">
      <c r="A451" s="36" t="s">
        <v>232</v>
      </c>
      <c r="B451" s="208" t="s">
        <v>233</v>
      </c>
      <c r="C451" s="8"/>
      <c r="D451" s="8"/>
      <c r="E451" s="8"/>
      <c r="F451" s="3"/>
      <c r="G451" s="68">
        <f>G452</f>
        <v>120</v>
      </c>
    </row>
    <row r="452" spans="1:7" ht="15.75" x14ac:dyDescent="0.25">
      <c r="A452" s="26" t="s">
        <v>168</v>
      </c>
      <c r="B452" s="6" t="s">
        <v>233</v>
      </c>
      <c r="C452" s="42" t="s">
        <v>169</v>
      </c>
      <c r="D452" s="42"/>
      <c r="E452" s="42"/>
      <c r="F452" s="2"/>
      <c r="G452" s="11">
        <f>G453</f>
        <v>120</v>
      </c>
    </row>
    <row r="453" spans="1:7" ht="31.5" x14ac:dyDescent="0.25">
      <c r="A453" s="26" t="s">
        <v>190</v>
      </c>
      <c r="B453" s="32" t="s">
        <v>233</v>
      </c>
      <c r="C453" s="42" t="s">
        <v>169</v>
      </c>
      <c r="D453" s="42" t="s">
        <v>191</v>
      </c>
      <c r="E453" s="42"/>
      <c r="F453" s="2"/>
      <c r="G453" s="11">
        <f>G454</f>
        <v>120</v>
      </c>
    </row>
    <row r="454" spans="1:7" ht="47.25" x14ac:dyDescent="0.25">
      <c r="A454" s="31" t="s">
        <v>208</v>
      </c>
      <c r="B454" s="21" t="s">
        <v>234</v>
      </c>
      <c r="C454" s="42" t="s">
        <v>169</v>
      </c>
      <c r="D454" s="42" t="s">
        <v>191</v>
      </c>
      <c r="E454" s="42"/>
      <c r="F454" s="2"/>
      <c r="G454" s="11">
        <f>G455</f>
        <v>120</v>
      </c>
    </row>
    <row r="455" spans="1:7" ht="47.25" x14ac:dyDescent="0.25">
      <c r="A455" s="31" t="s">
        <v>182</v>
      </c>
      <c r="B455" s="21" t="s">
        <v>234</v>
      </c>
      <c r="C455" s="42" t="s">
        <v>169</v>
      </c>
      <c r="D455" s="42" t="s">
        <v>191</v>
      </c>
      <c r="E455" s="42" t="s">
        <v>196</v>
      </c>
      <c r="F455" s="2"/>
      <c r="G455" s="11">
        <f>G456</f>
        <v>120</v>
      </c>
    </row>
    <row r="456" spans="1:7" ht="78.75" x14ac:dyDescent="0.25">
      <c r="A456" s="31" t="s">
        <v>235</v>
      </c>
      <c r="B456" s="21" t="s">
        <v>234</v>
      </c>
      <c r="C456" s="42" t="s">
        <v>169</v>
      </c>
      <c r="D456" s="42" t="s">
        <v>191</v>
      </c>
      <c r="E456" s="42" t="s">
        <v>211</v>
      </c>
      <c r="F456" s="2"/>
      <c r="G456" s="11">
        <f>'Прил.№4 ведомств.'!G95</f>
        <v>120</v>
      </c>
    </row>
    <row r="457" spans="1:7" ht="31.5" x14ac:dyDescent="0.25">
      <c r="A457" s="31" t="s">
        <v>199</v>
      </c>
      <c r="B457" s="32" t="s">
        <v>233</v>
      </c>
      <c r="C457" s="42" t="s">
        <v>169</v>
      </c>
      <c r="D457" s="42" t="s">
        <v>191</v>
      </c>
      <c r="E457" s="42"/>
      <c r="F457" s="2">
        <v>902</v>
      </c>
      <c r="G457" s="11">
        <f>G451</f>
        <v>120</v>
      </c>
    </row>
    <row r="458" spans="1:7" ht="94.5" x14ac:dyDescent="0.25">
      <c r="A458" s="43" t="s">
        <v>733</v>
      </c>
      <c r="B458" s="8" t="s">
        <v>570</v>
      </c>
      <c r="C458" s="8"/>
      <c r="D458" s="8"/>
      <c r="E458" s="84"/>
      <c r="F458" s="3"/>
      <c r="G458" s="68">
        <f>G459</f>
        <v>5427.9</v>
      </c>
    </row>
    <row r="459" spans="1:7" ht="15.75" x14ac:dyDescent="0.25">
      <c r="A459" s="31" t="s">
        <v>442</v>
      </c>
      <c r="B459" s="42" t="s">
        <v>570</v>
      </c>
      <c r="C459" s="42" t="s">
        <v>285</v>
      </c>
      <c r="D459" s="42"/>
      <c r="E459" s="85"/>
      <c r="F459" s="2"/>
      <c r="G459" s="11">
        <f>G460</f>
        <v>5427.9</v>
      </c>
    </row>
    <row r="460" spans="1:7" ht="15.75" x14ac:dyDescent="0.25">
      <c r="A460" s="31" t="s">
        <v>569</v>
      </c>
      <c r="B460" s="42" t="s">
        <v>570</v>
      </c>
      <c r="C460" s="42" t="s">
        <v>285</v>
      </c>
      <c r="D460" s="42" t="s">
        <v>264</v>
      </c>
      <c r="E460" s="85"/>
      <c r="F460" s="2"/>
      <c r="G460" s="11">
        <f>G465+G468+G471+G474+G477+G480+G483</f>
        <v>5427.9</v>
      </c>
    </row>
    <row r="461" spans="1:7" ht="63" hidden="1" x14ac:dyDescent="0.25">
      <c r="A461" s="37" t="s">
        <v>571</v>
      </c>
      <c r="B461" s="21" t="s">
        <v>572</v>
      </c>
      <c r="C461" s="42" t="s">
        <v>285</v>
      </c>
      <c r="D461" s="42" t="s">
        <v>264</v>
      </c>
      <c r="E461" s="85"/>
      <c r="F461" s="2"/>
      <c r="G461" s="11">
        <f>G462</f>
        <v>0</v>
      </c>
    </row>
    <row r="462" spans="1:7" ht="47.25" hidden="1" x14ac:dyDescent="0.25">
      <c r="A462" s="31" t="s">
        <v>182</v>
      </c>
      <c r="B462" s="21" t="s">
        <v>572</v>
      </c>
      <c r="C462" s="42" t="s">
        <v>285</v>
      </c>
      <c r="D462" s="42" t="s">
        <v>264</v>
      </c>
      <c r="E462" s="42" t="s">
        <v>183</v>
      </c>
      <c r="F462" s="2"/>
      <c r="G462" s="11">
        <f>G463</f>
        <v>0</v>
      </c>
    </row>
    <row r="463" spans="1:7" ht="47.25" hidden="1" x14ac:dyDescent="0.25">
      <c r="A463" s="31" t="s">
        <v>184</v>
      </c>
      <c r="B463" s="21" t="s">
        <v>572</v>
      </c>
      <c r="C463" s="42" t="s">
        <v>285</v>
      </c>
      <c r="D463" s="42" t="s">
        <v>264</v>
      </c>
      <c r="E463" s="42" t="s">
        <v>185</v>
      </c>
      <c r="F463" s="2"/>
      <c r="G463" s="11"/>
    </row>
    <row r="464" spans="1:7" ht="47.25" hidden="1" x14ac:dyDescent="0.25">
      <c r="A464" s="47" t="s">
        <v>700</v>
      </c>
      <c r="B464" s="21" t="s">
        <v>572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5" t="s">
        <v>573</v>
      </c>
      <c r="B465" s="21" t="s">
        <v>574</v>
      </c>
      <c r="C465" s="42" t="s">
        <v>285</v>
      </c>
      <c r="D465" s="42" t="s">
        <v>264</v>
      </c>
      <c r="E465" s="42"/>
      <c r="F465" s="2"/>
      <c r="G465" s="11">
        <f>G466</f>
        <v>450</v>
      </c>
    </row>
    <row r="466" spans="1:7" ht="47.25" x14ac:dyDescent="0.25">
      <c r="A466" s="33" t="s">
        <v>182</v>
      </c>
      <c r="B466" s="21" t="s">
        <v>574</v>
      </c>
      <c r="C466" s="42" t="s">
        <v>285</v>
      </c>
      <c r="D466" s="42" t="s">
        <v>264</v>
      </c>
      <c r="E466" s="42" t="s">
        <v>183</v>
      </c>
      <c r="F466" s="2"/>
      <c r="G466" s="11">
        <f>G467</f>
        <v>450</v>
      </c>
    </row>
    <row r="467" spans="1:7" ht="47.25" x14ac:dyDescent="0.25">
      <c r="A467" s="33" t="s">
        <v>184</v>
      </c>
      <c r="B467" s="21" t="s">
        <v>574</v>
      </c>
      <c r="C467" s="42" t="s">
        <v>285</v>
      </c>
      <c r="D467" s="42" t="s">
        <v>264</v>
      </c>
      <c r="E467" s="42" t="s">
        <v>185</v>
      </c>
      <c r="F467" s="2"/>
      <c r="G467" s="11">
        <f>'Прил.№4 ведомств.'!G932</f>
        <v>450</v>
      </c>
    </row>
    <row r="468" spans="1:7" ht="15.75" x14ac:dyDescent="0.25">
      <c r="A468" s="125" t="s">
        <v>575</v>
      </c>
      <c r="B468" s="21" t="s">
        <v>576</v>
      </c>
      <c r="C468" s="42" t="s">
        <v>285</v>
      </c>
      <c r="D468" s="42" t="s">
        <v>264</v>
      </c>
      <c r="E468" s="42"/>
      <c r="F468" s="2"/>
      <c r="G468" s="11">
        <f>G469</f>
        <v>3107</v>
      </c>
    </row>
    <row r="469" spans="1:7" ht="47.25" x14ac:dyDescent="0.25">
      <c r="A469" s="33" t="s">
        <v>182</v>
      </c>
      <c r="B469" s="21" t="s">
        <v>576</v>
      </c>
      <c r="C469" s="42" t="s">
        <v>285</v>
      </c>
      <c r="D469" s="42" t="s">
        <v>264</v>
      </c>
      <c r="E469" s="42" t="s">
        <v>183</v>
      </c>
      <c r="F469" s="2"/>
      <c r="G469" s="11">
        <f>G470</f>
        <v>3107</v>
      </c>
    </row>
    <row r="470" spans="1:7" ht="47.25" x14ac:dyDescent="0.25">
      <c r="A470" s="33" t="s">
        <v>184</v>
      </c>
      <c r="B470" s="21" t="s">
        <v>576</v>
      </c>
      <c r="C470" s="42" t="s">
        <v>285</v>
      </c>
      <c r="D470" s="42" t="s">
        <v>264</v>
      </c>
      <c r="E470" s="42" t="s">
        <v>185</v>
      </c>
      <c r="F470" s="2"/>
      <c r="G470" s="11">
        <f>'Прил.№4 ведомств.'!G935</f>
        <v>3107</v>
      </c>
    </row>
    <row r="471" spans="1:7" ht="15.75" x14ac:dyDescent="0.25">
      <c r="A471" s="125" t="s">
        <v>577</v>
      </c>
      <c r="B471" s="21" t="s">
        <v>578</v>
      </c>
      <c r="C471" s="42" t="s">
        <v>285</v>
      </c>
      <c r="D471" s="42" t="s">
        <v>264</v>
      </c>
      <c r="E471" s="42"/>
      <c r="F471" s="2"/>
      <c r="G471" s="11">
        <f>G472</f>
        <v>1389.8999999999999</v>
      </c>
    </row>
    <row r="472" spans="1:7" ht="47.25" x14ac:dyDescent="0.25">
      <c r="A472" s="33" t="s">
        <v>182</v>
      </c>
      <c r="B472" s="21" t="s">
        <v>578</v>
      </c>
      <c r="C472" s="42" t="s">
        <v>285</v>
      </c>
      <c r="D472" s="42" t="s">
        <v>264</v>
      </c>
      <c r="E472" s="42" t="s">
        <v>183</v>
      </c>
      <c r="F472" s="2"/>
      <c r="G472" s="11">
        <f>G473</f>
        <v>1389.8999999999999</v>
      </c>
    </row>
    <row r="473" spans="1:7" ht="47.25" x14ac:dyDescent="0.25">
      <c r="A473" s="33" t="s">
        <v>184</v>
      </c>
      <c r="B473" s="21" t="s">
        <v>578</v>
      </c>
      <c r="C473" s="42" t="s">
        <v>285</v>
      </c>
      <c r="D473" s="42" t="s">
        <v>264</v>
      </c>
      <c r="E473" s="42" t="s">
        <v>185</v>
      </c>
      <c r="F473" s="2"/>
      <c r="G473" s="11">
        <f>'Прил.№4 ведомств.'!G940</f>
        <v>1389.8999999999999</v>
      </c>
    </row>
    <row r="474" spans="1:7" ht="31.5" x14ac:dyDescent="0.25">
      <c r="A474" s="125" t="s">
        <v>579</v>
      </c>
      <c r="B474" s="21" t="s">
        <v>580</v>
      </c>
      <c r="C474" s="42" t="s">
        <v>285</v>
      </c>
      <c r="D474" s="42" t="s">
        <v>264</v>
      </c>
      <c r="E474" s="42"/>
      <c r="F474" s="2"/>
      <c r="G474" s="11">
        <f>G475</f>
        <v>159.10000000000002</v>
      </c>
    </row>
    <row r="475" spans="1:7" ht="47.25" x14ac:dyDescent="0.25">
      <c r="A475" s="33" t="s">
        <v>182</v>
      </c>
      <c r="B475" s="21" t="s">
        <v>580</v>
      </c>
      <c r="C475" s="42" t="s">
        <v>285</v>
      </c>
      <c r="D475" s="42" t="s">
        <v>264</v>
      </c>
      <c r="E475" s="42" t="s">
        <v>183</v>
      </c>
      <c r="F475" s="2"/>
      <c r="G475" s="11">
        <f>G476</f>
        <v>159.10000000000002</v>
      </c>
    </row>
    <row r="476" spans="1:7" ht="47.25" x14ac:dyDescent="0.25">
      <c r="A476" s="33" t="s">
        <v>184</v>
      </c>
      <c r="B476" s="21" t="s">
        <v>580</v>
      </c>
      <c r="C476" s="42" t="s">
        <v>285</v>
      </c>
      <c r="D476" s="42" t="s">
        <v>264</v>
      </c>
      <c r="E476" s="42" t="s">
        <v>185</v>
      </c>
      <c r="F476" s="2"/>
      <c r="G476" s="11">
        <f>'Прил.№4 ведомств.'!G945</f>
        <v>159.10000000000002</v>
      </c>
    </row>
    <row r="477" spans="1:7" ht="15.75" x14ac:dyDescent="0.25">
      <c r="A477" s="125" t="s">
        <v>581</v>
      </c>
      <c r="B477" s="21" t="s">
        <v>582</v>
      </c>
      <c r="C477" s="42" t="s">
        <v>285</v>
      </c>
      <c r="D477" s="42" t="s">
        <v>264</v>
      </c>
      <c r="E477" s="42"/>
      <c r="F477" s="2"/>
      <c r="G477" s="11">
        <f>G478</f>
        <v>272.89999999999998</v>
      </c>
    </row>
    <row r="478" spans="1:7" ht="47.25" x14ac:dyDescent="0.25">
      <c r="A478" s="33" t="s">
        <v>182</v>
      </c>
      <c r="B478" s="21" t="s">
        <v>582</v>
      </c>
      <c r="C478" s="42" t="s">
        <v>285</v>
      </c>
      <c r="D478" s="42" t="s">
        <v>264</v>
      </c>
      <c r="E478" s="42" t="s">
        <v>183</v>
      </c>
      <c r="F478" s="2"/>
      <c r="G478" s="11">
        <f>G479</f>
        <v>272.89999999999998</v>
      </c>
    </row>
    <row r="479" spans="1:7" ht="47.25" x14ac:dyDescent="0.25">
      <c r="A479" s="33" t="s">
        <v>184</v>
      </c>
      <c r="B479" s="21" t="s">
        <v>582</v>
      </c>
      <c r="C479" s="42" t="s">
        <v>285</v>
      </c>
      <c r="D479" s="42" t="s">
        <v>264</v>
      </c>
      <c r="E479" s="42" t="s">
        <v>185</v>
      </c>
      <c r="F479" s="2"/>
      <c r="G479" s="11">
        <f>'Прил.№4 ведомств.'!G948</f>
        <v>272.89999999999998</v>
      </c>
    </row>
    <row r="480" spans="1:7" ht="31.5" hidden="1" x14ac:dyDescent="0.25">
      <c r="A480" s="123" t="s">
        <v>583</v>
      </c>
      <c r="B480" s="21" t="s">
        <v>584</v>
      </c>
      <c r="C480" s="42" t="s">
        <v>285</v>
      </c>
      <c r="D480" s="42" t="s">
        <v>264</v>
      </c>
      <c r="E480" s="42"/>
      <c r="F480" s="2"/>
      <c r="G480" s="11">
        <f>G481</f>
        <v>0</v>
      </c>
    </row>
    <row r="481" spans="1:7" ht="47.25" hidden="1" x14ac:dyDescent="0.25">
      <c r="A481" s="33" t="s">
        <v>182</v>
      </c>
      <c r="B481" s="21" t="s">
        <v>584</v>
      </c>
      <c r="C481" s="42" t="s">
        <v>285</v>
      </c>
      <c r="D481" s="42" t="s">
        <v>264</v>
      </c>
      <c r="E481" s="42"/>
      <c r="F481" s="2"/>
      <c r="G481" s="11">
        <f>G482</f>
        <v>0</v>
      </c>
    </row>
    <row r="482" spans="1:7" ht="47.25" hidden="1" x14ac:dyDescent="0.25">
      <c r="A482" s="33" t="s">
        <v>184</v>
      </c>
      <c r="B482" s="21" t="s">
        <v>584</v>
      </c>
      <c r="C482" s="42" t="s">
        <v>285</v>
      </c>
      <c r="D482" s="42" t="s">
        <v>264</v>
      </c>
      <c r="E482" s="42"/>
      <c r="F482" s="2"/>
      <c r="G482" s="11"/>
    </row>
    <row r="483" spans="1:7" ht="31.5" x14ac:dyDescent="0.25">
      <c r="A483" s="123" t="s">
        <v>585</v>
      </c>
      <c r="B483" s="21" t="s">
        <v>586</v>
      </c>
      <c r="C483" s="42" t="s">
        <v>285</v>
      </c>
      <c r="D483" s="42" t="s">
        <v>264</v>
      </c>
      <c r="E483" s="42"/>
      <c r="F483" s="2"/>
      <c r="G483" s="11">
        <f>G484</f>
        <v>49</v>
      </c>
    </row>
    <row r="484" spans="1:7" ht="47.25" x14ac:dyDescent="0.3">
      <c r="A484" s="26" t="s">
        <v>182</v>
      </c>
      <c r="B484" s="21" t="s">
        <v>586</v>
      </c>
      <c r="C484" s="42" t="s">
        <v>285</v>
      </c>
      <c r="D484" s="42" t="s">
        <v>264</v>
      </c>
      <c r="E484" s="2">
        <v>200</v>
      </c>
      <c r="F484" s="89"/>
      <c r="G484" s="7">
        <f>G485</f>
        <v>49</v>
      </c>
    </row>
    <row r="485" spans="1:7" ht="47.25" x14ac:dyDescent="0.3">
      <c r="A485" s="26" t="s">
        <v>184</v>
      </c>
      <c r="B485" s="21" t="s">
        <v>586</v>
      </c>
      <c r="C485" s="42" t="s">
        <v>285</v>
      </c>
      <c r="D485" s="42" t="s">
        <v>264</v>
      </c>
      <c r="E485" s="2">
        <v>240</v>
      </c>
      <c r="F485" s="89"/>
      <c r="G485" s="7">
        <f>'Прил.№4 ведомств.'!G954</f>
        <v>49</v>
      </c>
    </row>
    <row r="486" spans="1:7" ht="47.25" x14ac:dyDescent="0.25">
      <c r="A486" s="47" t="s">
        <v>700</v>
      </c>
      <c r="B486" s="21" t="s">
        <v>570</v>
      </c>
      <c r="C486" s="42"/>
      <c r="D486" s="42"/>
      <c r="E486" s="2"/>
      <c r="F486" s="2">
        <v>908</v>
      </c>
      <c r="G486" s="7">
        <f>G458</f>
        <v>5427.9</v>
      </c>
    </row>
    <row r="487" spans="1:7" ht="63" x14ac:dyDescent="0.25">
      <c r="A487" s="24" t="s">
        <v>385</v>
      </c>
      <c r="B487" s="25" t="s">
        <v>386</v>
      </c>
      <c r="C487" s="8"/>
      <c r="D487" s="8"/>
      <c r="E487" s="3"/>
      <c r="F487" s="3"/>
      <c r="G487" s="4">
        <f>G488+G499</f>
        <v>145</v>
      </c>
    </row>
    <row r="488" spans="1:7" ht="15.75" x14ac:dyDescent="0.25">
      <c r="A488" s="26" t="s">
        <v>314</v>
      </c>
      <c r="B488" s="21" t="s">
        <v>386</v>
      </c>
      <c r="C488" s="42" t="s">
        <v>315</v>
      </c>
      <c r="D488" s="42"/>
      <c r="E488" s="2"/>
      <c r="F488" s="2"/>
      <c r="G488" s="7">
        <f>G489</f>
        <v>20</v>
      </c>
    </row>
    <row r="489" spans="1:7" ht="31.5" x14ac:dyDescent="0.25">
      <c r="A489" s="26" t="s">
        <v>346</v>
      </c>
      <c r="B489" s="21" t="s">
        <v>386</v>
      </c>
      <c r="C489" s="42" t="s">
        <v>315</v>
      </c>
      <c r="D489" s="42" t="s">
        <v>270</v>
      </c>
      <c r="E489" s="2"/>
      <c r="F489" s="2"/>
      <c r="G489" s="7">
        <f>G490+G493</f>
        <v>20</v>
      </c>
    </row>
    <row r="490" spans="1:7" ht="47.25" x14ac:dyDescent="0.25">
      <c r="A490" s="26" t="s">
        <v>387</v>
      </c>
      <c r="B490" s="21" t="s">
        <v>388</v>
      </c>
      <c r="C490" s="42" t="s">
        <v>315</v>
      </c>
      <c r="D490" s="42" t="s">
        <v>270</v>
      </c>
      <c r="E490" s="2"/>
      <c r="F490" s="2"/>
      <c r="G490" s="7">
        <f>G491</f>
        <v>0</v>
      </c>
    </row>
    <row r="491" spans="1:7" ht="47.25" x14ac:dyDescent="0.25">
      <c r="A491" s="26" t="s">
        <v>182</v>
      </c>
      <c r="B491" s="21" t="s">
        <v>388</v>
      </c>
      <c r="C491" s="42" t="s">
        <v>315</v>
      </c>
      <c r="D491" s="42" t="s">
        <v>270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184</v>
      </c>
      <c r="B492" s="21" t="s">
        <v>388</v>
      </c>
      <c r="C492" s="42" t="s">
        <v>315</v>
      </c>
      <c r="D492" s="42" t="s">
        <v>270</v>
      </c>
      <c r="E492" s="2">
        <v>240</v>
      </c>
      <c r="F492" s="2"/>
      <c r="G492" s="7">
        <f>'Прил.№4 ведомств.'!G757</f>
        <v>0</v>
      </c>
    </row>
    <row r="493" spans="1:7" ht="78.75" x14ac:dyDescent="0.25">
      <c r="A493" s="26" t="s">
        <v>528</v>
      </c>
      <c r="B493" s="21" t="s">
        <v>529</v>
      </c>
      <c r="C493" s="42" t="s">
        <v>315</v>
      </c>
      <c r="D493" s="42" t="s">
        <v>270</v>
      </c>
      <c r="E493" s="2"/>
      <c r="F493" s="2"/>
      <c r="G493" s="7">
        <f>G494+G496</f>
        <v>20</v>
      </c>
    </row>
    <row r="494" spans="1:7" ht="110.25" x14ac:dyDescent="0.25">
      <c r="A494" s="26" t="s">
        <v>178</v>
      </c>
      <c r="B494" s="21" t="s">
        <v>529</v>
      </c>
      <c r="C494" s="42" t="s">
        <v>315</v>
      </c>
      <c r="D494" s="42" t="s">
        <v>270</v>
      </c>
      <c r="E494" s="2">
        <v>100</v>
      </c>
      <c r="F494" s="2"/>
      <c r="G494" s="7">
        <f>G495</f>
        <v>5</v>
      </c>
    </row>
    <row r="495" spans="1:7" ht="31.5" x14ac:dyDescent="0.25">
      <c r="A495" s="26" t="s">
        <v>393</v>
      </c>
      <c r="B495" s="21" t="s">
        <v>529</v>
      </c>
      <c r="C495" s="42" t="s">
        <v>315</v>
      </c>
      <c r="D495" s="42" t="s">
        <v>270</v>
      </c>
      <c r="E495" s="2">
        <v>110</v>
      </c>
      <c r="F495" s="2"/>
      <c r="G495" s="7">
        <f>'Прил.№4 ведомств.'!G760</f>
        <v>5</v>
      </c>
    </row>
    <row r="496" spans="1:7" ht="47.25" x14ac:dyDescent="0.25">
      <c r="A496" s="26" t="s">
        <v>182</v>
      </c>
      <c r="B496" s="21" t="s">
        <v>529</v>
      </c>
      <c r="C496" s="42" t="s">
        <v>315</v>
      </c>
      <c r="D496" s="42" t="s">
        <v>270</v>
      </c>
      <c r="E496" s="2">
        <v>200</v>
      </c>
      <c r="F496" s="2"/>
      <c r="G496" s="7">
        <f>G497</f>
        <v>15</v>
      </c>
    </row>
    <row r="497" spans="1:9" ht="47.25" x14ac:dyDescent="0.25">
      <c r="A497" s="26" t="s">
        <v>184</v>
      </c>
      <c r="B497" s="21" t="s">
        <v>529</v>
      </c>
      <c r="C497" s="42" t="s">
        <v>315</v>
      </c>
      <c r="D497" s="42" t="s">
        <v>270</v>
      </c>
      <c r="E497" s="2">
        <v>240</v>
      </c>
      <c r="F497" s="2"/>
      <c r="G497" s="7">
        <f>'Прил.№4 ведомств.'!G762</f>
        <v>15</v>
      </c>
    </row>
    <row r="498" spans="1:9" ht="47.25" x14ac:dyDescent="0.25">
      <c r="A498" s="31" t="s">
        <v>455</v>
      </c>
      <c r="B498" s="21" t="s">
        <v>386</v>
      </c>
      <c r="C498" s="42" t="s">
        <v>315</v>
      </c>
      <c r="D498" s="42" t="s">
        <v>270</v>
      </c>
      <c r="E498" s="2"/>
      <c r="F498" s="2">
        <v>906</v>
      </c>
      <c r="G498" s="7">
        <f>G490+G493</f>
        <v>20</v>
      </c>
    </row>
    <row r="499" spans="1:9" ht="15.75" x14ac:dyDescent="0.25">
      <c r="A499" s="85" t="s">
        <v>349</v>
      </c>
      <c r="B499" s="21" t="s">
        <v>386</v>
      </c>
      <c r="C499" s="42" t="s">
        <v>350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384</v>
      </c>
      <c r="B500" s="21" t="s">
        <v>386</v>
      </c>
      <c r="C500" s="42" t="s">
        <v>350</v>
      </c>
      <c r="D500" s="42" t="s">
        <v>201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387</v>
      </c>
      <c r="B501" s="21" t="s">
        <v>388</v>
      </c>
      <c r="C501" s="42" t="s">
        <v>350</v>
      </c>
      <c r="D501" s="42" t="s">
        <v>201</v>
      </c>
      <c r="E501" s="2"/>
      <c r="F501" s="2"/>
      <c r="G501" s="7">
        <f>G502</f>
        <v>0</v>
      </c>
    </row>
    <row r="502" spans="1:9" ht="47.25" hidden="1" x14ac:dyDescent="0.25">
      <c r="A502" s="26" t="s">
        <v>182</v>
      </c>
      <c r="B502" s="21" t="s">
        <v>388</v>
      </c>
      <c r="C502" s="42" t="s">
        <v>350</v>
      </c>
      <c r="D502" s="42" t="s">
        <v>201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184</v>
      </c>
      <c r="B503" s="21" t="s">
        <v>388</v>
      </c>
      <c r="C503" s="42" t="s">
        <v>350</v>
      </c>
      <c r="D503" s="42" t="s">
        <v>201</v>
      </c>
      <c r="E503" s="2">
        <v>240</v>
      </c>
      <c r="F503" s="2"/>
      <c r="G503" s="7">
        <f>'Прил.№4 ведомств.'!G418</f>
        <v>0</v>
      </c>
    </row>
    <row r="504" spans="1:9" ht="31.5" x14ac:dyDescent="0.25">
      <c r="A504" s="26" t="s">
        <v>389</v>
      </c>
      <c r="B504" s="21" t="s">
        <v>390</v>
      </c>
      <c r="C504" s="42" t="s">
        <v>350</v>
      </c>
      <c r="D504" s="42" t="s">
        <v>201</v>
      </c>
      <c r="E504" s="2"/>
      <c r="F504" s="2"/>
      <c r="G504" s="7">
        <f>G505</f>
        <v>20</v>
      </c>
    </row>
    <row r="505" spans="1:9" ht="47.25" x14ac:dyDescent="0.25">
      <c r="A505" s="26" t="s">
        <v>182</v>
      </c>
      <c r="B505" s="21" t="s">
        <v>390</v>
      </c>
      <c r="C505" s="42" t="s">
        <v>350</v>
      </c>
      <c r="D505" s="42" t="s">
        <v>201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184</v>
      </c>
      <c r="B506" s="21" t="s">
        <v>390</v>
      </c>
      <c r="C506" s="42" t="s">
        <v>350</v>
      </c>
      <c r="D506" s="42" t="s">
        <v>201</v>
      </c>
      <c r="E506" s="2">
        <v>240</v>
      </c>
      <c r="F506" s="2"/>
      <c r="G506" s="7">
        <f>'Прил.№4 ведомств.'!G424</f>
        <v>20</v>
      </c>
    </row>
    <row r="507" spans="1:9" ht="47.25" x14ac:dyDescent="0.25">
      <c r="A507" s="26" t="s">
        <v>760</v>
      </c>
      <c r="B507" s="21" t="s">
        <v>761</v>
      </c>
      <c r="C507" s="42" t="s">
        <v>350</v>
      </c>
      <c r="D507" s="42" t="s">
        <v>201</v>
      </c>
      <c r="E507" s="2"/>
      <c r="F507" s="2"/>
      <c r="G507" s="7">
        <f>G508</f>
        <v>105</v>
      </c>
    </row>
    <row r="508" spans="1:9" ht="47.25" x14ac:dyDescent="0.25">
      <c r="A508" s="26" t="s">
        <v>182</v>
      </c>
      <c r="B508" s="21" t="s">
        <v>761</v>
      </c>
      <c r="C508" s="42" t="s">
        <v>350</v>
      </c>
      <c r="D508" s="42" t="s">
        <v>201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184</v>
      </c>
      <c r="B509" s="21" t="s">
        <v>761</v>
      </c>
      <c r="C509" s="42" t="s">
        <v>350</v>
      </c>
      <c r="D509" s="42" t="s">
        <v>201</v>
      </c>
      <c r="E509" s="2">
        <v>240</v>
      </c>
      <c r="F509" s="2"/>
      <c r="G509" s="7">
        <f>'Прил.№4 ведомств.'!G430</f>
        <v>105</v>
      </c>
    </row>
    <row r="510" spans="1:9" ht="63" x14ac:dyDescent="0.25">
      <c r="A510" s="47" t="s">
        <v>312</v>
      </c>
      <c r="B510" s="21" t="s">
        <v>386</v>
      </c>
      <c r="C510" s="42" t="s">
        <v>350</v>
      </c>
      <c r="D510" s="42" t="s">
        <v>201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801</v>
      </c>
      <c r="B511" s="25" t="s">
        <v>799</v>
      </c>
      <c r="C511" s="8"/>
      <c r="D511" s="8"/>
      <c r="E511" s="3"/>
      <c r="F511" s="3"/>
      <c r="G511" s="4">
        <f>G512+G521</f>
        <v>34</v>
      </c>
    </row>
    <row r="512" spans="1:9" s="150" customFormat="1" ht="15.75" x14ac:dyDescent="0.25">
      <c r="A512" s="31" t="s">
        <v>168</v>
      </c>
      <c r="B512" s="21" t="s">
        <v>799</v>
      </c>
      <c r="C512" s="42" t="s">
        <v>169</v>
      </c>
      <c r="D512" s="42"/>
      <c r="E512" s="2"/>
      <c r="F512" s="2"/>
      <c r="G512" s="7">
        <f>G513</f>
        <v>29</v>
      </c>
      <c r="I512" s="151"/>
    </row>
    <row r="513" spans="1:9" s="150" customFormat="1" ht="31.5" x14ac:dyDescent="0.25">
      <c r="A513" s="31" t="s">
        <v>190</v>
      </c>
      <c r="B513" s="21" t="s">
        <v>799</v>
      </c>
      <c r="C513" s="42" t="s">
        <v>169</v>
      </c>
      <c r="D513" s="42" t="s">
        <v>191</v>
      </c>
      <c r="E513" s="2"/>
      <c r="F513" s="2"/>
      <c r="G513" s="7">
        <f>G514+G517</f>
        <v>29</v>
      </c>
      <c r="I513" s="151"/>
    </row>
    <row r="514" spans="1:9" ht="47.25" x14ac:dyDescent="0.25">
      <c r="A514" s="33" t="s">
        <v>208</v>
      </c>
      <c r="B514" s="21" t="s">
        <v>807</v>
      </c>
      <c r="C514" s="42" t="s">
        <v>169</v>
      </c>
      <c r="D514" s="42" t="s">
        <v>191</v>
      </c>
      <c r="E514" s="2"/>
      <c r="F514" s="2"/>
      <c r="G514" s="7">
        <f>G515</f>
        <v>29</v>
      </c>
    </row>
    <row r="515" spans="1:9" ht="47.25" x14ac:dyDescent="0.25">
      <c r="A515" s="26" t="s">
        <v>182</v>
      </c>
      <c r="B515" s="21" t="s">
        <v>807</v>
      </c>
      <c r="C515" s="42" t="s">
        <v>169</v>
      </c>
      <c r="D515" s="42" t="s">
        <v>191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184</v>
      </c>
      <c r="B516" s="21" t="s">
        <v>807</v>
      </c>
      <c r="C516" s="42" t="s">
        <v>169</v>
      </c>
      <c r="D516" s="42" t="s">
        <v>191</v>
      </c>
      <c r="E516" s="2">
        <v>240</v>
      </c>
      <c r="F516" s="2"/>
      <c r="G516" s="7">
        <f>'Прил.№4 ведомств.'!G99</f>
        <v>29</v>
      </c>
    </row>
    <row r="517" spans="1:9" ht="66" hidden="1" customHeight="1" x14ac:dyDescent="0.25">
      <c r="A517" s="31"/>
      <c r="B517" s="21" t="s">
        <v>800</v>
      </c>
      <c r="C517" s="42" t="s">
        <v>169</v>
      </c>
      <c r="D517" s="42" t="s">
        <v>191</v>
      </c>
      <c r="E517" s="2"/>
      <c r="F517" s="2"/>
      <c r="G517" s="7">
        <f>G518</f>
        <v>0</v>
      </c>
    </row>
    <row r="518" spans="1:9" ht="47.25" hidden="1" x14ac:dyDescent="0.25">
      <c r="A518" s="26" t="s">
        <v>182</v>
      </c>
      <c r="B518" s="21" t="s">
        <v>800</v>
      </c>
      <c r="C518" s="42" t="s">
        <v>169</v>
      </c>
      <c r="D518" s="42" t="s">
        <v>191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184</v>
      </c>
      <c r="B519" s="21" t="s">
        <v>800</v>
      </c>
      <c r="C519" s="42" t="s">
        <v>169</v>
      </c>
      <c r="D519" s="42" t="s">
        <v>191</v>
      </c>
      <c r="E519" s="2">
        <v>240</v>
      </c>
      <c r="F519" s="2"/>
      <c r="G519" s="7">
        <f>'Прил.№4 ведомств.'!G102</f>
        <v>0</v>
      </c>
    </row>
    <row r="520" spans="1:9" ht="31.5" x14ac:dyDescent="0.25">
      <c r="A520" s="31" t="s">
        <v>199</v>
      </c>
      <c r="B520" s="21" t="s">
        <v>799</v>
      </c>
      <c r="C520" s="42" t="s">
        <v>169</v>
      </c>
      <c r="D520" s="42" t="s">
        <v>191</v>
      </c>
      <c r="E520" s="2"/>
      <c r="F520" s="2">
        <v>902</v>
      </c>
      <c r="G520" s="7">
        <f>G511</f>
        <v>34</v>
      </c>
    </row>
    <row r="521" spans="1:9" s="150" customFormat="1" ht="15.75" x14ac:dyDescent="0.25">
      <c r="A521" s="26" t="s">
        <v>349</v>
      </c>
      <c r="B521" s="21" t="s">
        <v>799</v>
      </c>
      <c r="C521" s="42" t="s">
        <v>350</v>
      </c>
      <c r="D521" s="42"/>
      <c r="E521" s="2"/>
      <c r="F521" s="2"/>
      <c r="G521" s="7">
        <f>G522</f>
        <v>5</v>
      </c>
      <c r="I521" s="151"/>
    </row>
    <row r="522" spans="1:9" ht="31.5" x14ac:dyDescent="0.25">
      <c r="A522" s="43" t="s">
        <v>384</v>
      </c>
      <c r="B522" s="21" t="s">
        <v>799</v>
      </c>
      <c r="C522" s="42" t="s">
        <v>350</v>
      </c>
      <c r="D522" s="42" t="s">
        <v>201</v>
      </c>
      <c r="E522" s="2"/>
      <c r="F522" s="2"/>
      <c r="G522" s="7">
        <f>G523</f>
        <v>5</v>
      </c>
    </row>
    <row r="523" spans="1:9" ht="47.25" x14ac:dyDescent="0.25">
      <c r="A523" s="33" t="s">
        <v>208</v>
      </c>
      <c r="B523" s="21" t="s">
        <v>807</v>
      </c>
      <c r="C523" s="42" t="s">
        <v>350</v>
      </c>
      <c r="D523" s="42" t="s">
        <v>201</v>
      </c>
      <c r="E523" s="2"/>
      <c r="F523" s="2"/>
      <c r="G523" s="7">
        <f>G524</f>
        <v>5</v>
      </c>
    </row>
    <row r="524" spans="1:9" ht="47.25" x14ac:dyDescent="0.25">
      <c r="A524" s="26" t="s">
        <v>182</v>
      </c>
      <c r="B524" s="21" t="s">
        <v>807</v>
      </c>
      <c r="C524" s="42" t="s">
        <v>350</v>
      </c>
      <c r="D524" s="42" t="s">
        <v>201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184</v>
      </c>
      <c r="B525" s="21" t="s">
        <v>807</v>
      </c>
      <c r="C525" s="42" t="s">
        <v>350</v>
      </c>
      <c r="D525" s="42" t="s">
        <v>201</v>
      </c>
      <c r="E525" s="2">
        <v>240</v>
      </c>
      <c r="F525" s="2"/>
      <c r="G525" s="7">
        <f>'Прил.№4 ведомств.'!G437</f>
        <v>5</v>
      </c>
    </row>
    <row r="526" spans="1:9" ht="63" x14ac:dyDescent="0.25">
      <c r="A526" s="47" t="s">
        <v>312</v>
      </c>
      <c r="B526" s="21" t="s">
        <v>799</v>
      </c>
      <c r="C526" s="42" t="s">
        <v>350</v>
      </c>
      <c r="D526" s="42" t="s">
        <v>201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803</v>
      </c>
      <c r="B527" s="25" t="s">
        <v>805</v>
      </c>
      <c r="C527" s="8"/>
      <c r="D527" s="8"/>
      <c r="E527" s="3"/>
      <c r="F527" s="3"/>
      <c r="G527" s="4">
        <f>G528</f>
        <v>600</v>
      </c>
    </row>
    <row r="528" spans="1:9" ht="15.75" x14ac:dyDescent="0.25">
      <c r="A528" s="26" t="s">
        <v>442</v>
      </c>
      <c r="B528" s="21" t="s">
        <v>805</v>
      </c>
      <c r="C528" s="42" t="s">
        <v>285</v>
      </c>
      <c r="D528" s="42"/>
      <c r="E528" s="2"/>
      <c r="F528" s="2"/>
      <c r="G528" s="7">
        <f>G529</f>
        <v>600</v>
      </c>
    </row>
    <row r="529" spans="1:7" ht="15.75" x14ac:dyDescent="0.25">
      <c r="A529" s="26" t="s">
        <v>593</v>
      </c>
      <c r="B529" s="21" t="s">
        <v>805</v>
      </c>
      <c r="C529" s="42" t="s">
        <v>285</v>
      </c>
      <c r="D529" s="42" t="s">
        <v>266</v>
      </c>
      <c r="E529" s="2"/>
      <c r="F529" s="2"/>
      <c r="G529" s="7">
        <f>G530</f>
        <v>600</v>
      </c>
    </row>
    <row r="530" spans="1:7" ht="31.5" x14ac:dyDescent="0.25">
      <c r="A530" s="155" t="s">
        <v>804</v>
      </c>
      <c r="B530" s="21" t="s">
        <v>806</v>
      </c>
      <c r="C530" s="42" t="s">
        <v>285</v>
      </c>
      <c r="D530" s="42" t="s">
        <v>266</v>
      </c>
      <c r="E530" s="2"/>
      <c r="F530" s="2"/>
      <c r="G530" s="7">
        <f>G531</f>
        <v>600</v>
      </c>
    </row>
    <row r="531" spans="1:7" ht="47.25" x14ac:dyDescent="0.25">
      <c r="A531" s="26" t="s">
        <v>182</v>
      </c>
      <c r="B531" s="21" t="s">
        <v>806</v>
      </c>
      <c r="C531" s="42" t="s">
        <v>285</v>
      </c>
      <c r="D531" s="42" t="s">
        <v>266</v>
      </c>
      <c r="E531" s="2">
        <v>200</v>
      </c>
      <c r="F531" s="2"/>
      <c r="G531" s="7">
        <f>G532</f>
        <v>600</v>
      </c>
    </row>
    <row r="532" spans="1:7" ht="47.25" x14ac:dyDescent="0.25">
      <c r="A532" s="26" t="s">
        <v>184</v>
      </c>
      <c r="B532" s="21" t="s">
        <v>806</v>
      </c>
      <c r="C532" s="42" t="s">
        <v>285</v>
      </c>
      <c r="D532" s="42" t="s">
        <v>266</v>
      </c>
      <c r="E532" s="2">
        <v>240</v>
      </c>
      <c r="F532" s="2"/>
      <c r="G532" s="7">
        <f>'Прил.№4 ведомств.'!G1024</f>
        <v>600</v>
      </c>
    </row>
    <row r="533" spans="1:7" ht="47.25" x14ac:dyDescent="0.25">
      <c r="A533" s="47" t="s">
        <v>700</v>
      </c>
      <c r="B533" s="21" t="s">
        <v>805</v>
      </c>
      <c r="C533" s="42" t="s">
        <v>285</v>
      </c>
      <c r="D533" s="42" t="s">
        <v>266</v>
      </c>
      <c r="E533" s="2"/>
      <c r="F533" s="2">
        <v>908</v>
      </c>
      <c r="G533" s="7">
        <f>G527</f>
        <v>600</v>
      </c>
    </row>
    <row r="534" spans="1:7" ht="15.75" x14ac:dyDescent="0.25">
      <c r="A534" s="84" t="s">
        <v>734</v>
      </c>
      <c r="B534" s="84"/>
      <c r="C534" s="84"/>
      <c r="D534" s="90"/>
      <c r="E534" s="90"/>
      <c r="F534" s="90"/>
      <c r="G534" s="148">
        <f>G10+G19+G102+G217+G224+G242+G249+G271+G326+G409+G419+G451+G458+G487+G511+G527</f>
        <v>222940.79999999996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31" zoomScale="60" zoomScaleNormal="100" workbookViewId="0">
      <selection activeCell="H1" sqref="H1:H5"/>
    </sheetView>
  </sheetViews>
  <sheetFormatPr defaultRowHeight="15" x14ac:dyDescent="0.25"/>
  <cols>
    <col min="1" max="1" width="33.28515625" customWidth="1"/>
    <col min="2" max="2" width="7.7109375" customWidth="1"/>
    <col min="4" max="4" width="8" customWidth="1"/>
    <col min="5" max="5" width="15.85546875" customWidth="1"/>
    <col min="7" max="7" width="10.5703125" customWidth="1"/>
    <col min="8" max="8" width="13.42578125" customWidth="1"/>
    <col min="9" max="9" width="9.85546875" customWidth="1"/>
  </cols>
  <sheetData>
    <row r="1" spans="1:9" ht="16.5" x14ac:dyDescent="0.25">
      <c r="H1" s="345" t="s">
        <v>693</v>
      </c>
    </row>
    <row r="2" spans="1:9" ht="16.5" x14ac:dyDescent="0.25">
      <c r="H2" s="345" t="s">
        <v>1050</v>
      </c>
      <c r="I2" s="316"/>
    </row>
    <row r="3" spans="1:9" ht="16.5" x14ac:dyDescent="0.25">
      <c r="H3" s="345" t="s">
        <v>1052</v>
      </c>
      <c r="I3" s="316"/>
    </row>
    <row r="4" spans="1:9" ht="18.75" customHeight="1" x14ac:dyDescent="0.3">
      <c r="A4" s="309"/>
      <c r="B4" s="309"/>
      <c r="C4" s="309"/>
      <c r="D4" s="13"/>
      <c r="F4" s="91"/>
      <c r="G4" s="73"/>
      <c r="H4" s="345" t="s">
        <v>1051</v>
      </c>
      <c r="I4" s="316"/>
    </row>
    <row r="5" spans="1:9" ht="18.75" customHeight="1" x14ac:dyDescent="0.3">
      <c r="A5" s="309"/>
      <c r="B5" s="309"/>
      <c r="C5" s="309"/>
      <c r="D5" s="13"/>
      <c r="F5" s="91"/>
      <c r="G5" s="73"/>
      <c r="H5" s="345" t="s">
        <v>1053</v>
      </c>
      <c r="I5" s="316"/>
    </row>
    <row r="6" spans="1:9" ht="15.75" x14ac:dyDescent="0.25">
      <c r="A6" s="13"/>
      <c r="B6" s="13"/>
      <c r="C6" s="13"/>
      <c r="D6" s="13"/>
      <c r="E6" s="13"/>
      <c r="F6" s="13"/>
      <c r="G6" s="73"/>
      <c r="H6" s="73"/>
      <c r="I6" s="73"/>
    </row>
    <row r="7" spans="1:9" ht="15" customHeight="1" x14ac:dyDescent="0.25">
      <c r="A7" s="344" t="s">
        <v>1033</v>
      </c>
      <c r="B7" s="344"/>
      <c r="C7" s="344"/>
      <c r="D7" s="344"/>
      <c r="E7" s="344"/>
      <c r="F7" s="344"/>
      <c r="G7" s="344"/>
      <c r="H7" s="344"/>
      <c r="I7" s="344"/>
    </row>
    <row r="8" spans="1:9" ht="24" customHeight="1" x14ac:dyDescent="0.25">
      <c r="A8" s="344"/>
      <c r="B8" s="344"/>
      <c r="C8" s="344"/>
      <c r="D8" s="344"/>
      <c r="E8" s="344"/>
      <c r="F8" s="344"/>
      <c r="G8" s="344"/>
      <c r="H8" s="344"/>
      <c r="I8" s="344"/>
    </row>
    <row r="9" spans="1:9" ht="15.75" x14ac:dyDescent="0.25">
      <c r="A9" s="13"/>
      <c r="B9" s="13"/>
      <c r="C9" s="13"/>
      <c r="D9" s="13"/>
      <c r="E9" s="92"/>
      <c r="F9" s="92"/>
      <c r="G9" s="77"/>
      <c r="H9" s="77"/>
      <c r="I9" s="77"/>
    </row>
    <row r="10" spans="1:9" ht="63" x14ac:dyDescent="0.25">
      <c r="A10" s="93" t="s">
        <v>645</v>
      </c>
      <c r="B10" s="93" t="s">
        <v>698</v>
      </c>
      <c r="C10" s="93" t="s">
        <v>695</v>
      </c>
      <c r="D10" s="93" t="s">
        <v>696</v>
      </c>
      <c r="E10" s="93" t="s">
        <v>694</v>
      </c>
      <c r="F10" s="93" t="s">
        <v>697</v>
      </c>
      <c r="G10" s="302" t="s">
        <v>1027</v>
      </c>
      <c r="H10" s="302" t="s">
        <v>1032</v>
      </c>
      <c r="I10" s="302" t="s">
        <v>1026</v>
      </c>
    </row>
    <row r="11" spans="1:9" ht="95.25" hidden="1" customHeight="1" x14ac:dyDescent="0.25">
      <c r="A11" s="339" t="s">
        <v>735</v>
      </c>
      <c r="B11" s="339"/>
      <c r="C11" s="339"/>
      <c r="D11" s="339"/>
      <c r="E11" s="339"/>
      <c r="F11" s="339"/>
      <c r="G11" s="94">
        <f>G13</f>
        <v>0</v>
      </c>
      <c r="H11" s="94">
        <f t="shared" ref="H11:I11" si="0">H13</f>
        <v>0</v>
      </c>
      <c r="I11" s="94">
        <f t="shared" si="0"/>
        <v>0</v>
      </c>
    </row>
    <row r="12" spans="1:9" ht="78.75" hidden="1" x14ac:dyDescent="0.25">
      <c r="A12" s="5" t="s">
        <v>736</v>
      </c>
      <c r="B12" s="5">
        <v>903</v>
      </c>
      <c r="C12" s="5"/>
      <c r="D12" s="5"/>
      <c r="E12" s="5"/>
      <c r="F12" s="5"/>
      <c r="G12" s="94">
        <f>G13</f>
        <v>0</v>
      </c>
      <c r="H12" s="94">
        <f t="shared" ref="H12:I13" si="1">H13</f>
        <v>0</v>
      </c>
      <c r="I12" s="94">
        <f t="shared" si="1"/>
        <v>0</v>
      </c>
    </row>
    <row r="13" spans="1:9" ht="15.75" hidden="1" x14ac:dyDescent="0.25">
      <c r="A13" s="47" t="s">
        <v>294</v>
      </c>
      <c r="B13" s="6">
        <v>903</v>
      </c>
      <c r="C13" s="42" t="s">
        <v>295</v>
      </c>
      <c r="D13" s="42"/>
      <c r="E13" s="42"/>
      <c r="F13" s="42"/>
      <c r="G13" s="95">
        <f>G14</f>
        <v>0</v>
      </c>
      <c r="H13" s="95">
        <f t="shared" si="1"/>
        <v>0</v>
      </c>
      <c r="I13" s="95">
        <f t="shared" si="1"/>
        <v>0</v>
      </c>
    </row>
    <row r="14" spans="1:9" ht="15.75" hidden="1" x14ac:dyDescent="0.25">
      <c r="A14" s="31" t="s">
        <v>172</v>
      </c>
      <c r="B14" s="6">
        <v>903</v>
      </c>
      <c r="C14" s="42" t="s">
        <v>295</v>
      </c>
      <c r="D14" s="42" t="s">
        <v>266</v>
      </c>
      <c r="E14" s="42" t="s">
        <v>173</v>
      </c>
      <c r="F14" s="42"/>
      <c r="G14" s="95">
        <f>G16</f>
        <v>0</v>
      </c>
      <c r="H14" s="95">
        <f t="shared" ref="H14:I14" si="2">H16</f>
        <v>0</v>
      </c>
      <c r="I14" s="95">
        <f t="shared" si="2"/>
        <v>0</v>
      </c>
    </row>
    <row r="15" spans="1:9" ht="31.5" hidden="1" x14ac:dyDescent="0.25">
      <c r="A15" s="31" t="s">
        <v>192</v>
      </c>
      <c r="B15" s="6">
        <v>903</v>
      </c>
      <c r="C15" s="42" t="s">
        <v>295</v>
      </c>
      <c r="D15" s="42" t="s">
        <v>266</v>
      </c>
      <c r="E15" s="42" t="s">
        <v>193</v>
      </c>
      <c r="F15" s="42"/>
      <c r="G15" s="95">
        <f>G16</f>
        <v>0</v>
      </c>
      <c r="H15" s="95">
        <f t="shared" ref="H15:I17" si="3">H16</f>
        <v>0</v>
      </c>
      <c r="I15" s="95">
        <f t="shared" si="3"/>
        <v>0</v>
      </c>
    </row>
    <row r="16" spans="1:9" ht="31.5" hidden="1" x14ac:dyDescent="0.25">
      <c r="A16" s="31" t="s">
        <v>252</v>
      </c>
      <c r="B16" s="6">
        <v>903</v>
      </c>
      <c r="C16" s="42" t="s">
        <v>295</v>
      </c>
      <c r="D16" s="42" t="s">
        <v>266</v>
      </c>
      <c r="E16" s="42" t="s">
        <v>253</v>
      </c>
      <c r="F16" s="42"/>
      <c r="G16" s="95">
        <f>G17</f>
        <v>0</v>
      </c>
      <c r="H16" s="95">
        <f t="shared" si="3"/>
        <v>0</v>
      </c>
      <c r="I16" s="95">
        <f t="shared" si="3"/>
        <v>0</v>
      </c>
    </row>
    <row r="17" spans="1:9" ht="31.5" hidden="1" x14ac:dyDescent="0.25">
      <c r="A17" s="31" t="s">
        <v>299</v>
      </c>
      <c r="B17" s="6">
        <v>903</v>
      </c>
      <c r="C17" s="42" t="s">
        <v>295</v>
      </c>
      <c r="D17" s="42" t="s">
        <v>266</v>
      </c>
      <c r="E17" s="42" t="s">
        <v>253</v>
      </c>
      <c r="F17" s="42" t="s">
        <v>300</v>
      </c>
      <c r="G17" s="95">
        <f>G18</f>
        <v>0</v>
      </c>
      <c r="H17" s="95">
        <f t="shared" si="3"/>
        <v>0</v>
      </c>
      <c r="I17" s="95">
        <f t="shared" si="3"/>
        <v>0</v>
      </c>
    </row>
    <row r="18" spans="1:9" ht="47.25" hidden="1" x14ac:dyDescent="0.25">
      <c r="A18" s="31" t="s">
        <v>399</v>
      </c>
      <c r="B18" s="6">
        <v>903</v>
      </c>
      <c r="C18" s="42" t="s">
        <v>295</v>
      </c>
      <c r="D18" s="42" t="s">
        <v>266</v>
      </c>
      <c r="E18" s="42" t="s">
        <v>253</v>
      </c>
      <c r="F18" s="42" t="s">
        <v>400</v>
      </c>
      <c r="G18" s="95"/>
      <c r="H18" s="95"/>
      <c r="I18" s="95"/>
    </row>
    <row r="19" spans="1:9" ht="64.5" hidden="1" customHeight="1" x14ac:dyDescent="0.25">
      <c r="A19" s="341" t="s">
        <v>916</v>
      </c>
      <c r="B19" s="342"/>
      <c r="C19" s="342"/>
      <c r="D19" s="342"/>
      <c r="E19" s="342"/>
      <c r="F19" s="343"/>
      <c r="G19" s="94">
        <f t="shared" ref="G19:I26" si="4">G20</f>
        <v>9066.4</v>
      </c>
      <c r="H19" s="94">
        <f t="shared" si="4"/>
        <v>6805.2</v>
      </c>
      <c r="I19" s="94">
        <f t="shared" si="4"/>
        <v>75.059560575311039</v>
      </c>
    </row>
    <row r="20" spans="1:9" ht="50.25" hidden="1" customHeight="1" x14ac:dyDescent="0.25">
      <c r="A20" s="246" t="s">
        <v>199</v>
      </c>
      <c r="B20" s="246">
        <v>902</v>
      </c>
      <c r="C20" s="246"/>
      <c r="D20" s="246"/>
      <c r="E20" s="246"/>
      <c r="F20" s="246"/>
      <c r="G20" s="94">
        <f t="shared" si="4"/>
        <v>9066.4</v>
      </c>
      <c r="H20" s="94">
        <f t="shared" si="4"/>
        <v>6805.2</v>
      </c>
      <c r="I20" s="94">
        <f t="shared" si="4"/>
        <v>75.059560575311039</v>
      </c>
    </row>
    <row r="21" spans="1:9" ht="15.75" hidden="1" x14ac:dyDescent="0.25">
      <c r="A21" s="24" t="s">
        <v>294</v>
      </c>
      <c r="B21" s="20">
        <v>902</v>
      </c>
      <c r="C21" s="25" t="s">
        <v>295</v>
      </c>
      <c r="D21" s="25"/>
      <c r="E21" s="25"/>
      <c r="F21" s="25"/>
      <c r="G21" s="94">
        <f t="shared" si="4"/>
        <v>9066.4</v>
      </c>
      <c r="H21" s="94">
        <f t="shared" si="4"/>
        <v>6805.2</v>
      </c>
      <c r="I21" s="94">
        <f t="shared" si="4"/>
        <v>75.059560575311039</v>
      </c>
    </row>
    <row r="22" spans="1:9" ht="15.75" hidden="1" x14ac:dyDescent="0.25">
      <c r="A22" s="24" t="s">
        <v>296</v>
      </c>
      <c r="B22" s="20">
        <v>902</v>
      </c>
      <c r="C22" s="25" t="s">
        <v>295</v>
      </c>
      <c r="D22" s="25" t="s">
        <v>169</v>
      </c>
      <c r="E22" s="25"/>
      <c r="F22" s="25"/>
      <c r="G22" s="94">
        <f t="shared" si="4"/>
        <v>9066.4</v>
      </c>
      <c r="H22" s="94">
        <f t="shared" si="4"/>
        <v>6805.2</v>
      </c>
      <c r="I22" s="94">
        <f t="shared" si="4"/>
        <v>75.059560575311039</v>
      </c>
    </row>
    <row r="23" spans="1:9" ht="15.75" hidden="1" x14ac:dyDescent="0.25">
      <c r="A23" s="26" t="s">
        <v>172</v>
      </c>
      <c r="B23" s="17">
        <v>902</v>
      </c>
      <c r="C23" s="21" t="s">
        <v>295</v>
      </c>
      <c r="D23" s="21" t="s">
        <v>169</v>
      </c>
      <c r="E23" s="21" t="s">
        <v>173</v>
      </c>
      <c r="F23" s="21"/>
      <c r="G23" s="95">
        <f t="shared" si="4"/>
        <v>9066.4</v>
      </c>
      <c r="H23" s="95">
        <f t="shared" si="4"/>
        <v>6805.2</v>
      </c>
      <c r="I23" s="95">
        <f t="shared" si="4"/>
        <v>75.059560575311039</v>
      </c>
    </row>
    <row r="24" spans="1:9" ht="31.5" hidden="1" x14ac:dyDescent="0.25">
      <c r="A24" s="26" t="s">
        <v>192</v>
      </c>
      <c r="B24" s="17">
        <v>902</v>
      </c>
      <c r="C24" s="21" t="s">
        <v>295</v>
      </c>
      <c r="D24" s="21" t="s">
        <v>169</v>
      </c>
      <c r="E24" s="21" t="s">
        <v>193</v>
      </c>
      <c r="F24" s="21"/>
      <c r="G24" s="95">
        <f t="shared" si="4"/>
        <v>9066.4</v>
      </c>
      <c r="H24" s="95">
        <f t="shared" si="4"/>
        <v>6805.2</v>
      </c>
      <c r="I24" s="95">
        <f t="shared" si="4"/>
        <v>75.059560575311039</v>
      </c>
    </row>
    <row r="25" spans="1:9" ht="31.5" hidden="1" x14ac:dyDescent="0.25">
      <c r="A25" s="26" t="s">
        <v>297</v>
      </c>
      <c r="B25" s="17">
        <v>902</v>
      </c>
      <c r="C25" s="21" t="s">
        <v>295</v>
      </c>
      <c r="D25" s="21" t="s">
        <v>169</v>
      </c>
      <c r="E25" s="21" t="s">
        <v>298</v>
      </c>
      <c r="F25" s="21"/>
      <c r="G25" s="95">
        <f t="shared" si="4"/>
        <v>9066.4</v>
      </c>
      <c r="H25" s="95">
        <f t="shared" si="4"/>
        <v>6805.2</v>
      </c>
      <c r="I25" s="95">
        <f t="shared" si="4"/>
        <v>75.059560575311039</v>
      </c>
    </row>
    <row r="26" spans="1:9" ht="31.5" hidden="1" x14ac:dyDescent="0.25">
      <c r="A26" s="26" t="s">
        <v>299</v>
      </c>
      <c r="B26" s="17">
        <v>902</v>
      </c>
      <c r="C26" s="21" t="s">
        <v>295</v>
      </c>
      <c r="D26" s="21" t="s">
        <v>169</v>
      </c>
      <c r="E26" s="21" t="s">
        <v>298</v>
      </c>
      <c r="F26" s="21" t="s">
        <v>300</v>
      </c>
      <c r="G26" s="95">
        <f t="shared" si="4"/>
        <v>9066.4</v>
      </c>
      <c r="H26" s="95">
        <f t="shared" si="4"/>
        <v>6805.2</v>
      </c>
      <c r="I26" s="95">
        <f t="shared" si="4"/>
        <v>75.059560575311039</v>
      </c>
    </row>
    <row r="27" spans="1:9" ht="63" hidden="1" x14ac:dyDescent="0.25">
      <c r="A27" s="26" t="s">
        <v>301</v>
      </c>
      <c r="B27" s="17">
        <v>902</v>
      </c>
      <c r="C27" s="21" t="s">
        <v>295</v>
      </c>
      <c r="D27" s="21" t="s">
        <v>169</v>
      </c>
      <c r="E27" s="21" t="s">
        <v>298</v>
      </c>
      <c r="F27" s="21" t="s">
        <v>400</v>
      </c>
      <c r="G27" s="95">
        <f>'Прил.№4 ведомств.'!M223</f>
        <v>9066.4</v>
      </c>
      <c r="H27" s="95">
        <f>'Прил.№4 ведомств.'!N223</f>
        <v>6805.2</v>
      </c>
      <c r="I27" s="95">
        <f>'Прил.№4 ведомств.'!O223</f>
        <v>75.059560575311039</v>
      </c>
    </row>
    <row r="28" spans="1:9" ht="59.25" customHeight="1" x14ac:dyDescent="0.25">
      <c r="A28" s="340" t="s">
        <v>737</v>
      </c>
      <c r="B28" s="340"/>
      <c r="C28" s="340"/>
      <c r="D28" s="340"/>
      <c r="E28" s="340"/>
      <c r="F28" s="340"/>
      <c r="G28" s="94">
        <f>G30</f>
        <v>1743</v>
      </c>
      <c r="H28" s="94">
        <f t="shared" ref="H28" si="5">H30</f>
        <v>1249.2</v>
      </c>
      <c r="I28" s="94">
        <f>H28/G28*100</f>
        <v>71.669535283993113</v>
      </c>
    </row>
    <row r="29" spans="1:9" ht="78.75" x14ac:dyDescent="0.25">
      <c r="A29" s="5" t="s">
        <v>736</v>
      </c>
      <c r="B29" s="5">
        <v>903</v>
      </c>
      <c r="C29" s="5"/>
      <c r="D29" s="5"/>
      <c r="E29" s="5"/>
      <c r="F29" s="5"/>
      <c r="G29" s="94">
        <f>G30</f>
        <v>1743</v>
      </c>
      <c r="H29" s="94">
        <f t="shared" ref="H29:H31" si="6">H30</f>
        <v>1249.2</v>
      </c>
      <c r="I29" s="94">
        <f t="shared" ref="I29:I48" si="7">H29/G29*100</f>
        <v>71.669535283993113</v>
      </c>
    </row>
    <row r="30" spans="1:9" ht="15.75" x14ac:dyDescent="0.25">
      <c r="A30" s="96" t="s">
        <v>294</v>
      </c>
      <c r="B30" s="10" t="s">
        <v>704</v>
      </c>
      <c r="C30" s="10" t="s">
        <v>295</v>
      </c>
      <c r="D30" s="10"/>
      <c r="E30" s="10"/>
      <c r="F30" s="10"/>
      <c r="G30" s="97">
        <f>G31</f>
        <v>1743</v>
      </c>
      <c r="H30" s="97">
        <f t="shared" si="6"/>
        <v>1249.2</v>
      </c>
      <c r="I30" s="95">
        <f t="shared" si="7"/>
        <v>71.669535283993113</v>
      </c>
    </row>
    <row r="31" spans="1:9" ht="31.5" x14ac:dyDescent="0.25">
      <c r="A31" s="31" t="s">
        <v>303</v>
      </c>
      <c r="B31" s="6">
        <v>903</v>
      </c>
      <c r="C31" s="42" t="s">
        <v>295</v>
      </c>
      <c r="D31" s="42" t="s">
        <v>266</v>
      </c>
      <c r="E31" s="42"/>
      <c r="F31" s="42"/>
      <c r="G31" s="95">
        <f>G32</f>
        <v>1743</v>
      </c>
      <c r="H31" s="95">
        <f t="shared" si="6"/>
        <v>1249.2</v>
      </c>
      <c r="I31" s="95">
        <f t="shared" si="7"/>
        <v>71.669535283993113</v>
      </c>
    </row>
    <row r="32" spans="1:9" ht="78.75" x14ac:dyDescent="0.25">
      <c r="A32" s="31" t="s">
        <v>738</v>
      </c>
      <c r="B32" s="6">
        <v>903</v>
      </c>
      <c r="C32" s="42" t="s">
        <v>295</v>
      </c>
      <c r="D32" s="42" t="s">
        <v>266</v>
      </c>
      <c r="E32" s="42" t="s">
        <v>395</v>
      </c>
      <c r="F32" s="42"/>
      <c r="G32" s="95">
        <f>G36+G33+G40+G44</f>
        <v>1743</v>
      </c>
      <c r="H32" s="95">
        <f t="shared" ref="H32" si="8">H36+H33+H40+H44</f>
        <v>1249.2</v>
      </c>
      <c r="I32" s="95">
        <f t="shared" si="7"/>
        <v>71.669535283993113</v>
      </c>
    </row>
    <row r="33" spans="1:9" ht="47.25" x14ac:dyDescent="0.25">
      <c r="A33" s="31" t="s">
        <v>396</v>
      </c>
      <c r="B33" s="6">
        <v>903</v>
      </c>
      <c r="C33" s="42" t="s">
        <v>295</v>
      </c>
      <c r="D33" s="42" t="s">
        <v>266</v>
      </c>
      <c r="E33" s="42" t="s">
        <v>397</v>
      </c>
      <c r="F33" s="42"/>
      <c r="G33" s="95">
        <f>G34</f>
        <v>25</v>
      </c>
      <c r="H33" s="95">
        <f t="shared" ref="H33:H34" si="9">H34</f>
        <v>25</v>
      </c>
      <c r="I33" s="95">
        <f t="shared" si="7"/>
        <v>100</v>
      </c>
    </row>
    <row r="34" spans="1:9" ht="31.5" x14ac:dyDescent="0.25">
      <c r="A34" s="31" t="s">
        <v>299</v>
      </c>
      <c r="B34" s="6">
        <v>903</v>
      </c>
      <c r="C34" s="42" t="s">
        <v>295</v>
      </c>
      <c r="D34" s="42" t="s">
        <v>266</v>
      </c>
      <c r="E34" s="42" t="s">
        <v>398</v>
      </c>
      <c r="F34" s="42" t="s">
        <v>300</v>
      </c>
      <c r="G34" s="95">
        <f>G35</f>
        <v>25</v>
      </c>
      <c r="H34" s="95">
        <f t="shared" si="9"/>
        <v>25</v>
      </c>
      <c r="I34" s="95">
        <f t="shared" si="7"/>
        <v>100</v>
      </c>
    </row>
    <row r="35" spans="1:9" ht="47.25" x14ac:dyDescent="0.25">
      <c r="A35" s="31" t="s">
        <v>399</v>
      </c>
      <c r="B35" s="6">
        <v>903</v>
      </c>
      <c r="C35" s="42" t="s">
        <v>295</v>
      </c>
      <c r="D35" s="42" t="s">
        <v>266</v>
      </c>
      <c r="E35" s="42" t="s">
        <v>398</v>
      </c>
      <c r="F35" s="42" t="s">
        <v>400</v>
      </c>
      <c r="G35" s="95">
        <f>'Прил.№4 ведомств.'!M463</f>
        <v>25</v>
      </c>
      <c r="H35" s="95">
        <f>'Прил.№4 ведомств.'!N463</f>
        <v>25</v>
      </c>
      <c r="I35" s="95">
        <f t="shared" si="7"/>
        <v>100</v>
      </c>
    </row>
    <row r="36" spans="1:9" ht="63" x14ac:dyDescent="0.25">
      <c r="A36" s="47" t="s">
        <v>706</v>
      </c>
      <c r="B36" s="6">
        <v>903</v>
      </c>
      <c r="C36" s="42" t="s">
        <v>295</v>
      </c>
      <c r="D36" s="42" t="s">
        <v>266</v>
      </c>
      <c r="E36" s="42" t="s">
        <v>407</v>
      </c>
      <c r="F36" s="42"/>
      <c r="G36" s="95">
        <f>G37</f>
        <v>420</v>
      </c>
      <c r="H36" s="95">
        <f t="shared" ref="H36:H38" si="10">H37</f>
        <v>260</v>
      </c>
      <c r="I36" s="95">
        <f t="shared" si="7"/>
        <v>61.904761904761905</v>
      </c>
    </row>
    <row r="37" spans="1:9" ht="47.25" x14ac:dyDescent="0.25">
      <c r="A37" s="31" t="s">
        <v>208</v>
      </c>
      <c r="B37" s="6">
        <v>903</v>
      </c>
      <c r="C37" s="42" t="s">
        <v>295</v>
      </c>
      <c r="D37" s="42" t="s">
        <v>266</v>
      </c>
      <c r="E37" s="42" t="s">
        <v>408</v>
      </c>
      <c r="F37" s="42"/>
      <c r="G37" s="95">
        <f>G38</f>
        <v>420</v>
      </c>
      <c r="H37" s="95">
        <f t="shared" si="10"/>
        <v>260</v>
      </c>
      <c r="I37" s="95">
        <f t="shared" si="7"/>
        <v>61.904761904761905</v>
      </c>
    </row>
    <row r="38" spans="1:9" ht="31.5" x14ac:dyDescent="0.25">
      <c r="A38" s="31" t="s">
        <v>299</v>
      </c>
      <c r="B38" s="6">
        <v>903</v>
      </c>
      <c r="C38" s="42" t="s">
        <v>295</v>
      </c>
      <c r="D38" s="42" t="s">
        <v>266</v>
      </c>
      <c r="E38" s="42" t="s">
        <v>408</v>
      </c>
      <c r="F38" s="42" t="s">
        <v>300</v>
      </c>
      <c r="G38" s="95">
        <f>G39</f>
        <v>420</v>
      </c>
      <c r="H38" s="95">
        <f t="shared" si="10"/>
        <v>260</v>
      </c>
      <c r="I38" s="95">
        <f t="shared" si="7"/>
        <v>61.904761904761905</v>
      </c>
    </row>
    <row r="39" spans="1:9" ht="47.25" x14ac:dyDescent="0.25">
      <c r="A39" s="31" t="s">
        <v>399</v>
      </c>
      <c r="B39" s="98">
        <v>903</v>
      </c>
      <c r="C39" s="42" t="s">
        <v>295</v>
      </c>
      <c r="D39" s="42" t="s">
        <v>266</v>
      </c>
      <c r="E39" s="42" t="s">
        <v>408</v>
      </c>
      <c r="F39" s="99" t="s">
        <v>400</v>
      </c>
      <c r="G39" s="95">
        <f>'Прил.№4 ведомств.'!M474</f>
        <v>420</v>
      </c>
      <c r="H39" s="95">
        <f>'Прил.№4 ведомств.'!N474</f>
        <v>260</v>
      </c>
      <c r="I39" s="95">
        <f t="shared" si="7"/>
        <v>61.904761904761905</v>
      </c>
    </row>
    <row r="40" spans="1:9" ht="31.5" x14ac:dyDescent="0.25">
      <c r="A40" s="47" t="s">
        <v>708</v>
      </c>
      <c r="B40" s="6">
        <v>903</v>
      </c>
      <c r="C40" s="42" t="s">
        <v>295</v>
      </c>
      <c r="D40" s="42" t="s">
        <v>266</v>
      </c>
      <c r="E40" s="42" t="s">
        <v>410</v>
      </c>
      <c r="F40" s="42"/>
      <c r="G40" s="86">
        <f>G41</f>
        <v>1048</v>
      </c>
      <c r="H40" s="86">
        <f t="shared" ref="H40:H42" si="11">H41</f>
        <v>764.3</v>
      </c>
      <c r="I40" s="95">
        <f t="shared" si="7"/>
        <v>72.929389312977094</v>
      </c>
    </row>
    <row r="41" spans="1:9" ht="47.25" x14ac:dyDescent="0.25">
      <c r="A41" s="31" t="s">
        <v>208</v>
      </c>
      <c r="B41" s="6">
        <v>903</v>
      </c>
      <c r="C41" s="100" t="s">
        <v>295</v>
      </c>
      <c r="D41" s="100" t="s">
        <v>266</v>
      </c>
      <c r="E41" s="42" t="s">
        <v>411</v>
      </c>
      <c r="F41" s="100"/>
      <c r="G41" s="86">
        <f>G42</f>
        <v>1048</v>
      </c>
      <c r="H41" s="86">
        <f t="shared" si="11"/>
        <v>764.3</v>
      </c>
      <c r="I41" s="95">
        <f t="shared" si="7"/>
        <v>72.929389312977094</v>
      </c>
    </row>
    <row r="42" spans="1:9" ht="31.5" x14ac:dyDescent="0.25">
      <c r="A42" s="31" t="s">
        <v>299</v>
      </c>
      <c r="B42" s="6">
        <v>903</v>
      </c>
      <c r="C42" s="42" t="s">
        <v>295</v>
      </c>
      <c r="D42" s="42" t="s">
        <v>266</v>
      </c>
      <c r="E42" s="42" t="s">
        <v>411</v>
      </c>
      <c r="F42" s="42" t="s">
        <v>300</v>
      </c>
      <c r="G42" s="86">
        <f>G43</f>
        <v>1048</v>
      </c>
      <c r="H42" s="86">
        <f t="shared" si="11"/>
        <v>764.3</v>
      </c>
      <c r="I42" s="95">
        <f t="shared" si="7"/>
        <v>72.929389312977094</v>
      </c>
    </row>
    <row r="43" spans="1:9" ht="47.25" x14ac:dyDescent="0.25">
      <c r="A43" s="31" t="s">
        <v>399</v>
      </c>
      <c r="B43" s="6">
        <v>903</v>
      </c>
      <c r="C43" s="42" t="s">
        <v>295</v>
      </c>
      <c r="D43" s="42" t="s">
        <v>266</v>
      </c>
      <c r="E43" s="42" t="s">
        <v>411</v>
      </c>
      <c r="F43" s="42" t="s">
        <v>400</v>
      </c>
      <c r="G43" s="86">
        <f>'Прил.№4 ведомств.'!M480</f>
        <v>1048</v>
      </c>
      <c r="H43" s="86">
        <f>'Прил.№4 ведомств.'!N480</f>
        <v>764.3</v>
      </c>
      <c r="I43" s="95">
        <f t="shared" si="7"/>
        <v>72.929389312977094</v>
      </c>
    </row>
    <row r="44" spans="1:9" ht="47.25" x14ac:dyDescent="0.25">
      <c r="A44" s="31" t="s">
        <v>412</v>
      </c>
      <c r="B44" s="66">
        <v>903</v>
      </c>
      <c r="C44" s="100" t="s">
        <v>295</v>
      </c>
      <c r="D44" s="100" t="s">
        <v>266</v>
      </c>
      <c r="E44" s="100" t="s">
        <v>413</v>
      </c>
      <c r="F44" s="100"/>
      <c r="G44" s="95">
        <f>G45</f>
        <v>250</v>
      </c>
      <c r="H44" s="95">
        <f t="shared" ref="H44:H46" si="12">H45</f>
        <v>199.9</v>
      </c>
      <c r="I44" s="95">
        <f t="shared" si="7"/>
        <v>79.959999999999994</v>
      </c>
    </row>
    <row r="45" spans="1:9" ht="47.25" x14ac:dyDescent="0.25">
      <c r="A45" s="31" t="s">
        <v>208</v>
      </c>
      <c r="B45" s="6">
        <v>903</v>
      </c>
      <c r="C45" s="100" t="s">
        <v>295</v>
      </c>
      <c r="D45" s="100" t="s">
        <v>266</v>
      </c>
      <c r="E45" s="100" t="s">
        <v>414</v>
      </c>
      <c r="F45" s="100"/>
      <c r="G45" s="95">
        <f>G46</f>
        <v>250</v>
      </c>
      <c r="H45" s="95">
        <f t="shared" si="12"/>
        <v>199.9</v>
      </c>
      <c r="I45" s="95">
        <f t="shared" si="7"/>
        <v>79.959999999999994</v>
      </c>
    </row>
    <row r="46" spans="1:9" ht="31.5" x14ac:dyDescent="0.25">
      <c r="A46" s="31" t="s">
        <v>299</v>
      </c>
      <c r="B46" s="6">
        <v>903</v>
      </c>
      <c r="C46" s="100" t="s">
        <v>295</v>
      </c>
      <c r="D46" s="100" t="s">
        <v>266</v>
      </c>
      <c r="E46" s="100" t="s">
        <v>414</v>
      </c>
      <c r="F46" s="100" t="s">
        <v>300</v>
      </c>
      <c r="G46" s="95">
        <f>G47</f>
        <v>250</v>
      </c>
      <c r="H46" s="95">
        <f t="shared" si="12"/>
        <v>199.9</v>
      </c>
      <c r="I46" s="95">
        <f t="shared" si="7"/>
        <v>79.959999999999994</v>
      </c>
    </row>
    <row r="47" spans="1:9" ht="47.25" x14ac:dyDescent="0.25">
      <c r="A47" s="31" t="s">
        <v>399</v>
      </c>
      <c r="B47" s="6">
        <v>903</v>
      </c>
      <c r="C47" s="100" t="s">
        <v>295</v>
      </c>
      <c r="D47" s="100" t="s">
        <v>266</v>
      </c>
      <c r="E47" s="100" t="s">
        <v>414</v>
      </c>
      <c r="F47" s="100" t="s">
        <v>400</v>
      </c>
      <c r="G47" s="101">
        <f>'Прил.№4 ведомств.'!M484</f>
        <v>250</v>
      </c>
      <c r="H47" s="101">
        <f>'Прил.№4 ведомств.'!N484</f>
        <v>199.9</v>
      </c>
      <c r="I47" s="95">
        <f t="shared" si="7"/>
        <v>79.959999999999994</v>
      </c>
    </row>
    <row r="48" spans="1:9" ht="15.75" x14ac:dyDescent="0.25">
      <c r="A48" s="43" t="s">
        <v>734</v>
      </c>
      <c r="B48" s="43"/>
      <c r="C48" s="102"/>
      <c r="D48" s="102"/>
      <c r="E48" s="102"/>
      <c r="F48" s="102"/>
      <c r="G48" s="103">
        <f>G28</f>
        <v>1743</v>
      </c>
      <c r="H48" s="103">
        <f t="shared" ref="H48" si="13">H28</f>
        <v>1249.2</v>
      </c>
      <c r="I48" s="94">
        <f t="shared" si="7"/>
        <v>71.669535283993113</v>
      </c>
    </row>
  </sheetData>
  <mergeCells count="4">
    <mergeCell ref="A11:F11"/>
    <mergeCell ref="A28:F28"/>
    <mergeCell ref="A19:F19"/>
    <mergeCell ref="A7:I8"/>
  </mergeCells>
  <pageMargins left="0.39370078740157483" right="0.39370078740157483" top="1.1811023622047245" bottom="0.39370078740157483" header="0.31496062992125984" footer="0.31496062992125984"/>
  <pageSetup paperSize="9" scale="75" orientation="portrait" r:id="rId1"/>
  <rowBreaks count="1" manualBreakCount="1">
    <brk id="43" max="8" man="1"/>
  </rowBreaks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view="pageBreakPreview" zoomScale="93" zoomScaleNormal="100" zoomScaleSheetLayoutView="93" workbookViewId="0">
      <selection activeCell="J1" sqref="J1"/>
    </sheetView>
  </sheetViews>
  <sheetFormatPr defaultRowHeight="15" x14ac:dyDescent="0.25"/>
  <cols>
    <col min="1" max="1" width="36" customWidth="1"/>
    <col min="2" max="2" width="51.7109375" customWidth="1"/>
    <col min="3" max="3" width="12.5703125" hidden="1" customWidth="1"/>
    <col min="4" max="4" width="11.28515625" hidden="1" customWidth="1"/>
    <col min="5" max="5" width="10.5703125" hidden="1" customWidth="1"/>
    <col min="6" max="6" width="10.140625" hidden="1" customWidth="1"/>
    <col min="7" max="9" width="9.28515625" hidden="1" customWidth="1"/>
    <col min="10" max="10" width="13.28515625" customWidth="1"/>
    <col min="11" max="11" width="11.28515625" customWidth="1"/>
    <col min="12" max="12" width="9.140625" customWidth="1"/>
  </cols>
  <sheetData>
    <row r="1" spans="1:19" ht="16.5" x14ac:dyDescent="0.25">
      <c r="A1" s="13"/>
      <c r="J1" s="345" t="s">
        <v>1036</v>
      </c>
      <c r="L1" s="316"/>
    </row>
    <row r="2" spans="1:19" ht="16.5" x14ac:dyDescent="0.25">
      <c r="A2" s="13"/>
      <c r="J2" s="345" t="s">
        <v>1050</v>
      </c>
      <c r="L2" s="316"/>
    </row>
    <row r="3" spans="1:19" ht="16.5" x14ac:dyDescent="0.25">
      <c r="A3" s="13"/>
      <c r="B3" s="13"/>
      <c r="J3" s="345" t="s">
        <v>1052</v>
      </c>
      <c r="L3" s="316"/>
    </row>
    <row r="4" spans="1:19" ht="16.5" x14ac:dyDescent="0.25">
      <c r="A4" s="13"/>
      <c r="B4" s="13"/>
      <c r="C4" s="13"/>
      <c r="J4" s="345" t="s">
        <v>1051</v>
      </c>
      <c r="L4" s="316"/>
    </row>
    <row r="5" spans="1:19" ht="16.5" x14ac:dyDescent="0.25">
      <c r="A5" s="13"/>
      <c r="B5" s="13"/>
      <c r="C5" s="13"/>
      <c r="J5" s="345" t="s">
        <v>1053</v>
      </c>
      <c r="L5" s="316"/>
    </row>
    <row r="6" spans="1:19" ht="15.75" x14ac:dyDescent="0.25">
      <c r="A6" s="13"/>
      <c r="B6" s="13"/>
      <c r="C6" s="13"/>
    </row>
    <row r="7" spans="1:19" ht="16.5" x14ac:dyDescent="0.25">
      <c r="A7" s="328" t="s">
        <v>1034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9" ht="16.5" x14ac:dyDescent="0.25">
      <c r="A8" s="328" t="s">
        <v>1035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</row>
    <row r="9" spans="1:19" ht="15.75" x14ac:dyDescent="0.25">
      <c r="A9" s="104"/>
      <c r="B9" s="104"/>
      <c r="C9" s="104"/>
    </row>
    <row r="10" spans="1:19" ht="15.75" x14ac:dyDescent="0.25">
      <c r="A10" s="13"/>
      <c r="B10" s="13"/>
      <c r="J10" s="105"/>
    </row>
    <row r="11" spans="1:19" ht="78.75" x14ac:dyDescent="0.25">
      <c r="A11" s="93" t="s">
        <v>739</v>
      </c>
      <c r="B11" s="93" t="s">
        <v>740</v>
      </c>
      <c r="C11" s="93" t="s">
        <v>879</v>
      </c>
      <c r="D11" s="78" t="s">
        <v>843</v>
      </c>
      <c r="E11" s="78" t="s">
        <v>844</v>
      </c>
      <c r="F11" s="78" t="s">
        <v>964</v>
      </c>
      <c r="G11" s="216" t="s">
        <v>871</v>
      </c>
      <c r="H11" s="216" t="s">
        <v>872</v>
      </c>
      <c r="I11" s="216" t="s">
        <v>873</v>
      </c>
      <c r="J11" s="302" t="s">
        <v>1027</v>
      </c>
      <c r="K11" s="302" t="s">
        <v>1032</v>
      </c>
      <c r="L11" s="302" t="s">
        <v>1026</v>
      </c>
    </row>
    <row r="12" spans="1:19" ht="15.75" x14ac:dyDescent="0.25">
      <c r="A12" s="93">
        <v>1</v>
      </c>
      <c r="B12" s="93">
        <v>2</v>
      </c>
      <c r="C12" s="93">
        <v>3</v>
      </c>
      <c r="D12" s="78">
        <v>4</v>
      </c>
      <c r="E12" s="78">
        <v>5</v>
      </c>
      <c r="F12" s="78">
        <v>6</v>
      </c>
      <c r="G12" s="78">
        <v>7</v>
      </c>
      <c r="H12" s="78">
        <v>8</v>
      </c>
      <c r="I12" s="78">
        <v>9</v>
      </c>
      <c r="J12" s="78">
        <v>3</v>
      </c>
      <c r="K12" s="78">
        <v>4</v>
      </c>
      <c r="L12" s="78">
        <v>5</v>
      </c>
    </row>
    <row r="13" spans="1:19" ht="33" x14ac:dyDescent="0.25">
      <c r="A13" s="106" t="s">
        <v>741</v>
      </c>
      <c r="B13" s="107" t="s">
        <v>742</v>
      </c>
      <c r="C13" s="108" t="e">
        <f>C14-C16</f>
        <v>#REF!</v>
      </c>
      <c r="D13" s="108">
        <f t="shared" ref="D13:E13" si="0">D14-D16</f>
        <v>2034.1</v>
      </c>
      <c r="E13" s="108" t="e">
        <f t="shared" si="0"/>
        <v>#REF!</v>
      </c>
      <c r="F13" s="240" t="e">
        <f t="shared" ref="F13:F18" si="1">C13</f>
        <v>#REF!</v>
      </c>
      <c r="G13" s="108">
        <f t="shared" ref="G13:I13" si="2">G14-G16</f>
        <v>0</v>
      </c>
      <c r="H13" s="108">
        <f t="shared" si="2"/>
        <v>0</v>
      </c>
      <c r="I13" s="108">
        <f t="shared" si="2"/>
        <v>0</v>
      </c>
      <c r="J13" s="108">
        <f>J14-J16</f>
        <v>28796.780000000028</v>
      </c>
      <c r="K13" s="108">
        <f t="shared" ref="K13" si="3">K14-K16</f>
        <v>-3988.2923399999272</v>
      </c>
      <c r="L13" s="108"/>
    </row>
    <row r="14" spans="1:19" ht="31.5" x14ac:dyDescent="0.25">
      <c r="A14" s="109" t="s">
        <v>743</v>
      </c>
      <c r="B14" s="110" t="s">
        <v>744</v>
      </c>
      <c r="C14" s="68">
        <f>C15</f>
        <v>59703</v>
      </c>
      <c r="D14" s="68">
        <f t="shared" ref="D14:E14" si="4">D15</f>
        <v>2034.1</v>
      </c>
      <c r="E14" s="68">
        <f t="shared" si="4"/>
        <v>57668.9</v>
      </c>
      <c r="F14" s="240">
        <f t="shared" si="1"/>
        <v>59703</v>
      </c>
      <c r="G14" s="239">
        <f>G15</f>
        <v>0</v>
      </c>
      <c r="H14" s="239">
        <f t="shared" ref="H14:K14" si="5">H15</f>
        <v>0</v>
      </c>
      <c r="I14" s="239">
        <f t="shared" si="5"/>
        <v>0</v>
      </c>
      <c r="J14" s="238">
        <f t="shared" si="5"/>
        <v>59703</v>
      </c>
      <c r="K14" s="238">
        <f t="shared" si="5"/>
        <v>59703</v>
      </c>
      <c r="L14" s="238"/>
    </row>
    <row r="15" spans="1:19" ht="31.5" x14ac:dyDescent="0.25">
      <c r="A15" s="111" t="s">
        <v>745</v>
      </c>
      <c r="B15" s="112" t="s">
        <v>746</v>
      </c>
      <c r="C15" s="113">
        <v>59703</v>
      </c>
      <c r="D15" s="113">
        <v>2034.1</v>
      </c>
      <c r="E15" s="113">
        <f>C15-D15</f>
        <v>57668.9</v>
      </c>
      <c r="F15" s="238">
        <f t="shared" si="1"/>
        <v>59703</v>
      </c>
      <c r="G15" s="239">
        <v>0</v>
      </c>
      <c r="H15" s="239">
        <v>0</v>
      </c>
      <c r="I15" s="239">
        <v>0</v>
      </c>
      <c r="J15" s="274">
        <v>59703</v>
      </c>
      <c r="K15" s="274">
        <v>59703</v>
      </c>
      <c r="L15" s="274"/>
    </row>
    <row r="16" spans="1:19" ht="31.5" x14ac:dyDescent="0.25">
      <c r="A16" s="109" t="s">
        <v>747</v>
      </c>
      <c r="B16" s="110" t="s">
        <v>748</v>
      </c>
      <c r="C16" s="68" t="e">
        <f>C17</f>
        <v>#REF!</v>
      </c>
      <c r="D16" s="68">
        <f t="shared" ref="D16:E16" si="6">D17</f>
        <v>0</v>
      </c>
      <c r="E16" s="68" t="e">
        <f t="shared" si="6"/>
        <v>#REF!</v>
      </c>
      <c r="F16" s="240" t="e">
        <f t="shared" si="1"/>
        <v>#REF!</v>
      </c>
      <c r="G16" s="108">
        <f t="shared" ref="G16:I16" si="7">G17</f>
        <v>0</v>
      </c>
      <c r="H16" s="108">
        <f t="shared" si="7"/>
        <v>0</v>
      </c>
      <c r="I16" s="108">
        <f t="shared" si="7"/>
        <v>0</v>
      </c>
      <c r="J16" s="108">
        <f>J17</f>
        <v>30906.219999999972</v>
      </c>
      <c r="K16" s="108">
        <f t="shared" ref="K16" si="8">K17</f>
        <v>63691.292339999927</v>
      </c>
      <c r="L16" s="108"/>
      <c r="O16">
        <f>665442.2</f>
        <v>665442.19999999995</v>
      </c>
      <c r="P16">
        <v>598396.1</v>
      </c>
      <c r="Q16">
        <f>P16-O16</f>
        <v>-67046.099999999977</v>
      </c>
      <c r="R16">
        <v>-21968</v>
      </c>
      <c r="S16">
        <f>Q16-R16</f>
        <v>-45078.099999999977</v>
      </c>
    </row>
    <row r="17" spans="1:12" ht="31.5" x14ac:dyDescent="0.25">
      <c r="A17" s="111" t="s">
        <v>749</v>
      </c>
      <c r="B17" s="112" t="s">
        <v>750</v>
      </c>
      <c r="C17" s="113" t="e">
        <f>C14+C23</f>
        <v>#REF!</v>
      </c>
      <c r="D17" s="113"/>
      <c r="E17" s="113" t="e">
        <f t="shared" ref="E17" si="9">E14+E23</f>
        <v>#REF!</v>
      </c>
      <c r="F17" s="238" t="e">
        <f t="shared" si="1"/>
        <v>#REF!</v>
      </c>
      <c r="G17" s="239">
        <v>0</v>
      </c>
      <c r="H17" s="239">
        <v>0</v>
      </c>
      <c r="I17" s="239">
        <v>0</v>
      </c>
      <c r="J17" s="274">
        <f>J15+J23</f>
        <v>30906.219999999972</v>
      </c>
      <c r="K17" s="274">
        <f t="shared" ref="K17" si="10">K15+K23</f>
        <v>63691.292339999927</v>
      </c>
      <c r="L17" s="274"/>
    </row>
    <row r="18" spans="1:12" ht="16.5" x14ac:dyDescent="0.25">
      <c r="A18" s="109" t="s">
        <v>734</v>
      </c>
      <c r="B18" s="112"/>
      <c r="C18" s="4" t="e">
        <f>C15-C17</f>
        <v>#REF!</v>
      </c>
      <c r="D18" s="4">
        <f t="shared" ref="D18:E18" si="11">D15-D17</f>
        <v>2034.1</v>
      </c>
      <c r="E18" s="4" t="e">
        <f t="shared" si="11"/>
        <v>#REF!</v>
      </c>
      <c r="F18" s="240" t="e">
        <f t="shared" si="1"/>
        <v>#REF!</v>
      </c>
      <c r="G18" s="237">
        <f t="shared" ref="G18:I18" si="12">G15-G17</f>
        <v>0</v>
      </c>
      <c r="H18" s="237">
        <f t="shared" si="12"/>
        <v>0</v>
      </c>
      <c r="I18" s="237">
        <f t="shared" si="12"/>
        <v>0</v>
      </c>
      <c r="J18" s="237">
        <f>J15-J17</f>
        <v>28796.780000000028</v>
      </c>
      <c r="K18" s="237">
        <f t="shared" ref="K18" si="13">K15-K17</f>
        <v>-3988.2923399999272</v>
      </c>
      <c r="L18" s="237">
        <f>K18/J18*100</f>
        <v>-13.849785774659262</v>
      </c>
    </row>
    <row r="21" spans="1:12" x14ac:dyDescent="0.25">
      <c r="B21" t="s">
        <v>751</v>
      </c>
      <c r="C21" s="23" t="e">
        <f>'прил.№1 доходы'!C164</f>
        <v>#REF!</v>
      </c>
      <c r="D21">
        <v>201909.8</v>
      </c>
      <c r="E21" s="23" t="e">
        <f>C21-D21</f>
        <v>#REF!</v>
      </c>
      <c r="F21" s="23" t="e">
        <f>'прил.№1 доходы'!E164</f>
        <v>#REF!</v>
      </c>
      <c r="G21" t="e">
        <f>'прил.№1 доходы'!F164</f>
        <v>#REF!</v>
      </c>
      <c r="H21" t="e">
        <f>'прил.№1 доходы'!G164</f>
        <v>#REF!</v>
      </c>
      <c r="I21" t="e">
        <f>'прил.№1 доходы'!H164</f>
        <v>#REF!</v>
      </c>
      <c r="J21">
        <f>'прил.№1 доходы'!I164</f>
        <v>711208.60000000009</v>
      </c>
      <c r="K21">
        <f>'прил.№1 доходы'!J164</f>
        <v>534685.89234000002</v>
      </c>
    </row>
    <row r="22" spans="1:12" x14ac:dyDescent="0.25">
      <c r="B22" t="s">
        <v>752</v>
      </c>
      <c r="C22" s="23">
        <f>'прил.№2 Рд,пр'!D53</f>
        <v>665442.19999999995</v>
      </c>
      <c r="D22">
        <f>D21+3210</f>
        <v>205119.8</v>
      </c>
      <c r="E22" s="23">
        <f>C22-D22</f>
        <v>460322.39999999997</v>
      </c>
      <c r="F22" s="23">
        <f>'прил.№2 Рд,пр'!E53</f>
        <v>638134.33647058834</v>
      </c>
      <c r="G22">
        <f>'прил.№2 Рд,пр'!F53</f>
        <v>747288</v>
      </c>
      <c r="H22">
        <f>'прил.№2 Рд,пр'!G53</f>
        <v>743098.70000000007</v>
      </c>
      <c r="I22">
        <f>'прил.№2 Рд,пр'!H53</f>
        <v>741645.10000000009</v>
      </c>
      <c r="J22">
        <f>'прил.№2 Рд,пр'!I53</f>
        <v>740005.38000000012</v>
      </c>
      <c r="K22">
        <f>'прил.№2 Рд,пр'!J53</f>
        <v>530697.60000000009</v>
      </c>
    </row>
    <row r="23" spans="1:12" x14ac:dyDescent="0.25">
      <c r="B23" t="s">
        <v>753</v>
      </c>
      <c r="C23" s="23" t="e">
        <f>C21-C22</f>
        <v>#REF!</v>
      </c>
      <c r="D23" s="23">
        <f t="shared" ref="D23:F23" si="14">D21-D22</f>
        <v>-3210</v>
      </c>
      <c r="E23" s="23" t="e">
        <f t="shared" si="14"/>
        <v>#REF!</v>
      </c>
      <c r="F23" s="23" t="e">
        <f t="shared" si="14"/>
        <v>#REF!</v>
      </c>
      <c r="G23" t="e">
        <f>G21-G22</f>
        <v>#REF!</v>
      </c>
      <c r="H23" t="e">
        <f t="shared" ref="H23:I23" si="15">H21-H22</f>
        <v>#REF!</v>
      </c>
      <c r="I23" t="e">
        <f t="shared" si="15"/>
        <v>#REF!</v>
      </c>
      <c r="J23">
        <f>J21-J22</f>
        <v>-28796.780000000028</v>
      </c>
      <c r="K23">
        <f>K21-K22</f>
        <v>3988.2923399999272</v>
      </c>
    </row>
    <row r="25" spans="1:12" x14ac:dyDescent="0.25">
      <c r="K25" s="23"/>
    </row>
  </sheetData>
  <mergeCells count="2">
    <mergeCell ref="A7:L7"/>
    <mergeCell ref="A8:L8"/>
  </mergeCells>
  <pageMargins left="0.78740157480314965" right="0.23622047244094491" top="1.1811023622047245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'прил.№2 Рд,пр'!Область_печати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'прил.№6 публ.'!Область_печати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2018-10-25T04:06:02Z</dcterms:modified>
</cp:coreProperties>
</file>