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0" windowWidth="9705" windowHeight="5505" activeTab="0"/>
  </bookViews>
  <sheets>
    <sheet name="доходы Омсукчан" sheetId="1" r:id="rId1"/>
  </sheets>
  <definedNames>
    <definedName name="_xlnm.Print_Area" localSheetId="0">'доходы Омсукчан'!$A$1:$E$162</definedName>
  </definedNames>
  <calcPr fullCalcOnLoad="1"/>
</workbook>
</file>

<file path=xl/sharedStrings.xml><?xml version="1.0" encoding="utf-8"?>
<sst xmlns="http://schemas.openxmlformats.org/spreadsheetml/2006/main" count="293" uniqueCount="267">
  <si>
    <t>Налог на доходы физических лиц</t>
  </si>
  <si>
    <t>Единый налог на вмененный доход для отдельных видов деятельности</t>
  </si>
  <si>
    <t>1 01 00000 00 0000 000</t>
  </si>
  <si>
    <t xml:space="preserve">Код </t>
  </si>
  <si>
    <t>Наименование налога</t>
  </si>
  <si>
    <t>1 01 02000 01 0000 110</t>
  </si>
  <si>
    <t>1 01 02010 01 0000 110</t>
  </si>
  <si>
    <t>1 01 02020 01 0000 110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</si>
  <si>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</si>
  <si>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</si>
  <si>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</si>
  <si>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</si>
  <si>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</si>
  <si>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</si>
  <si>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</si>
  <si>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</si>
  <si>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</si>
  <si>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</si>
  <si>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</si>
  <si>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</si>
  <si>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</si>
  <si>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</si>
  <si>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</si>
  <si>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</si>
  <si>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</si>
  <si>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</si>
  <si>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НАЛОГИ НА ПРИБЫЛЬ, ДОХОДЫ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</si>
  <si>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</si>
  <si>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</si>
  <si>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</si>
  <si>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в том числе</t>
  </si>
  <si>
    <t>2 02 03000 00 0000 151</t>
  </si>
  <si>
    <t>Субвенции  бюджетам субъектов Российской Федерации и муниципальных образований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</si>
  <si>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</si>
  <si>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</si>
  <si>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</si>
  <si>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Денежные взыскания (штрафы) за административные правонарушения в области дорожного движения</t>
  </si>
  <si>
    <t>1 01 02030 01 0000 110</t>
  </si>
  <si>
    <t>1 01 02040 01 0000 110</t>
  </si>
  <si>
    <t>1 14 00000 00 0000 000</t>
  </si>
  <si>
    <t>1 14 02000 00 0000 000</t>
  </si>
  <si>
    <t>1 16 03000 00 0000 140</t>
  </si>
  <si>
    <t>1 16 06000 01 0000 140</t>
  </si>
  <si>
    <t>1 16 03010 01 0000 140</t>
  </si>
  <si>
    <t>1 16 28000 01 0000 140</t>
  </si>
  <si>
    <t>1 00 00000 00 0000 000</t>
  </si>
  <si>
    <t>НАЛОГОВЫЕ И НЕНАЛОГОВЫЕ ДОХОДЫ</t>
  </si>
  <si>
    <t>1 16 30000 01 0000 140</t>
  </si>
  <si>
    <t>Иные межбюджетные трансферты</t>
  </si>
  <si>
    <t>2 02 04000 00 0000 151</t>
  </si>
  <si>
    <t>Субвенции на осуществление государственных полномочий по обеспечению отдельных категорий граждан жилыми помещениями</t>
  </si>
  <si>
    <t>ВСЕГО ДОХОДОВ:</t>
  </si>
  <si>
    <t>1 13 00000 00 0000 000</t>
  </si>
  <si>
    <t>организация и осуществление деятельности по опеке и попечистельству над несовершеннолетними</t>
  </si>
  <si>
    <t>организация и осуществление деятельности по опеке и попечистельству над совершеннолетними</t>
  </si>
  <si>
    <t>1 05 02010 02 0000 110</t>
  </si>
  <si>
    <t>Земельный налог</t>
  </si>
  <si>
    <t>2 02 01000 00 0000 151</t>
  </si>
  <si>
    <t>Дотации бюджетам субъектов РФ и муниципальных образований</t>
  </si>
  <si>
    <t>Денежные взыскания (штрафы) за нарушение земельного законодательства</t>
  </si>
  <si>
    <t>1 16 03030 01 0000 140</t>
  </si>
  <si>
    <t>1 16 25030 01 0000 140</t>
  </si>
  <si>
    <t>1 16 25060 01 0000 140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</si>
  <si>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</si>
  <si>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</si>
  <si>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</si>
  <si>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2 02 04012 05 0000 151</t>
  </si>
  <si>
    <t>Межбюджетные трансферты бюджетам муниципальных районов на реализацию областной целевой программы "Развитие муниципальной службы в Магаданской области на 2011-2013 г.г."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</si>
  <si>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</si>
  <si>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</si>
  <si>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</si>
  <si>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</si>
  <si>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</si>
  <si>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</si>
  <si>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</si>
  <si>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</si>
  <si>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1 16 25000 00 0000 140</t>
  </si>
  <si>
    <t>Денежные взыскания (штрафы) за нарушение законодательства РФ о недрах, об особо охраняемых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</si>
  <si>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Денежные взыскания (штрафы) за нарушение законодательства РФ об охране и использовании животного мира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</si>
  <si>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</si>
  <si>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</si>
  <si>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</si>
  <si>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</si>
  <si>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</si>
  <si>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</si>
  <si>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</si>
  <si>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</si>
  <si>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117 00000 00 0000 000</t>
  </si>
  <si>
    <t>ПРОЧИЕ НЕНАЛОГОВЫЕ ДОХОДЫ</t>
  </si>
  <si>
    <t>117 05000 00 0000 180</t>
  </si>
  <si>
    <t>Прочие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</si>
  <si>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</si>
  <si>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</si>
  <si>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</si>
  <si>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</si>
  <si>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Прочие доходы от оказания платных услуг (работ) получателями средств бюджетов городских округов</t>
  </si>
  <si>
    <t>1 13 01994 04 0000 130</t>
  </si>
  <si>
    <t>1 14 02043 04 0000 410</t>
  </si>
  <si>
    <t>Прочие неналоговые доходы бюджетов городских округов</t>
  </si>
  <si>
    <t>1 17 05040 04 0000 180</t>
  </si>
  <si>
    <t>2 02 01001 04 0000 151</t>
  </si>
  <si>
    <t>2 02 02999 04 0000 151</t>
  </si>
  <si>
    <t>2 02 03003 04 0000 151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</si>
  <si>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</si>
  <si>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2 02 030007 04 0000 151</t>
  </si>
  <si>
    <t>2 02 01003 04 0000 151</t>
  </si>
  <si>
    <t>2 02 03024 04 0000 151</t>
  </si>
  <si>
    <t>Субвенции  бюджетам  городских округов на выполнение передаваемых полномочий субъектов Российской Федерации</t>
  </si>
  <si>
    <t>Налог на имущество физических лиц</t>
  </si>
  <si>
    <t>1 16 33040 01 0000 140</t>
  </si>
  <si>
    <t>1 16 43000 01 0000 140</t>
  </si>
  <si>
    <t>1 06 01000 00 0000 110</t>
  </si>
  <si>
    <t>1 06 01020 04 0000 110</t>
  </si>
  <si>
    <t>1 06 06000 00 0000 110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</si>
  <si>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</si>
  <si>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</si>
  <si>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</si>
  <si>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</si>
  <si>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 консульскими учреждениями Российской Федерации)</t>
  </si>
  <si>
    <t>1 13 01990 00 0000 130</t>
  </si>
  <si>
    <t>Прочие доходы от оказания платных услуг (работ)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</si>
  <si>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</si>
  <si>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</si>
  <si>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1 16 33000 01 0000 140</t>
  </si>
  <si>
    <t xml:space="preserve"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государстуенных и муниципальных нужд </t>
  </si>
  <si>
    <t>1 16 35000 01 0000 140</t>
  </si>
  <si>
    <t>1 16 35020 04 0000 140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</si>
  <si>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</si>
  <si>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</si>
  <si>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</si>
  <si>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</si>
  <si>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</si>
  <si>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Прочие субсидии бюджетам городских округов</t>
  </si>
  <si>
    <t>2 02 03003 00 0000 151</t>
  </si>
  <si>
    <t>Субвенции бюджетам на государственную регистрацию актов гражданского состояния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</si>
  <si>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</si>
  <si>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2 02 03007 00 0000 151</t>
  </si>
  <si>
    <t>Субвенции  местным бюджетам  на выполнение передаваемых полномочий субъектов Российской Федерации</t>
  </si>
  <si>
    <t>2 02 03024 00 0000 151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</si>
  <si>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 для нужд городских округов</t>
  </si>
  <si>
    <t>1 06 06032 04 0000 110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</si>
  <si>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</si>
  <si>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</si>
  <si>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</si>
  <si>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</si>
  <si>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1 16 90040 04 0000 140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</si>
  <si>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</si>
  <si>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</si>
  <si>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2 02 04025 00 0000 151</t>
  </si>
  <si>
    <t>2 02 04025 04 0000 151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</si>
  <si>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</si>
  <si>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</si>
  <si>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1 16 30030 01 0000 140</t>
  </si>
  <si>
    <t>Прочие денежные взыскания (штрафы) за правонарушения в области дорожного движения</t>
  </si>
  <si>
    <t>Единый сельскохозяйственный налог</t>
  </si>
  <si>
    <t>1 05 03010 01 0000 110</t>
  </si>
  <si>
    <t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2016 год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</si>
  <si>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</t>
  </si>
  <si>
    <t xml:space="preserve">Дотация на выравнивание бюджетной обеспеченности </t>
  </si>
  <si>
    <t>Субсидии бюджетам городских округов на укрепление материально-технической базы организаций дополнительного образования в рамках подпрограммы "Развитие дополнительного образования в Магаданской области на 2014-2020 годы" государственной программы Магаданской области "Развитие образования в Магаданской области на 2014-2020 годы"  на 2016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</si>
  <si>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</si>
  <si>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Распределение субвенций бюджетам городских округов  на осуществление полномочий по государственной регистрации актов гражданского состояния на 2016 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</si>
  <si>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</si>
  <si>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</si>
  <si>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 на 2016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</si>
  <si>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 на 2016 год</t>
  </si>
  <si>
    <t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</si>
  <si>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Субвенции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</si>
  <si>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2016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</si>
  <si>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2016 год:</t>
  </si>
  <si>
    <t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</si>
  <si>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на   2016  год</t>
  </si>
  <si>
    <t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на 2016 год</t>
  </si>
  <si>
    <t>Субсидии бюджетам городских округов на организацию дополнительного профессионального образования муниципальных служащих  по   подпрограмме  "Развитие государственной гражданской и муниципальной службы в Магаданской области " на 2014-2016 годы"  государственной  программы   Магаданской области " Развитие системы государственного и муниципального управления в Магаданской области " на 2014-2016 годы" на 2016 год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</si>
  <si>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</si>
  <si>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</si>
  <si>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</si>
  <si>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налоговые</t>
  </si>
  <si>
    <t>неналоговые</t>
  </si>
  <si>
    <t>безвозмездные</t>
  </si>
  <si>
    <t>итого</t>
  </si>
  <si>
    <t>Межбюджетные трансферты бюджетам городских округов  на комплектование книжных фондов библиотек муниципальных образований Магаданской области в рамках подпрограммы "Развитие   библиотечного дела Магаданской области" на 2014-2020 годы" государственной программы Магаданской области "Развитие культуры в Магаданской области" на 2014-2020 годы" на 2016 год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</si>
  <si>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</si>
  <si>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2 02 04999 00 0000 151</t>
  </si>
  <si>
    <t>Прочие межбюджетные трансферты, передаваемые бюджетам</t>
  </si>
  <si>
    <t>2 02 04999 04 0000 151</t>
  </si>
  <si>
    <t>Субсидия бюджетам городских округов для финансового обеспечения  решения вопросов местного значения поселений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2016 год</t>
  </si>
  <si>
    <t>Субсидия бюджетам городских округов на осуществление мероприятий по реконструкции и капитальному ремонту общеобразовательных организаций в рамках реализации  подпрограммы"Развитие общего образования в Магаданской области" на 2014-2020 годы" государственной программы  Магаданской области "Развитие образования в Магаданской области" на 2014-2020 годы" на 2016 год</t>
  </si>
  <si>
    <t>Субсидия бюджетам городских округов на  приобретение школьных автобусов в рамках реализации  подпрограммы"Развитие общего образования в Магаданской области" на 2014-2020 годы" государственной программы  Магаданской области "Развитие образования в Магаданской области" на 2014-2020 годы" на 2016 год</t>
  </si>
  <si>
    <t>Субсидий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 на 2016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</si>
  <si>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</si>
  <si>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1 12 01010 01 0000 120</t>
  </si>
  <si>
    <t>1 12 01030 01 0000 120</t>
  </si>
  <si>
    <t>1 12 01040 01 0000 120</t>
  </si>
  <si>
    <t>1 14 06000 00 0000 430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</si>
  <si>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</si>
  <si>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</si>
  <si>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</si>
  <si>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</si>
  <si>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в том числе:</t>
  </si>
  <si>
    <t>1 12 01020 01 0000 120</t>
  </si>
  <si>
    <t>Плата за выбросы загрязняющих веществ в атмосферный воздух передвижными объектами</t>
  </si>
  <si>
    <t>Субсидии бюджетам городских округлв на реализацию мероприятий государственной программы Магаданской области "Социально-экономическое и культурное развитие коренных малочисленных народов Севера, проживающих на территории Магаданской области" на 2014-2018 годы" на 2016 год:</t>
  </si>
  <si>
    <t>строительство (реконструкция) и капитальный ремонт жилых домов в местах проживания коренных малочисленных народов Севера, улучшение социально-бытовых условий представителей коренных малочисленных народов Севера</t>
  </si>
  <si>
    <t>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малочисленных народов Севера, занятых традиционнвм природопользованием</t>
  </si>
  <si>
    <t>Субсидии бюджетам муниципальных образований на реализацию подпрограммы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годы"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2014-2020 годы" на 2016 год</t>
  </si>
  <si>
    <t>Субсидии бюджетам муниципальных образований на осуществление мероприятий по подготовке к осенне-зимнему отопительному периоду 2016-2017 годов в рамках подпрограммы "Развитие и модернизация коммунальной инфраструктуры на територии Магаданской области" государственной программы Магаданской области "Содействие муниципальным образованиям Магаданской области в реализации муниципалных программ комплексного развития коммунальной инфраструктуры" на 2014-2017 годы" на 2016 год</t>
  </si>
  <si>
    <t xml:space="preserve">Дотация  на поддержку мер по обеспечению сбалансированности бюджетов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2015-2020годы </t>
  </si>
  <si>
    <t>Субсидии бюджетам городских округов на питание (завтрак или полддник) детей из многодетных детей,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на 2016 год</t>
  </si>
  <si>
    <t>2 02 03121 04 0000 151</t>
  </si>
  <si>
    <t>2 02 03121 00 0000 151</t>
  </si>
  <si>
    <t xml:space="preserve"> Субвенции бюджетам на проведение Всероссийской сельскохозяйственной переписи в 2016 году</t>
  </si>
  <si>
    <t xml:space="preserve"> Субвенции бюджетам городских округов на проведение Всероссийской сельскохозяйственной переписи в 2016 году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</si>
  <si>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</si>
  <si>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</si>
  <si>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1 13 02994 04 0000 130</t>
  </si>
  <si>
    <t xml:space="preserve"> Прочие доходы от компенсации затрат государства</t>
  </si>
  <si>
    <t xml:space="preserve"> Прочие доходы от компенсации затрат бюджетов городских округов 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</si>
  <si>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</si>
  <si>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</si>
  <si>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</si>
  <si>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</si>
  <si>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</si>
  <si>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1 17 00000 00 0000 000</t>
  </si>
  <si>
    <t>1 17 05000 00 0000 180</t>
  </si>
  <si>
    <t>2 02 01999 04 0000 151</t>
  </si>
  <si>
    <t>Прочие дотации бюджетам городских округов</t>
  </si>
  <si>
    <t>Субсидии бюджетам городских округов на организацию повышения квалификации лиц, замещающих муниципальные должности в Магаданской области по подпрограмме «Повышение квалификации лиц, замещающих муниципальные должности в Магаданской области» на 2014-2016 годы» государственной программы Магаданской области «Развитие системы государственного и муниципального управления в Магаданской области» на 2014-2016 годы» на 2016 год</t>
  </si>
  <si>
    <t>Субсидии бюджетам городских округов на реализацию мероприятийгосударственной программы Магаданской области «Развитие системы государственного и муниципального управления в Магаданской области» на 2014-2016 годы» на 2016 год</t>
  </si>
  <si>
    <t>Субсидии бюджетам городских округов на организацию и проведение областных универсальных ярмарок</t>
  </si>
  <si>
    <t>Субсидии бюджетам городских округов на реализацию муниципальных программ развития торговли в рамках подпрограммы «Развитие торговли на территории Магаданской области» на 2016-2020 годы» государственной программы Магаданской области «Развитие сельского хозяйства Магаданской области» на 2014-2020 годы» на 2016 год</t>
  </si>
  <si>
    <t xml:space="preserve">Субсидии бюджетам муниципальных образований на реалицацию программы развития малого и среднего предпринимательства в Магаданской области </t>
  </si>
  <si>
    <t>Субсидии бюджетам городских округов на реализацию мероприятий подпрограммы "Оказание поддержки в обеспечении жильем молодых семей" на 2014-2020 годы" государственной программы Магаданской области "Обеспечение доступным и комфортным жильем жителей Магаданской области" на 2014-2020 годы" на 2016 год</t>
  </si>
  <si>
    <t>2 02 02000 00 0000 151</t>
  </si>
  <si>
    <t>Субсидии бюджетам бюджетной системы Российской Федерации (межбюджетные субсидии)</t>
  </si>
  <si>
    <t>1 16 21040 04 0000 140</t>
  </si>
  <si>
    <t>1 16 21000 00 0000 140</t>
  </si>
  <si>
    <t>Процент исполнения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</si>
  <si>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</si>
  <si>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-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</si>
  <si>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</si>
  <si>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</si>
  <si>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</si>
  <si>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1 11 09044 04 0000 120</t>
  </si>
  <si>
    <t>1 14 04000 00 0000 420</t>
  </si>
  <si>
    <t>Доходы от продажи нематериальных активов</t>
  </si>
  <si>
    <t>Доходы от продажи нематериальных активов, находящихся в собственности городских округов</t>
  </si>
  <si>
    <t>1 14 04040 04 0000 420</t>
  </si>
  <si>
    <t>1 16 35000 00 0000 140</t>
  </si>
  <si>
    <t>1 17 01000 00 0000 180</t>
  </si>
  <si>
    <t>Невыясненные поступления</t>
  </si>
  <si>
    <t>Невыясненные поступления, зачисляемые в бюджеты городских округов</t>
  </si>
  <si>
    <t>1 17 01040 04 0000 180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</si>
  <si>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</si>
  <si>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</si>
  <si>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 xml:space="preserve">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</si>
  <si>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2 19 04000 04 0000 151</t>
  </si>
  <si>
    <t>План на       2016 год (тыс.руб.)</t>
  </si>
  <si>
    <t>Исполнено     за 2016 год (тыс.руб.)</t>
  </si>
  <si>
    <t xml:space="preserve">Исполнение доходов бюджета Омсукчанского городского округа за 2016 год по основным источникам </t>
  </si>
  <si>
    <t xml:space="preserve">к решению СПОГО 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</si>
  <si>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2016 год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</si>
  <si>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2016 год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</si>
  <si>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Иные межбюджетные трансферты бюджетам городских округов на на благоустройство их территории на 2016 год</t>
  </si>
  <si>
    <t>Иные межбюджетные трансферты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не территории Магаданской области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</si>
  <si>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от 27.04.2017г. № 14</t>
  </si>
  <si>
    <t>Приложение № 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</si>
</sst>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0.0%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14" fillId="0" borderId="0" xfId="53" applyNumberFormat="1" applyFont="1" applyFill="1">
      <alignment/>
      <protection/>
    </xf>
    <xf numFmtId="0" fontId="13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top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justify" vertical="top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vertical="top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2" fillId="0" borderId="12" xfId="0" applyNumberFormat="1" applyFont="1" applyFill="1" applyBorder="1" applyAlignment="1">
      <alignment horizontal="justify" vertical="top" wrapText="1"/>
    </xf>
    <xf numFmtId="0" fontId="2" fillId="0" borderId="11" xfId="0" applyNumberFormat="1" applyFon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12" fillId="0" borderId="11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top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tabSelected="1" view="pageBreakPreview" zoomScale="80" zoomScaleNormal="80" zoomScaleSheetLayoutView="80" zoomScalePageLayoutView="0" workbookViewId="0" topLeftCell="A1">
      <selection activeCell="D3" sqref="D3"/>
    </sheetView>
  </sheetViews>
  <sheetFormatPr defaultColWidth="9.140625" defaultRowHeight="12.75"/>
  <cols>
    <col min="1" max="1" width="27.7109375" style="1" customWidth="1"/>
    <col min="2" max="2" width="81.140625" style="1" customWidth="1"/>
    <col min="3" max="3" width="15.00390625" style="1" customWidth="1"/>
    <col min="4" max="4" width="14.57421875" style="1" customWidth="1"/>
    <col min="5" max="5" width="13.140625" style="3" customWidth="1"/>
    <col min="6" max="6" width="11.57421875" style="1" customWidth="1"/>
    <col min="7" max="7" width="11.140625" style="1" customWidth="1"/>
    <col min="8" max="8" width="16.28125" style="1" customWidth="1"/>
    <col min="9" max="9" width="14.140625" style="1" customWidth="1"/>
    <col min="10" max="10" width="9.140625" style="1" customWidth="1"/>
    <col min="11" max="11" width="9.140625" style="1" bestFit="1" customWidth="1"/>
    <col min="12" max="16384" width="9.140625" style="1" customWidth="1"/>
  </cols>
  <sheetData>
    <row r="1" spans="3:4" ht="20.25">
      <c r="C1" s="2"/>
      <c r="D1" s="2" t="s">
        <v>266</v>
      </c>
    </row>
    <row r="2" spans="3:4" ht="20.25">
      <c r="C2" s="2"/>
      <c r="D2" s="2" t="s">
        <v>260</v>
      </c>
    </row>
    <row r="3" spans="3:4" ht="20.25">
      <c r="C3" s="2"/>
      <c r="D3" s="2" t="s">
        <v>265</v>
      </c>
    </row>
    <row r="4" spans="3:4" ht="20.25">
      <c r="C4" s="2"/>
      <c r="D4" s="2"/>
    </row>
    <row r="5" spans="3:4" ht="20.25">
      <c r="C5" s="2"/>
      <c r="D5" s="2"/>
    </row>
    <row r="6" spans="1:5" ht="17.25" customHeight="1">
      <c r="A6" s="4" t="s">
        <v>259</v>
      </c>
      <c r="B6" s="4"/>
      <c r="C6" s="4"/>
      <c r="D6" s="4"/>
      <c r="E6" s="4"/>
    </row>
    <row r="7" spans="1:5" ht="13.5" customHeight="1">
      <c r="A7" s="5"/>
      <c r="B7" s="5"/>
      <c r="C7" s="6"/>
      <c r="E7" s="7"/>
    </row>
    <row r="8" spans="1:9" ht="41.25" customHeight="1">
      <c r="A8" s="8" t="s">
        <v>3</v>
      </c>
      <c r="B8" s="9" t="s">
        <v>4</v>
      </c>
      <c r="C8" s="10" t="s">
        <v>257</v>
      </c>
      <c r="D8" s="10" t="s">
        <v>258</v>
      </c>
      <c r="E8" s="10" t="s">
        <v>237</v>
      </c>
      <c r="G8" s="1" t="s">
        <v>177</v>
      </c>
      <c r="H8" s="1">
        <f>SUM(C10+C16+C22+C27+C33)</f>
        <v>210547</v>
      </c>
      <c r="I8" s="1">
        <f>SUM(D10+D16+D22+D27+D33)</f>
        <v>216162.37000000002</v>
      </c>
    </row>
    <row r="9" spans="1:9" ht="20.25" customHeight="1">
      <c r="A9" s="11" t="s">
        <v>45</v>
      </c>
      <c r="B9" s="12" t="s">
        <v>46</v>
      </c>
      <c r="C9" s="13">
        <f>C10+C16+C22+C27+C33+C38+C46+C52+C57+C65+C89+C92</f>
        <v>247915.6</v>
      </c>
      <c r="D9" s="13">
        <f>D10+D16+D22+D27+D33+D38+D46+D52+D57+D65+D89+D92</f>
        <v>258107.07000000004</v>
      </c>
      <c r="E9" s="14">
        <f>SUM(D9/C9)</f>
        <v>1.0411086272909007</v>
      </c>
      <c r="F9" s="15"/>
      <c r="G9" s="1" t="s">
        <v>178</v>
      </c>
      <c r="H9" s="1">
        <f>SUM(C38+C46+C52+C57+C65+C92)</f>
        <v>37368.6</v>
      </c>
      <c r="I9" s="1">
        <f>SUM(D38+D46+D52+D57+D65+D92)</f>
        <v>41944.7</v>
      </c>
    </row>
    <row r="10" spans="1:9" ht="15" customHeight="1">
      <c r="A10" s="16" t="s">
        <v>2</v>
      </c>
      <c r="B10" s="12" t="s">
        <v>26</v>
      </c>
      <c r="C10" s="13">
        <f>C11</f>
        <v>194046.8</v>
      </c>
      <c r="D10" s="13">
        <f>D11</f>
        <v>199531.14</v>
      </c>
      <c r="E10" s="14">
        <f aca="true" t="shared" si="0" ref="E10:E78">SUM(D10/C10)</f>
        <v>1.0282629757357504</v>
      </c>
      <c r="G10" s="1" t="s">
        <v>179</v>
      </c>
      <c r="H10" s="1">
        <f>SUM(C97)</f>
        <v>359370.2</v>
      </c>
      <c r="I10" s="1">
        <f>SUM(D97)</f>
        <v>355921.35552</v>
      </c>
    </row>
    <row r="11" spans="1:9" ht="18" customHeight="1">
      <c r="A11" s="17" t="s">
        <v>5</v>
      </c>
      <c r="B11" s="18" t="s">
        <v>0</v>
      </c>
      <c r="C11" s="13">
        <f>SUM(C12:C15)</f>
        <v>194046.8</v>
      </c>
      <c r="D11" s="13">
        <f>SUM(D12:D15)</f>
        <v>199531.14</v>
      </c>
      <c r="E11" s="14">
        <f t="shared" si="0"/>
        <v>1.0282629757357504</v>
      </c>
      <c r="G11" s="1" t="s">
        <v>180</v>
      </c>
      <c r="H11" s="1">
        <f>SUM(H8:H10)</f>
        <v>607285.8</v>
      </c>
      <c r="I11" s="1">
        <f>SUM(I8:I10)</f>
        <v>614028.42552</v>
      </c>
    </row>
    <row r="12" spans="1:9" ht="64.5" customHeight="1">
      <c r="A12" s="10" t="s">
        <v>6</v>
      </c>
      <c r="B12" s="19" t="s">
        <v>63</v>
      </c>
      <c r="C12" s="20">
        <v>193658.4</v>
      </c>
      <c r="D12" s="20">
        <v>199197.54</v>
      </c>
      <c r="E12" s="21">
        <f t="shared" si="0"/>
        <v>1.0286026322638213</v>
      </c>
      <c r="H12" s="1">
        <v>198198.5</v>
      </c>
      <c r="I12" s="1">
        <v>203863.8</v>
      </c>
    </row>
    <row r="13" spans="1:9" ht="95.25" customHeight="1">
      <c r="A13" s="10" t="s">
        <v>7</v>
      </c>
      <c r="B13" s="22" t="s">
        <v>64</v>
      </c>
      <c r="C13" s="20">
        <v>292.3</v>
      </c>
      <c r="D13" s="20">
        <v>8.2</v>
      </c>
      <c r="E13" s="21">
        <f t="shared" si="0"/>
        <v>0.028053369825521722</v>
      </c>
      <c r="H13" s="1">
        <f>SUM(H8-H12)</f>
        <v>12348.5</v>
      </c>
      <c r="I13" s="1">
        <f>SUM(I8-I12)</f>
        <v>12298.570000000036</v>
      </c>
    </row>
    <row r="14" spans="1:5" ht="31.5" customHeight="1">
      <c r="A14" s="10" t="s">
        <v>37</v>
      </c>
      <c r="B14" s="22" t="s">
        <v>65</v>
      </c>
      <c r="C14" s="20">
        <v>75.2</v>
      </c>
      <c r="D14" s="20">
        <v>320.5</v>
      </c>
      <c r="E14" s="21">
        <f t="shared" si="0"/>
        <v>4.261968085106383</v>
      </c>
    </row>
    <row r="15" spans="1:5" ht="78.75">
      <c r="A15" s="10" t="s">
        <v>38</v>
      </c>
      <c r="B15" s="22" t="s">
        <v>190</v>
      </c>
      <c r="C15" s="20">
        <v>20.900000000000002</v>
      </c>
      <c r="D15" s="20">
        <v>4.9</v>
      </c>
      <c r="E15" s="21">
        <f t="shared" si="0"/>
        <v>0.23444976076555024</v>
      </c>
    </row>
    <row r="16" spans="1:5" ht="33" customHeight="1">
      <c r="A16" s="23" t="s">
        <v>69</v>
      </c>
      <c r="B16" s="24" t="s">
        <v>68</v>
      </c>
      <c r="C16" s="13">
        <f>C17</f>
        <v>4151.7</v>
      </c>
      <c r="D16" s="13">
        <f>D17</f>
        <v>4332.650000000001</v>
      </c>
      <c r="E16" s="14">
        <f t="shared" si="0"/>
        <v>1.0435845557241614</v>
      </c>
    </row>
    <row r="17" spans="1:5" ht="31.5">
      <c r="A17" s="25" t="s">
        <v>71</v>
      </c>
      <c r="B17" s="26" t="s">
        <v>70</v>
      </c>
      <c r="C17" s="20">
        <f>SUM(C18:C20)</f>
        <v>4151.7</v>
      </c>
      <c r="D17" s="20">
        <f>SUM(D18:D21)</f>
        <v>4332.650000000001</v>
      </c>
      <c r="E17" s="14">
        <f t="shared" si="0"/>
        <v>1.0435845557241614</v>
      </c>
    </row>
    <row r="18" spans="1:5" ht="63">
      <c r="A18" s="25" t="s">
        <v>79</v>
      </c>
      <c r="B18" s="22" t="s">
        <v>80</v>
      </c>
      <c r="C18" s="20">
        <v>1308.9</v>
      </c>
      <c r="D18" s="20">
        <v>1481.15</v>
      </c>
      <c r="E18" s="21">
        <f t="shared" si="0"/>
        <v>1.1315990526396211</v>
      </c>
    </row>
    <row r="19" spans="1:5" ht="78.75">
      <c r="A19" s="27" t="s">
        <v>81</v>
      </c>
      <c r="B19" s="22" t="s">
        <v>82</v>
      </c>
      <c r="C19" s="20">
        <v>21.1</v>
      </c>
      <c r="D19" s="20">
        <v>22.6</v>
      </c>
      <c r="E19" s="21">
        <f t="shared" si="0"/>
        <v>1.0710900473933649</v>
      </c>
    </row>
    <row r="20" spans="1:5" ht="63">
      <c r="A20" s="27" t="s">
        <v>83</v>
      </c>
      <c r="B20" s="22" t="s">
        <v>84</v>
      </c>
      <c r="C20" s="20">
        <v>2821.7</v>
      </c>
      <c r="D20" s="20">
        <v>3048.3</v>
      </c>
      <c r="E20" s="21">
        <f t="shared" si="0"/>
        <v>1.080306198391041</v>
      </c>
    </row>
    <row r="21" spans="1:5" ht="63">
      <c r="A21" s="27" t="s">
        <v>83</v>
      </c>
      <c r="B21" s="22" t="s">
        <v>238</v>
      </c>
      <c r="C21" s="20">
        <v>0</v>
      </c>
      <c r="D21" s="20">
        <v>-219.4</v>
      </c>
      <c r="E21" s="21" t="s">
        <v>239</v>
      </c>
    </row>
    <row r="22" spans="1:5" ht="18.75">
      <c r="A22" s="17" t="s">
        <v>8</v>
      </c>
      <c r="B22" s="18" t="s">
        <v>9</v>
      </c>
      <c r="C22" s="13">
        <f>SUM(C23:C26)</f>
        <v>10335.599999999999</v>
      </c>
      <c r="D22" s="13">
        <f>SUM(D23:D26)</f>
        <v>9843</v>
      </c>
      <c r="E22" s="14">
        <f t="shared" si="0"/>
        <v>0.9523394868222456</v>
      </c>
    </row>
    <row r="23" spans="1:5" ht="18.75">
      <c r="A23" s="10" t="s">
        <v>55</v>
      </c>
      <c r="B23" s="19" t="s">
        <v>1</v>
      </c>
      <c r="C23" s="20">
        <v>10049</v>
      </c>
      <c r="D23" s="20">
        <v>9546.45</v>
      </c>
      <c r="E23" s="21">
        <f t="shared" si="0"/>
        <v>0.9499900487610708</v>
      </c>
    </row>
    <row r="24" spans="1:5" ht="31.5">
      <c r="A24" s="8" t="s">
        <v>151</v>
      </c>
      <c r="B24" s="28" t="s">
        <v>150</v>
      </c>
      <c r="C24" s="20">
        <v>2.8</v>
      </c>
      <c r="D24" s="20">
        <v>1.15</v>
      </c>
      <c r="E24" s="21">
        <f t="shared" si="0"/>
        <v>0.4107142857142857</v>
      </c>
    </row>
    <row r="25" spans="1:5" ht="18.75">
      <c r="A25" s="8" t="s">
        <v>155</v>
      </c>
      <c r="B25" s="28" t="s">
        <v>154</v>
      </c>
      <c r="C25" s="20">
        <v>20.8</v>
      </c>
      <c r="D25" s="20">
        <v>0</v>
      </c>
      <c r="E25" s="21">
        <f t="shared" si="0"/>
        <v>0</v>
      </c>
    </row>
    <row r="26" spans="1:5" ht="31.5">
      <c r="A26" s="8" t="s">
        <v>213</v>
      </c>
      <c r="B26" s="28" t="s">
        <v>214</v>
      </c>
      <c r="C26" s="20">
        <v>263</v>
      </c>
      <c r="D26" s="20">
        <v>295.4</v>
      </c>
      <c r="E26" s="21">
        <f t="shared" si="0"/>
        <v>1.1231939163498097</v>
      </c>
    </row>
    <row r="27" spans="1:6" s="15" customFormat="1" ht="18.75">
      <c r="A27" s="17" t="s">
        <v>10</v>
      </c>
      <c r="B27" s="18" t="s">
        <v>11</v>
      </c>
      <c r="C27" s="13">
        <f>C28+C30</f>
        <v>211</v>
      </c>
      <c r="D27" s="13">
        <f>D28+D30</f>
        <v>402.89</v>
      </c>
      <c r="E27" s="14">
        <f t="shared" si="0"/>
        <v>1.909431279620853</v>
      </c>
      <c r="F27" s="1"/>
    </row>
    <row r="28" spans="1:5" ht="18.75">
      <c r="A28" s="17" t="s">
        <v>111</v>
      </c>
      <c r="B28" s="18" t="s">
        <v>108</v>
      </c>
      <c r="C28" s="13">
        <f>C29</f>
        <v>68</v>
      </c>
      <c r="D28" s="13">
        <f>D29</f>
        <v>241.85</v>
      </c>
      <c r="E28" s="14">
        <f t="shared" si="0"/>
        <v>3.5566176470588236</v>
      </c>
    </row>
    <row r="29" spans="1:5" ht="31.5">
      <c r="A29" s="10" t="s">
        <v>112</v>
      </c>
      <c r="B29" s="29" t="s">
        <v>146</v>
      </c>
      <c r="C29" s="20">
        <v>68</v>
      </c>
      <c r="D29" s="20">
        <v>241.85</v>
      </c>
      <c r="E29" s="21">
        <f t="shared" si="0"/>
        <v>3.5566176470588236</v>
      </c>
    </row>
    <row r="30" spans="1:5" ht="18.75">
      <c r="A30" s="17" t="s">
        <v>113</v>
      </c>
      <c r="B30" s="18" t="s">
        <v>56</v>
      </c>
      <c r="C30" s="13">
        <f>C32+C31</f>
        <v>143</v>
      </c>
      <c r="D30" s="13">
        <f>D32+D31</f>
        <v>161.04000000000002</v>
      </c>
      <c r="E30" s="14">
        <f t="shared" si="0"/>
        <v>1.1261538461538463</v>
      </c>
    </row>
    <row r="31" spans="1:5" ht="31.5">
      <c r="A31" s="10" t="s">
        <v>140</v>
      </c>
      <c r="B31" s="29" t="s">
        <v>142</v>
      </c>
      <c r="C31" s="20">
        <v>84.6</v>
      </c>
      <c r="D31" s="20">
        <v>45.34</v>
      </c>
      <c r="E31" s="21">
        <f t="shared" si="0"/>
        <v>0.5359338061465722</v>
      </c>
    </row>
    <row r="32" spans="1:5" ht="30" customHeight="1">
      <c r="A32" s="10" t="s">
        <v>141</v>
      </c>
      <c r="B32" s="29" t="s">
        <v>143</v>
      </c>
      <c r="C32" s="20">
        <v>58.4</v>
      </c>
      <c r="D32" s="20">
        <v>115.7</v>
      </c>
      <c r="E32" s="21">
        <f t="shared" si="0"/>
        <v>1.981164383561644</v>
      </c>
    </row>
    <row r="33" spans="1:6" ht="18.75">
      <c r="A33" s="17" t="s">
        <v>12</v>
      </c>
      <c r="B33" s="18" t="s">
        <v>114</v>
      </c>
      <c r="C33" s="13">
        <f>C34+C36</f>
        <v>1801.8999999999999</v>
      </c>
      <c r="D33" s="13">
        <f>D34+D36</f>
        <v>2052.69</v>
      </c>
      <c r="E33" s="14">
        <f t="shared" si="0"/>
        <v>1.1391808646428772</v>
      </c>
      <c r="F33" s="15"/>
    </row>
    <row r="34" spans="1:5" ht="32.25" customHeight="1">
      <c r="A34" s="17" t="s">
        <v>13</v>
      </c>
      <c r="B34" s="18" t="s">
        <v>14</v>
      </c>
      <c r="C34" s="13">
        <f>C35</f>
        <v>1800.3</v>
      </c>
      <c r="D34" s="13">
        <f>D35</f>
        <v>2051.15</v>
      </c>
      <c r="E34" s="14">
        <f t="shared" si="0"/>
        <v>1.1393378881297562</v>
      </c>
    </row>
    <row r="35" spans="1:5" ht="47.25">
      <c r="A35" s="10" t="s">
        <v>15</v>
      </c>
      <c r="B35" s="19" t="s">
        <v>72</v>
      </c>
      <c r="C35" s="20">
        <v>1800.3</v>
      </c>
      <c r="D35" s="20">
        <v>2051.15</v>
      </c>
      <c r="E35" s="21">
        <f t="shared" si="0"/>
        <v>1.1393378881297562</v>
      </c>
    </row>
    <row r="36" spans="1:5" ht="45.75" customHeight="1">
      <c r="A36" s="17" t="s">
        <v>116</v>
      </c>
      <c r="B36" s="30" t="s">
        <v>118</v>
      </c>
      <c r="C36" s="13">
        <f>SUM(C37)</f>
        <v>1.6000000000000014</v>
      </c>
      <c r="D36" s="13">
        <f>SUM(D37)</f>
        <v>1.54</v>
      </c>
      <c r="E36" s="14">
        <f t="shared" si="0"/>
        <v>0.9624999999999991</v>
      </c>
    </row>
    <row r="37" spans="1:6" ht="63">
      <c r="A37" s="10" t="s">
        <v>117</v>
      </c>
      <c r="B37" s="19" t="s">
        <v>115</v>
      </c>
      <c r="C37" s="20">
        <f>25-23.4</f>
        <v>1.6000000000000014</v>
      </c>
      <c r="D37" s="20">
        <v>1.54</v>
      </c>
      <c r="E37" s="21">
        <f t="shared" si="0"/>
        <v>0.9624999999999991</v>
      </c>
      <c r="F37" s="15"/>
    </row>
    <row r="38" spans="1:5" ht="31.5">
      <c r="A38" s="17" t="s">
        <v>16</v>
      </c>
      <c r="B38" s="30" t="s">
        <v>17</v>
      </c>
      <c r="C38" s="13">
        <f>C39</f>
        <v>28400</v>
      </c>
      <c r="D38" s="13">
        <f>D39+D44</f>
        <v>32489</v>
      </c>
      <c r="E38" s="14">
        <f t="shared" si="0"/>
        <v>1.1439788732394367</v>
      </c>
    </row>
    <row r="39" spans="1:5" ht="78.75">
      <c r="A39" s="17" t="s">
        <v>18</v>
      </c>
      <c r="B39" s="30" t="s">
        <v>74</v>
      </c>
      <c r="C39" s="13">
        <f>C40+C42</f>
        <v>28400</v>
      </c>
      <c r="D39" s="13">
        <f>D40+D42</f>
        <v>32535.6</v>
      </c>
      <c r="E39" s="14">
        <f t="shared" si="0"/>
        <v>1.145619718309859</v>
      </c>
    </row>
    <row r="40" spans="1:5" ht="63">
      <c r="A40" s="17" t="s">
        <v>19</v>
      </c>
      <c r="B40" s="18" t="s">
        <v>73</v>
      </c>
      <c r="C40" s="13">
        <f>C41</f>
        <v>25400</v>
      </c>
      <c r="D40" s="13">
        <f>D41</f>
        <v>28265.2</v>
      </c>
      <c r="E40" s="14">
        <f t="shared" si="0"/>
        <v>1.1128031496062993</v>
      </c>
    </row>
    <row r="41" spans="1:5" ht="63">
      <c r="A41" s="10" t="s">
        <v>92</v>
      </c>
      <c r="B41" s="29" t="s">
        <v>91</v>
      </c>
      <c r="C41" s="20">
        <v>25400</v>
      </c>
      <c r="D41" s="20">
        <v>28265.2</v>
      </c>
      <c r="E41" s="14">
        <f t="shared" si="0"/>
        <v>1.1128031496062993</v>
      </c>
    </row>
    <row r="42" spans="1:5" ht="31.5">
      <c r="A42" s="17" t="s">
        <v>85</v>
      </c>
      <c r="B42" s="18" t="s">
        <v>86</v>
      </c>
      <c r="C42" s="13">
        <f>C43</f>
        <v>3000</v>
      </c>
      <c r="D42" s="13">
        <f>D43</f>
        <v>4270.4</v>
      </c>
      <c r="E42" s="14">
        <f t="shared" si="0"/>
        <v>1.4234666666666664</v>
      </c>
    </row>
    <row r="43" spans="1:5" ht="31.5">
      <c r="A43" s="10" t="s">
        <v>94</v>
      </c>
      <c r="B43" s="29" t="s">
        <v>93</v>
      </c>
      <c r="C43" s="20">
        <v>3000</v>
      </c>
      <c r="D43" s="20">
        <v>4270.4</v>
      </c>
      <c r="E43" s="14">
        <f t="shared" si="0"/>
        <v>1.4234666666666664</v>
      </c>
    </row>
    <row r="44" spans="1:5" s="31" customFormat="1" ht="78.75">
      <c r="A44" s="17" t="s">
        <v>240</v>
      </c>
      <c r="B44" s="18" t="s">
        <v>241</v>
      </c>
      <c r="C44" s="13">
        <f>SUM(C45)</f>
        <v>0</v>
      </c>
      <c r="D44" s="13">
        <f>SUM(D45)</f>
        <v>-46.6</v>
      </c>
      <c r="E44" s="14" t="s">
        <v>239</v>
      </c>
    </row>
    <row r="45" spans="1:5" ht="63">
      <c r="A45" s="10" t="s">
        <v>243</v>
      </c>
      <c r="B45" s="29" t="s">
        <v>242</v>
      </c>
      <c r="C45" s="20">
        <v>0</v>
      </c>
      <c r="D45" s="20">
        <v>-46.6</v>
      </c>
      <c r="E45" s="21" t="s">
        <v>239</v>
      </c>
    </row>
    <row r="46" spans="1:5" ht="18.75">
      <c r="A46" s="17" t="s">
        <v>20</v>
      </c>
      <c r="B46" s="30" t="s">
        <v>21</v>
      </c>
      <c r="C46" s="13">
        <f>SUM(C47)</f>
        <v>4913</v>
      </c>
      <c r="D46" s="13">
        <f>SUM(D47)</f>
        <v>5321.3</v>
      </c>
      <c r="E46" s="14">
        <f t="shared" si="0"/>
        <v>1.0831060451862407</v>
      </c>
    </row>
    <row r="47" spans="1:5" ht="18.75">
      <c r="A47" s="17" t="s">
        <v>22</v>
      </c>
      <c r="B47" s="30" t="s">
        <v>23</v>
      </c>
      <c r="C47" s="13">
        <f>SUM(C48:C51)</f>
        <v>4913</v>
      </c>
      <c r="D47" s="13">
        <f>SUM(D48:D51)</f>
        <v>5321.3</v>
      </c>
      <c r="E47" s="14">
        <f t="shared" si="0"/>
        <v>1.0831060451862407</v>
      </c>
    </row>
    <row r="48" spans="1:5" ht="31.5">
      <c r="A48" s="10" t="s">
        <v>191</v>
      </c>
      <c r="B48" s="19" t="s">
        <v>195</v>
      </c>
      <c r="C48" s="20">
        <v>310</v>
      </c>
      <c r="D48" s="20">
        <v>307.2</v>
      </c>
      <c r="E48" s="21">
        <f t="shared" si="0"/>
        <v>0.9909677419354839</v>
      </c>
    </row>
    <row r="49" spans="1:5" ht="31.5">
      <c r="A49" s="10" t="s">
        <v>200</v>
      </c>
      <c r="B49" s="19" t="s">
        <v>201</v>
      </c>
      <c r="C49" s="20">
        <v>0</v>
      </c>
      <c r="D49" s="20">
        <v>-14</v>
      </c>
      <c r="E49" s="21" t="s">
        <v>239</v>
      </c>
    </row>
    <row r="50" spans="1:6" ht="18.75">
      <c r="A50" s="10" t="s">
        <v>192</v>
      </c>
      <c r="B50" s="19" t="s">
        <v>196</v>
      </c>
      <c r="C50" s="20">
        <f>223.6-220.6</f>
        <v>3</v>
      </c>
      <c r="D50" s="20">
        <v>1.1</v>
      </c>
      <c r="E50" s="21">
        <f t="shared" si="0"/>
        <v>0.3666666666666667</v>
      </c>
      <c r="F50" s="15"/>
    </row>
    <row r="51" spans="1:5" ht="18.75">
      <c r="A51" s="10" t="s">
        <v>193</v>
      </c>
      <c r="B51" s="19" t="s">
        <v>197</v>
      </c>
      <c r="C51" s="20">
        <v>4600</v>
      </c>
      <c r="D51" s="20">
        <v>5027</v>
      </c>
      <c r="E51" s="21">
        <f t="shared" si="0"/>
        <v>1.0928260869565218</v>
      </c>
    </row>
    <row r="52" spans="1:6" ht="31.5">
      <c r="A52" s="17" t="s">
        <v>52</v>
      </c>
      <c r="B52" s="30" t="s">
        <v>75</v>
      </c>
      <c r="C52" s="13">
        <f>SUM(C53+C55)</f>
        <v>683.4</v>
      </c>
      <c r="D52" s="13">
        <f>SUM(D53+D55)</f>
        <v>1111.6</v>
      </c>
      <c r="E52" s="14">
        <f t="shared" si="0"/>
        <v>1.626573017266608</v>
      </c>
      <c r="F52" s="15"/>
    </row>
    <row r="53" spans="1:5" ht="18.75">
      <c r="A53" s="17" t="s">
        <v>119</v>
      </c>
      <c r="B53" s="30" t="s">
        <v>120</v>
      </c>
      <c r="C53" s="13">
        <f>C54</f>
        <v>300</v>
      </c>
      <c r="D53" s="13">
        <f>D54</f>
        <v>496.1</v>
      </c>
      <c r="E53" s="14">
        <f t="shared" si="0"/>
        <v>1.6536666666666668</v>
      </c>
    </row>
    <row r="54" spans="1:5" ht="31.5">
      <c r="A54" s="10" t="s">
        <v>96</v>
      </c>
      <c r="B54" s="19" t="s">
        <v>95</v>
      </c>
      <c r="C54" s="20">
        <v>300</v>
      </c>
      <c r="D54" s="20">
        <v>496.1</v>
      </c>
      <c r="E54" s="21">
        <f t="shared" si="0"/>
        <v>1.6536666666666668</v>
      </c>
    </row>
    <row r="55" spans="1:6" s="31" customFormat="1" ht="18.75">
      <c r="A55" s="17" t="s">
        <v>215</v>
      </c>
      <c r="B55" s="30" t="s">
        <v>216</v>
      </c>
      <c r="C55" s="13">
        <f>SUM(C56)</f>
        <v>383.4</v>
      </c>
      <c r="D55" s="13">
        <f>SUM(D56)</f>
        <v>615.5</v>
      </c>
      <c r="E55" s="14">
        <f t="shared" si="0"/>
        <v>1.6053729786124153</v>
      </c>
      <c r="F55" s="15"/>
    </row>
    <row r="56" spans="1:5" ht="18.75">
      <c r="A56" s="10" t="s">
        <v>215</v>
      </c>
      <c r="B56" s="19" t="s">
        <v>217</v>
      </c>
      <c r="C56" s="20">
        <v>383.4</v>
      </c>
      <c r="D56" s="20">
        <v>615.5</v>
      </c>
      <c r="E56" s="21">
        <f t="shared" si="0"/>
        <v>1.6053729786124153</v>
      </c>
    </row>
    <row r="57" spans="1:5" ht="31.5">
      <c r="A57" s="17" t="s">
        <v>39</v>
      </c>
      <c r="B57" s="30" t="s">
        <v>27</v>
      </c>
      <c r="C57" s="13">
        <f>SUM(C58+C63)</f>
        <v>274</v>
      </c>
      <c r="D57" s="13">
        <f>SUM(D58+D63)+D61</f>
        <v>434.5</v>
      </c>
      <c r="E57" s="14">
        <f t="shared" si="0"/>
        <v>1.5857664233576643</v>
      </c>
    </row>
    <row r="58" spans="1:6" ht="78.75">
      <c r="A58" s="17" t="s">
        <v>40</v>
      </c>
      <c r="B58" s="30" t="s">
        <v>121</v>
      </c>
      <c r="C58" s="13">
        <f>SUM(C59:C60)</f>
        <v>273</v>
      </c>
      <c r="D58" s="13">
        <f>SUM(D59:D60)</f>
        <v>318.1</v>
      </c>
      <c r="E58" s="14">
        <f t="shared" si="0"/>
        <v>1.1652014652014653</v>
      </c>
      <c r="F58" s="15"/>
    </row>
    <row r="59" spans="1:6" ht="78.75">
      <c r="A59" s="10" t="s">
        <v>97</v>
      </c>
      <c r="B59" s="19" t="s">
        <v>122</v>
      </c>
      <c r="C59" s="20">
        <v>268</v>
      </c>
      <c r="D59" s="20">
        <v>313.1</v>
      </c>
      <c r="E59" s="21">
        <f t="shared" si="0"/>
        <v>1.1682835820895523</v>
      </c>
      <c r="F59" s="15"/>
    </row>
    <row r="60" spans="1:6" ht="78.75">
      <c r="A60" s="10" t="s">
        <v>218</v>
      </c>
      <c r="B60" s="19" t="s">
        <v>219</v>
      </c>
      <c r="C60" s="20">
        <v>5</v>
      </c>
      <c r="D60" s="20">
        <v>5</v>
      </c>
      <c r="E60" s="21">
        <f t="shared" si="0"/>
        <v>1</v>
      </c>
      <c r="F60" s="15"/>
    </row>
    <row r="61" spans="1:5" s="31" customFormat="1" ht="18.75">
      <c r="A61" s="17" t="s">
        <v>244</v>
      </c>
      <c r="B61" s="30" t="s">
        <v>245</v>
      </c>
      <c r="C61" s="13">
        <f>SUM(C62)</f>
        <v>0</v>
      </c>
      <c r="D61" s="13">
        <f>SUM(D62)</f>
        <v>99.9</v>
      </c>
      <c r="E61" s="14" t="s">
        <v>239</v>
      </c>
    </row>
    <row r="62" spans="1:6" ht="31.5">
      <c r="A62" s="10" t="s">
        <v>247</v>
      </c>
      <c r="B62" s="19" t="s">
        <v>246</v>
      </c>
      <c r="C62" s="20">
        <v>0</v>
      </c>
      <c r="D62" s="20">
        <v>99.9</v>
      </c>
      <c r="E62" s="21" t="s">
        <v>239</v>
      </c>
      <c r="F62" s="15"/>
    </row>
    <row r="63" spans="1:5" ht="33" customHeight="1">
      <c r="A63" s="17" t="s">
        <v>194</v>
      </c>
      <c r="B63" s="30" t="s">
        <v>174</v>
      </c>
      <c r="C63" s="13">
        <f>SUM(C64)</f>
        <v>1</v>
      </c>
      <c r="D63" s="13">
        <f>SUM(D64)</f>
        <v>16.5</v>
      </c>
      <c r="E63" s="14">
        <f t="shared" si="0"/>
        <v>16.5</v>
      </c>
    </row>
    <row r="64" spans="1:5" ht="47.25">
      <c r="A64" s="10" t="s">
        <v>176</v>
      </c>
      <c r="B64" s="19" t="s">
        <v>175</v>
      </c>
      <c r="C64" s="20">
        <v>1</v>
      </c>
      <c r="D64" s="20">
        <v>16.5</v>
      </c>
      <c r="E64" s="14">
        <f t="shared" si="0"/>
        <v>16.5</v>
      </c>
    </row>
    <row r="65" spans="1:6" ht="18.75">
      <c r="A65" s="17" t="s">
        <v>24</v>
      </c>
      <c r="B65" s="30" t="s">
        <v>25</v>
      </c>
      <c r="C65" s="13">
        <f>C66+C69+C70+C72+C75+C76+C78+C82+C88+C81+C86</f>
        <v>2626.2</v>
      </c>
      <c r="D65" s="13">
        <f>D66+D69+D70+D72+D75+D76+D78+D82+D88+D81+D86+D84</f>
        <v>2055.2</v>
      </c>
      <c r="E65" s="14">
        <f t="shared" si="0"/>
        <v>0.7825755844947072</v>
      </c>
      <c r="F65" s="15"/>
    </row>
    <row r="66" spans="1:6" ht="31.5" customHeight="1">
      <c r="A66" s="17" t="s">
        <v>41</v>
      </c>
      <c r="B66" s="30" t="s">
        <v>33</v>
      </c>
      <c r="C66" s="13">
        <f>SUM(C67:C68)</f>
        <v>71.7</v>
      </c>
      <c r="D66" s="13">
        <f>SUM(D67:D68)</f>
        <v>71.9</v>
      </c>
      <c r="E66" s="14">
        <f t="shared" si="0"/>
        <v>1.0027894002789401</v>
      </c>
      <c r="F66" s="15"/>
    </row>
    <row r="67" spans="1:12" ht="63">
      <c r="A67" s="10" t="s">
        <v>43</v>
      </c>
      <c r="B67" s="19" t="s">
        <v>198</v>
      </c>
      <c r="C67" s="20">
        <v>69</v>
      </c>
      <c r="D67" s="20">
        <v>69.4</v>
      </c>
      <c r="E67" s="21">
        <f t="shared" si="0"/>
        <v>1.0057971014492755</v>
      </c>
      <c r="F67" s="15"/>
      <c r="H67" s="32"/>
      <c r="I67" s="33"/>
      <c r="J67" s="33"/>
      <c r="K67" s="33"/>
      <c r="L67" s="33"/>
    </row>
    <row r="68" spans="1:6" ht="47.25">
      <c r="A68" s="10" t="s">
        <v>60</v>
      </c>
      <c r="B68" s="19" t="s">
        <v>220</v>
      </c>
      <c r="C68" s="20">
        <v>2.7</v>
      </c>
      <c r="D68" s="20">
        <v>2.5</v>
      </c>
      <c r="E68" s="21">
        <f t="shared" si="0"/>
        <v>0.9259259259259258</v>
      </c>
      <c r="F68" s="15"/>
    </row>
    <row r="69" spans="1:6" s="31" customFormat="1" ht="47.25">
      <c r="A69" s="17" t="s">
        <v>42</v>
      </c>
      <c r="B69" s="30" t="s">
        <v>34</v>
      </c>
      <c r="C69" s="13">
        <v>85</v>
      </c>
      <c r="D69" s="13">
        <v>71</v>
      </c>
      <c r="E69" s="14">
        <f t="shared" si="0"/>
        <v>0.8352941176470589</v>
      </c>
      <c r="F69" s="15"/>
    </row>
    <row r="70" spans="1:6" s="31" customFormat="1" ht="47.25">
      <c r="A70" s="17" t="s">
        <v>236</v>
      </c>
      <c r="B70" s="30" t="s">
        <v>221</v>
      </c>
      <c r="C70" s="13">
        <f>SUM(C71)</f>
        <v>151.5</v>
      </c>
      <c r="D70" s="13">
        <f>SUM(D71)</f>
        <v>167.9</v>
      </c>
      <c r="E70" s="14">
        <f t="shared" si="0"/>
        <v>1.1082508250825083</v>
      </c>
      <c r="F70" s="15"/>
    </row>
    <row r="71" spans="1:6" s="31" customFormat="1" ht="47.25">
      <c r="A71" s="10" t="s">
        <v>235</v>
      </c>
      <c r="B71" s="19" t="s">
        <v>222</v>
      </c>
      <c r="C71" s="20">
        <v>151.5</v>
      </c>
      <c r="D71" s="20">
        <v>167.9</v>
      </c>
      <c r="E71" s="21">
        <f t="shared" si="0"/>
        <v>1.1082508250825083</v>
      </c>
      <c r="F71" s="15"/>
    </row>
    <row r="72" spans="1:6" ht="94.5">
      <c r="A72" s="17" t="s">
        <v>76</v>
      </c>
      <c r="B72" s="30" t="s">
        <v>77</v>
      </c>
      <c r="C72" s="13">
        <f>C73+C74</f>
        <v>225</v>
      </c>
      <c r="D72" s="13">
        <f>D73+D74</f>
        <v>220</v>
      </c>
      <c r="E72" s="14">
        <f t="shared" si="0"/>
        <v>0.9777777777777777</v>
      </c>
      <c r="F72" s="15"/>
    </row>
    <row r="73" spans="1:6" ht="31.5">
      <c r="A73" s="10" t="s">
        <v>61</v>
      </c>
      <c r="B73" s="19" t="s">
        <v>78</v>
      </c>
      <c r="C73" s="20">
        <v>200</v>
      </c>
      <c r="D73" s="20">
        <v>200</v>
      </c>
      <c r="E73" s="21">
        <f t="shared" si="0"/>
        <v>1</v>
      </c>
      <c r="F73" s="15"/>
    </row>
    <row r="74" spans="1:6" ht="18.75">
      <c r="A74" s="10" t="s">
        <v>62</v>
      </c>
      <c r="B74" s="19" t="s">
        <v>59</v>
      </c>
      <c r="C74" s="20">
        <v>25</v>
      </c>
      <c r="D74" s="20">
        <v>20</v>
      </c>
      <c r="E74" s="21">
        <f t="shared" si="0"/>
        <v>0.8</v>
      </c>
      <c r="F74" s="15"/>
    </row>
    <row r="75" spans="1:6" ht="45.75" customHeight="1">
      <c r="A75" s="17" t="s">
        <v>44</v>
      </c>
      <c r="B75" s="30" t="s">
        <v>35</v>
      </c>
      <c r="C75" s="13">
        <v>1550</v>
      </c>
      <c r="D75" s="13">
        <v>830.2</v>
      </c>
      <c r="E75" s="14">
        <f t="shared" si="0"/>
        <v>0.5356129032258065</v>
      </c>
      <c r="F75" s="15"/>
    </row>
    <row r="76" spans="1:6" ht="36" customHeight="1">
      <c r="A76" s="17" t="s">
        <v>47</v>
      </c>
      <c r="B76" s="30" t="s">
        <v>36</v>
      </c>
      <c r="C76" s="13">
        <f>C77</f>
        <v>90</v>
      </c>
      <c r="D76" s="13">
        <f>D77</f>
        <v>72.2</v>
      </c>
      <c r="E76" s="14">
        <f t="shared" si="0"/>
        <v>0.8022222222222223</v>
      </c>
      <c r="F76" s="15"/>
    </row>
    <row r="77" spans="1:5" ht="30" customHeight="1">
      <c r="A77" s="10" t="s">
        <v>152</v>
      </c>
      <c r="B77" s="19" t="s">
        <v>153</v>
      </c>
      <c r="C77" s="20">
        <v>90</v>
      </c>
      <c r="D77" s="20">
        <v>72.2</v>
      </c>
      <c r="E77" s="21">
        <f t="shared" si="0"/>
        <v>0.8022222222222223</v>
      </c>
    </row>
    <row r="78" spans="1:5" ht="49.5" customHeight="1" hidden="1">
      <c r="A78" s="17" t="s">
        <v>123</v>
      </c>
      <c r="B78" s="30" t="s">
        <v>124</v>
      </c>
      <c r="C78" s="13">
        <v>0</v>
      </c>
      <c r="D78" s="13">
        <v>0</v>
      </c>
      <c r="E78" s="14" t="e">
        <f t="shared" si="0"/>
        <v>#DIV/0!</v>
      </c>
    </row>
    <row r="79" spans="1:5" ht="68.25" customHeight="1" hidden="1">
      <c r="A79" s="10" t="s">
        <v>109</v>
      </c>
      <c r="B79" s="19" t="s">
        <v>139</v>
      </c>
      <c r="C79" s="20">
        <v>0</v>
      </c>
      <c r="D79" s="20">
        <v>0</v>
      </c>
      <c r="E79" s="14" t="e">
        <f aca="true" t="shared" si="1" ref="E79:E146">SUM(D79/C79)</f>
        <v>#DIV/0!</v>
      </c>
    </row>
    <row r="80" spans="1:5" ht="30" customHeight="1" hidden="1">
      <c r="A80" s="17" t="s">
        <v>125</v>
      </c>
      <c r="B80" s="30" t="s">
        <v>127</v>
      </c>
      <c r="C80" s="13">
        <f>C81</f>
        <v>0</v>
      </c>
      <c r="D80" s="13">
        <f>D81</f>
        <v>0</v>
      </c>
      <c r="E80" s="14" t="e">
        <f t="shared" si="1"/>
        <v>#DIV/0!</v>
      </c>
    </row>
    <row r="81" spans="1:5" ht="35.25" customHeight="1" hidden="1">
      <c r="A81" s="10" t="s">
        <v>126</v>
      </c>
      <c r="B81" s="19" t="s">
        <v>128</v>
      </c>
      <c r="C81" s="20">
        <v>0</v>
      </c>
      <c r="D81" s="20">
        <v>0</v>
      </c>
      <c r="E81" s="14" t="e">
        <f t="shared" si="1"/>
        <v>#DIV/0!</v>
      </c>
    </row>
    <row r="82" spans="1:6" ht="47.25">
      <c r="A82" s="17" t="s">
        <v>123</v>
      </c>
      <c r="B82" s="30" t="s">
        <v>124</v>
      </c>
      <c r="C82" s="13">
        <f>C83</f>
        <v>50</v>
      </c>
      <c r="D82" s="13">
        <f>D83</f>
        <v>56</v>
      </c>
      <c r="E82" s="14">
        <f t="shared" si="1"/>
        <v>1.12</v>
      </c>
      <c r="F82" s="15"/>
    </row>
    <row r="83" spans="1:5" ht="63">
      <c r="A83" s="10" t="s">
        <v>109</v>
      </c>
      <c r="B83" s="19" t="s">
        <v>139</v>
      </c>
      <c r="C83" s="20">
        <v>50</v>
      </c>
      <c r="D83" s="20">
        <v>56</v>
      </c>
      <c r="E83" s="14">
        <f t="shared" si="1"/>
        <v>1.12</v>
      </c>
    </row>
    <row r="84" spans="1:5" s="31" customFormat="1" ht="18.75">
      <c r="A84" s="17" t="s">
        <v>248</v>
      </c>
      <c r="B84" s="30" t="s">
        <v>127</v>
      </c>
      <c r="C84" s="13">
        <f>SUM(C85)</f>
        <v>0</v>
      </c>
      <c r="D84" s="13">
        <f>SUM(D85)</f>
        <v>3</v>
      </c>
      <c r="E84" s="14" t="s">
        <v>239</v>
      </c>
    </row>
    <row r="85" spans="1:5" ht="31.5">
      <c r="A85" s="10" t="s">
        <v>126</v>
      </c>
      <c r="B85" s="19" t="s">
        <v>128</v>
      </c>
      <c r="C85" s="20">
        <v>0</v>
      </c>
      <c r="D85" s="20">
        <v>3</v>
      </c>
      <c r="E85" s="21" t="s">
        <v>239</v>
      </c>
    </row>
    <row r="86" spans="1:6" ht="63">
      <c r="A86" s="17" t="s">
        <v>110</v>
      </c>
      <c r="B86" s="30" t="s">
        <v>129</v>
      </c>
      <c r="C86" s="13">
        <v>63</v>
      </c>
      <c r="D86" s="13">
        <v>187.2</v>
      </c>
      <c r="E86" s="14">
        <f t="shared" si="1"/>
        <v>2.971428571428571</v>
      </c>
      <c r="F86" s="15"/>
    </row>
    <row r="87" spans="1:6" ht="30.75" customHeight="1">
      <c r="A87" s="17" t="s">
        <v>130</v>
      </c>
      <c r="B87" s="30" t="s">
        <v>131</v>
      </c>
      <c r="C87" s="13">
        <f>C88</f>
        <v>340</v>
      </c>
      <c r="D87" s="13">
        <f>D88</f>
        <v>375.8</v>
      </c>
      <c r="E87" s="14">
        <f t="shared" si="1"/>
        <v>1.1052941176470588</v>
      </c>
      <c r="F87" s="15"/>
    </row>
    <row r="88" spans="1:6" ht="32.25" customHeight="1">
      <c r="A88" s="10" t="s">
        <v>145</v>
      </c>
      <c r="B88" s="19" t="s">
        <v>144</v>
      </c>
      <c r="C88" s="20">
        <v>340</v>
      </c>
      <c r="D88" s="20">
        <v>375.8</v>
      </c>
      <c r="E88" s="21">
        <f t="shared" si="1"/>
        <v>1.1052941176470588</v>
      </c>
      <c r="F88" s="15"/>
    </row>
    <row r="89" spans="1:5" ht="32.25" customHeight="1" hidden="1">
      <c r="A89" s="11" t="s">
        <v>87</v>
      </c>
      <c r="B89" s="30" t="s">
        <v>88</v>
      </c>
      <c r="C89" s="13">
        <f>C90</f>
        <v>0</v>
      </c>
      <c r="D89" s="13">
        <f>D90</f>
        <v>0</v>
      </c>
      <c r="E89" s="14" t="e">
        <f t="shared" si="1"/>
        <v>#DIV/0!</v>
      </c>
    </row>
    <row r="90" spans="1:5" ht="29.25" customHeight="1" hidden="1">
      <c r="A90" s="11" t="s">
        <v>89</v>
      </c>
      <c r="B90" s="30" t="s">
        <v>90</v>
      </c>
      <c r="C90" s="13">
        <f>C91</f>
        <v>0</v>
      </c>
      <c r="D90" s="13">
        <f>D91</f>
        <v>0</v>
      </c>
      <c r="E90" s="14" t="e">
        <f t="shared" si="1"/>
        <v>#DIV/0!</v>
      </c>
    </row>
    <row r="91" spans="1:6" ht="32.25" customHeight="1" hidden="1">
      <c r="A91" s="8" t="s">
        <v>99</v>
      </c>
      <c r="B91" s="19" t="s">
        <v>98</v>
      </c>
      <c r="C91" s="20">
        <v>0</v>
      </c>
      <c r="D91" s="20">
        <v>0</v>
      </c>
      <c r="E91" s="14" t="e">
        <f t="shared" si="1"/>
        <v>#DIV/0!</v>
      </c>
      <c r="F91" s="15"/>
    </row>
    <row r="92" spans="1:6" ht="18.75">
      <c r="A92" s="11" t="s">
        <v>223</v>
      </c>
      <c r="B92" s="30" t="s">
        <v>88</v>
      </c>
      <c r="C92" s="13">
        <f>SUM(C95+C93)</f>
        <v>472</v>
      </c>
      <c r="D92" s="13">
        <f>SUM(D95+D93)</f>
        <v>533.1</v>
      </c>
      <c r="E92" s="14">
        <f t="shared" si="1"/>
        <v>1.1294491525423729</v>
      </c>
      <c r="F92" s="15"/>
    </row>
    <row r="93" spans="1:6" ht="18.75">
      <c r="A93" s="11" t="s">
        <v>249</v>
      </c>
      <c r="B93" s="30" t="s">
        <v>250</v>
      </c>
      <c r="C93" s="13">
        <f>SUM(C94)</f>
        <v>0</v>
      </c>
      <c r="D93" s="13">
        <f>SUM(D94)</f>
        <v>26.8</v>
      </c>
      <c r="E93" s="14" t="s">
        <v>239</v>
      </c>
      <c r="F93" s="15"/>
    </row>
    <row r="94" spans="1:5" s="15" customFormat="1" ht="18.75">
      <c r="A94" s="8" t="s">
        <v>252</v>
      </c>
      <c r="B94" s="19" t="s">
        <v>251</v>
      </c>
      <c r="C94" s="20">
        <v>0</v>
      </c>
      <c r="D94" s="20">
        <v>26.8</v>
      </c>
      <c r="E94" s="21" t="s">
        <v>239</v>
      </c>
    </row>
    <row r="95" spans="1:6" ht="18.75">
      <c r="A95" s="11" t="s">
        <v>224</v>
      </c>
      <c r="B95" s="30" t="s">
        <v>90</v>
      </c>
      <c r="C95" s="13">
        <f>SUM(C96)</f>
        <v>472</v>
      </c>
      <c r="D95" s="13">
        <f>SUM(D96)</f>
        <v>506.3</v>
      </c>
      <c r="E95" s="14">
        <f t="shared" si="1"/>
        <v>1.0726694915254238</v>
      </c>
      <c r="F95" s="15"/>
    </row>
    <row r="96" spans="1:6" ht="18.75">
      <c r="A96" s="8" t="s">
        <v>99</v>
      </c>
      <c r="B96" s="19" t="s">
        <v>98</v>
      </c>
      <c r="C96" s="20">
        <v>472</v>
      </c>
      <c r="D96" s="20">
        <v>506.3</v>
      </c>
      <c r="E96" s="21">
        <f t="shared" si="1"/>
        <v>1.0726694915254238</v>
      </c>
      <c r="F96" s="15"/>
    </row>
    <row r="97" spans="1:6" ht="18.75">
      <c r="A97" s="17" t="s">
        <v>28</v>
      </c>
      <c r="B97" s="18" t="s">
        <v>29</v>
      </c>
      <c r="C97" s="13">
        <f>C98+C105+C127+C151</f>
        <v>359370.2</v>
      </c>
      <c r="D97" s="13">
        <f>D98+D105+D127+D151+D160</f>
        <v>355921.35552</v>
      </c>
      <c r="E97" s="14">
        <f t="shared" si="1"/>
        <v>0.9904030871786252</v>
      </c>
      <c r="F97" s="15">
        <f>D97-D127</f>
        <v>185114.833</v>
      </c>
    </row>
    <row r="98" spans="1:6" ht="18.75">
      <c r="A98" s="17" t="s">
        <v>57</v>
      </c>
      <c r="B98" s="18" t="s">
        <v>58</v>
      </c>
      <c r="C98" s="13">
        <f>C99+C102+C103</f>
        <v>124005.1</v>
      </c>
      <c r="D98" s="13">
        <f>D99+D102+D103</f>
        <v>123913.736</v>
      </c>
      <c r="E98" s="14">
        <f t="shared" si="1"/>
        <v>0.9992632238512771</v>
      </c>
      <c r="F98" s="15"/>
    </row>
    <row r="99" spans="1:5" ht="18.75">
      <c r="A99" s="17" t="s">
        <v>100</v>
      </c>
      <c r="B99" s="18" t="s">
        <v>158</v>
      </c>
      <c r="C99" s="13">
        <f>SUM(C100+C101)</f>
        <v>85785</v>
      </c>
      <c r="D99" s="13">
        <f>SUM(D100+D101)</f>
        <v>85785</v>
      </c>
      <c r="E99" s="14">
        <f t="shared" si="1"/>
        <v>1</v>
      </c>
    </row>
    <row r="100" spans="1:5" ht="94.5">
      <c r="A100" s="10" t="s">
        <v>100</v>
      </c>
      <c r="B100" s="29" t="s">
        <v>156</v>
      </c>
      <c r="C100" s="20">
        <v>84708</v>
      </c>
      <c r="D100" s="20">
        <v>84708</v>
      </c>
      <c r="E100" s="21">
        <f t="shared" si="1"/>
        <v>1</v>
      </c>
    </row>
    <row r="101" spans="1:5" ht="63">
      <c r="A101" s="10" t="s">
        <v>100</v>
      </c>
      <c r="B101" s="29" t="s">
        <v>157</v>
      </c>
      <c r="C101" s="20">
        <v>1077</v>
      </c>
      <c r="D101" s="20">
        <v>1077</v>
      </c>
      <c r="E101" s="21">
        <f t="shared" si="1"/>
        <v>1</v>
      </c>
    </row>
    <row r="102" spans="1:6" ht="78.75">
      <c r="A102" s="17" t="s">
        <v>105</v>
      </c>
      <c r="B102" s="34" t="s">
        <v>207</v>
      </c>
      <c r="C102" s="13">
        <f>22219+3165+5204.7+819.6+3760.1+150+1035.2</f>
        <v>36353.6</v>
      </c>
      <c r="D102" s="13">
        <v>36262.236</v>
      </c>
      <c r="E102" s="14">
        <f t="shared" si="1"/>
        <v>0.9974867963557942</v>
      </c>
      <c r="F102" s="15"/>
    </row>
    <row r="103" spans="1:6" ht="18.75">
      <c r="A103" s="17" t="s">
        <v>225</v>
      </c>
      <c r="B103" s="34" t="s">
        <v>226</v>
      </c>
      <c r="C103" s="13">
        <v>1866.5</v>
      </c>
      <c r="D103" s="13">
        <v>1866.5</v>
      </c>
      <c r="E103" s="14">
        <f t="shared" si="1"/>
        <v>1</v>
      </c>
      <c r="F103" s="15"/>
    </row>
    <row r="104" spans="1:6" ht="31.5">
      <c r="A104" s="17" t="s">
        <v>233</v>
      </c>
      <c r="B104" s="18" t="s">
        <v>234</v>
      </c>
      <c r="C104" s="13">
        <f>C105</f>
        <v>50854.1</v>
      </c>
      <c r="D104" s="13">
        <f>D105</f>
        <v>50611.399999999994</v>
      </c>
      <c r="E104" s="14">
        <f t="shared" si="1"/>
        <v>0.9952275234445206</v>
      </c>
      <c r="F104" s="15"/>
    </row>
    <row r="105" spans="1:5" s="31" customFormat="1" ht="18.75">
      <c r="A105" s="17" t="s">
        <v>101</v>
      </c>
      <c r="B105" s="35" t="s">
        <v>132</v>
      </c>
      <c r="C105" s="13">
        <f>SUM(C107+C108+C109+C110+C111+C112+C113+C116+C117+C118+C121+C122+C123+C124+C125+C126)</f>
        <v>50854.1</v>
      </c>
      <c r="D105" s="13">
        <f>SUM(D107+D108+D109+D110+D111+D112+D113+D116+D117+D118+D121+D122+D123+D124+D125+D126)</f>
        <v>50611.399999999994</v>
      </c>
      <c r="E105" s="14">
        <f t="shared" si="1"/>
        <v>0.9952275234445206</v>
      </c>
    </row>
    <row r="106" spans="1:5" ht="18.75">
      <c r="A106" s="36"/>
      <c r="B106" s="29" t="s">
        <v>30</v>
      </c>
      <c r="C106" s="20"/>
      <c r="D106" s="20"/>
      <c r="E106" s="14"/>
    </row>
    <row r="107" spans="1:5" ht="63">
      <c r="A107" s="37"/>
      <c r="B107" s="19" t="s">
        <v>189</v>
      </c>
      <c r="C107" s="20">
        <v>274.5</v>
      </c>
      <c r="D107" s="20">
        <v>274.5</v>
      </c>
      <c r="E107" s="21">
        <f t="shared" si="1"/>
        <v>1</v>
      </c>
    </row>
    <row r="108" spans="1:5" ht="94.5">
      <c r="A108" s="37"/>
      <c r="B108" s="38" t="s">
        <v>182</v>
      </c>
      <c r="C108" s="21">
        <v>1660.4</v>
      </c>
      <c r="D108" s="21">
        <v>1660.4</v>
      </c>
      <c r="E108" s="21">
        <f t="shared" si="1"/>
        <v>1</v>
      </c>
    </row>
    <row r="109" spans="1:5" ht="78.75">
      <c r="A109" s="37"/>
      <c r="B109" s="19" t="s">
        <v>159</v>
      </c>
      <c r="C109" s="20">
        <v>157.3</v>
      </c>
      <c r="D109" s="20">
        <v>157.3</v>
      </c>
      <c r="E109" s="21">
        <f t="shared" si="1"/>
        <v>1</v>
      </c>
    </row>
    <row r="110" spans="1:5" ht="108.75" customHeight="1">
      <c r="A110" s="37"/>
      <c r="B110" s="19" t="s">
        <v>186</v>
      </c>
      <c r="C110" s="20">
        <v>768</v>
      </c>
      <c r="D110" s="20">
        <v>768</v>
      </c>
      <c r="E110" s="21">
        <f t="shared" si="1"/>
        <v>1</v>
      </c>
    </row>
    <row r="111" spans="1:5" ht="94.5">
      <c r="A111" s="37"/>
      <c r="B111" s="19" t="s">
        <v>187</v>
      </c>
      <c r="C111" s="20">
        <v>1000</v>
      </c>
      <c r="D111" s="20">
        <v>1000</v>
      </c>
      <c r="E111" s="21">
        <f t="shared" si="1"/>
        <v>1</v>
      </c>
    </row>
    <row r="112" spans="1:5" ht="78.75">
      <c r="A112" s="37"/>
      <c r="B112" s="19" t="s">
        <v>188</v>
      </c>
      <c r="C112" s="20">
        <v>1636.4</v>
      </c>
      <c r="D112" s="20">
        <v>1636.4</v>
      </c>
      <c r="E112" s="21">
        <f t="shared" si="1"/>
        <v>1</v>
      </c>
    </row>
    <row r="113" spans="1:5" ht="63">
      <c r="A113" s="37"/>
      <c r="B113" s="19" t="s">
        <v>228</v>
      </c>
      <c r="C113" s="20">
        <f>SUM(C115+C114)</f>
        <v>72.5</v>
      </c>
      <c r="D113" s="20">
        <f>SUM(D115+D114)</f>
        <v>71.5</v>
      </c>
      <c r="E113" s="21">
        <f t="shared" si="1"/>
        <v>0.9862068965517241</v>
      </c>
    </row>
    <row r="114" spans="1:6" ht="110.25">
      <c r="A114" s="37"/>
      <c r="B114" s="39" t="s">
        <v>173</v>
      </c>
      <c r="C114" s="40">
        <v>40</v>
      </c>
      <c r="D114" s="40">
        <v>39</v>
      </c>
      <c r="E114" s="21">
        <f t="shared" si="1"/>
        <v>0.975</v>
      </c>
      <c r="F114" s="15"/>
    </row>
    <row r="115" spans="1:6" ht="110.25">
      <c r="A115" s="37"/>
      <c r="B115" s="39" t="s">
        <v>227</v>
      </c>
      <c r="C115" s="40">
        <v>32.5</v>
      </c>
      <c r="D115" s="40">
        <v>32.5</v>
      </c>
      <c r="E115" s="21">
        <f t="shared" si="1"/>
        <v>1</v>
      </c>
      <c r="F115" s="15"/>
    </row>
    <row r="116" spans="1:5" ht="78.75">
      <c r="A116" s="37"/>
      <c r="B116" s="19" t="s">
        <v>160</v>
      </c>
      <c r="C116" s="20">
        <v>1572.5</v>
      </c>
      <c r="D116" s="20">
        <v>1572.5</v>
      </c>
      <c r="E116" s="21">
        <f t="shared" si="1"/>
        <v>1</v>
      </c>
    </row>
    <row r="117" spans="1:6" ht="94.5">
      <c r="A117" s="37"/>
      <c r="B117" s="19" t="s">
        <v>208</v>
      </c>
      <c r="C117" s="20">
        <v>733.5</v>
      </c>
      <c r="D117" s="20">
        <v>733.5</v>
      </c>
      <c r="E117" s="21">
        <f t="shared" si="1"/>
        <v>1</v>
      </c>
      <c r="F117" s="15"/>
    </row>
    <row r="118" spans="1:6" ht="78.75">
      <c r="A118" s="37"/>
      <c r="B118" s="19" t="s">
        <v>202</v>
      </c>
      <c r="C118" s="20">
        <f>SUM(C119:C120)</f>
        <v>1200</v>
      </c>
      <c r="D118" s="20">
        <f>SUM(D119:D120)</f>
        <v>1200</v>
      </c>
      <c r="E118" s="21">
        <f t="shared" si="1"/>
        <v>1</v>
      </c>
      <c r="F118" s="15"/>
    </row>
    <row r="119" spans="1:5" ht="46.5" customHeight="1">
      <c r="A119" s="37"/>
      <c r="B119" s="39" t="s">
        <v>203</v>
      </c>
      <c r="C119" s="20">
        <v>1000</v>
      </c>
      <c r="D119" s="20">
        <v>1000</v>
      </c>
      <c r="E119" s="21">
        <f t="shared" si="1"/>
        <v>1</v>
      </c>
    </row>
    <row r="120" spans="1:5" ht="65.25" customHeight="1">
      <c r="A120" s="37"/>
      <c r="B120" s="39" t="s">
        <v>204</v>
      </c>
      <c r="C120" s="20">
        <v>200</v>
      </c>
      <c r="D120" s="20">
        <v>200</v>
      </c>
      <c r="E120" s="21">
        <f t="shared" si="1"/>
        <v>1</v>
      </c>
    </row>
    <row r="121" spans="1:6" ht="126">
      <c r="A121" s="37"/>
      <c r="B121" s="19" t="s">
        <v>205</v>
      </c>
      <c r="C121" s="20">
        <f>2941.6+6877.4</f>
        <v>9819</v>
      </c>
      <c r="D121" s="20">
        <f>2941.6+6877.4</f>
        <v>9819</v>
      </c>
      <c r="E121" s="21">
        <f t="shared" si="1"/>
        <v>1</v>
      </c>
      <c r="F121" s="15"/>
    </row>
    <row r="122" spans="1:6" ht="110.25">
      <c r="A122" s="37"/>
      <c r="B122" s="19" t="s">
        <v>206</v>
      </c>
      <c r="C122" s="20">
        <f>14669+15400+340</f>
        <v>30409</v>
      </c>
      <c r="D122" s="20">
        <f>14669+15400+340</f>
        <v>30409</v>
      </c>
      <c r="E122" s="21">
        <f t="shared" si="1"/>
        <v>1</v>
      </c>
      <c r="F122" s="15"/>
    </row>
    <row r="123" spans="1:6" ht="31.5">
      <c r="A123" s="37"/>
      <c r="B123" s="19" t="s">
        <v>229</v>
      </c>
      <c r="C123" s="20">
        <v>395</v>
      </c>
      <c r="D123" s="20">
        <v>255</v>
      </c>
      <c r="E123" s="21">
        <f t="shared" si="1"/>
        <v>0.6455696202531646</v>
      </c>
      <c r="F123" s="15"/>
    </row>
    <row r="124" spans="1:6" ht="78.75">
      <c r="A124" s="37"/>
      <c r="B124" s="19" t="s">
        <v>230</v>
      </c>
      <c r="C124" s="20">
        <v>241.9</v>
      </c>
      <c r="D124" s="20">
        <v>140.2</v>
      </c>
      <c r="E124" s="21">
        <f t="shared" si="1"/>
        <v>0.5795783381562628</v>
      </c>
      <c r="F124" s="15"/>
    </row>
    <row r="125" spans="1:6" ht="31.5">
      <c r="A125" s="37"/>
      <c r="B125" s="19" t="s">
        <v>231</v>
      </c>
      <c r="C125" s="20">
        <v>82.5</v>
      </c>
      <c r="D125" s="20">
        <v>82.5</v>
      </c>
      <c r="E125" s="21">
        <f t="shared" si="1"/>
        <v>1</v>
      </c>
      <c r="F125" s="15"/>
    </row>
    <row r="126" spans="1:6" ht="78.75">
      <c r="A126" s="41"/>
      <c r="B126" s="19" t="s">
        <v>232</v>
      </c>
      <c r="C126" s="20">
        <v>831.6</v>
      </c>
      <c r="D126" s="20">
        <v>831.6</v>
      </c>
      <c r="E126" s="21">
        <f t="shared" si="1"/>
        <v>1</v>
      </c>
      <c r="F126" s="15"/>
    </row>
    <row r="127" spans="1:6" ht="31.5">
      <c r="A127" s="17" t="s">
        <v>31</v>
      </c>
      <c r="B127" s="30" t="s">
        <v>32</v>
      </c>
      <c r="C127" s="13">
        <f>C128+C130+C132+C149</f>
        <v>172030.69999999998</v>
      </c>
      <c r="D127" s="13">
        <f>D128+D130+D132+D149</f>
        <v>170806.52251999997</v>
      </c>
      <c r="E127" s="14">
        <f t="shared" si="1"/>
        <v>0.9928839592003055</v>
      </c>
      <c r="F127" s="15"/>
    </row>
    <row r="128" spans="1:5" ht="31.5">
      <c r="A128" s="17" t="s">
        <v>133</v>
      </c>
      <c r="B128" s="30" t="s">
        <v>134</v>
      </c>
      <c r="C128" s="13">
        <f>C129</f>
        <v>497.3</v>
      </c>
      <c r="D128" s="13">
        <f>D129</f>
        <v>497.3</v>
      </c>
      <c r="E128" s="14">
        <f t="shared" si="1"/>
        <v>1</v>
      </c>
    </row>
    <row r="129" spans="1:6" ht="47.25">
      <c r="A129" s="10" t="s">
        <v>102</v>
      </c>
      <c r="B129" s="19" t="s">
        <v>161</v>
      </c>
      <c r="C129" s="20">
        <v>497.3</v>
      </c>
      <c r="D129" s="20">
        <v>497.3</v>
      </c>
      <c r="E129" s="14">
        <f t="shared" si="1"/>
        <v>1</v>
      </c>
      <c r="F129" s="15"/>
    </row>
    <row r="130" spans="1:5" ht="47.25">
      <c r="A130" s="17" t="s">
        <v>136</v>
      </c>
      <c r="B130" s="30" t="s">
        <v>135</v>
      </c>
      <c r="C130" s="13">
        <f>C131</f>
        <v>45.1</v>
      </c>
      <c r="D130" s="13">
        <f>D131</f>
        <v>45.1</v>
      </c>
      <c r="E130" s="14">
        <f t="shared" si="1"/>
        <v>1</v>
      </c>
    </row>
    <row r="131" spans="1:6" ht="47.25">
      <c r="A131" s="10" t="s">
        <v>104</v>
      </c>
      <c r="B131" s="19" t="s">
        <v>103</v>
      </c>
      <c r="C131" s="20">
        <v>45.1</v>
      </c>
      <c r="D131" s="20">
        <v>45.1</v>
      </c>
      <c r="E131" s="14">
        <f t="shared" si="1"/>
        <v>1</v>
      </c>
      <c r="F131" s="15"/>
    </row>
    <row r="132" spans="1:5" ht="31.5">
      <c r="A132" s="17" t="s">
        <v>138</v>
      </c>
      <c r="B132" s="30" t="s">
        <v>137</v>
      </c>
      <c r="C132" s="13">
        <f>C133</f>
        <v>171327.69999999998</v>
      </c>
      <c r="D132" s="13">
        <f>D133</f>
        <v>170194.93951999999</v>
      </c>
      <c r="E132" s="14">
        <f t="shared" si="1"/>
        <v>0.9933883401224671</v>
      </c>
    </row>
    <row r="133" spans="1:5" ht="34.5" customHeight="1">
      <c r="A133" s="36" t="s">
        <v>106</v>
      </c>
      <c r="B133" s="19" t="s">
        <v>107</v>
      </c>
      <c r="C133" s="20">
        <f>SUM(C135+C136+C137+C138+C139+C140+C141+C142+C146+C148+C147)</f>
        <v>171327.69999999998</v>
      </c>
      <c r="D133" s="20">
        <f>SUM(D135+D136+D137+D138+D139+D140+D141+D142+D146+D148+D147)</f>
        <v>170194.93951999999</v>
      </c>
      <c r="E133" s="21">
        <f t="shared" si="1"/>
        <v>0.9933883401224671</v>
      </c>
    </row>
    <row r="134" spans="1:5" ht="18" customHeight="1">
      <c r="A134" s="37"/>
      <c r="B134" s="19" t="s">
        <v>199</v>
      </c>
      <c r="C134" s="20"/>
      <c r="D134" s="20"/>
      <c r="E134" s="21"/>
    </row>
    <row r="135" spans="1:5" ht="94.5">
      <c r="A135" s="37"/>
      <c r="B135" s="38" t="s">
        <v>163</v>
      </c>
      <c r="C135" s="21">
        <f>93568.6-2733</f>
        <v>90835.6</v>
      </c>
      <c r="D135" s="21">
        <f>93568.6-2733</f>
        <v>90835.6</v>
      </c>
      <c r="E135" s="21">
        <f t="shared" si="1"/>
        <v>1</v>
      </c>
    </row>
    <row r="136" spans="1:5" ht="78.75">
      <c r="A136" s="37"/>
      <c r="B136" s="19" t="s">
        <v>170</v>
      </c>
      <c r="C136" s="20">
        <f>66162.2-2410</f>
        <v>63752.2</v>
      </c>
      <c r="D136" s="20">
        <v>63749.59</v>
      </c>
      <c r="E136" s="21">
        <f t="shared" si="1"/>
        <v>0.9999590602363526</v>
      </c>
    </row>
    <row r="137" spans="1:5" ht="110.25">
      <c r="A137" s="37"/>
      <c r="B137" s="19" t="s">
        <v>164</v>
      </c>
      <c r="C137" s="20">
        <f>5316.5-290.9</f>
        <v>5025.6</v>
      </c>
      <c r="D137" s="20">
        <v>4987.158</v>
      </c>
      <c r="E137" s="21">
        <f t="shared" si="1"/>
        <v>0.9923507640878702</v>
      </c>
    </row>
    <row r="138" spans="1:6" ht="110.25">
      <c r="A138" s="37"/>
      <c r="B138" s="19" t="s">
        <v>165</v>
      </c>
      <c r="C138" s="20">
        <f>1880.5-150</f>
        <v>1730.5</v>
      </c>
      <c r="D138" s="20">
        <v>1382.5</v>
      </c>
      <c r="E138" s="21">
        <f t="shared" si="1"/>
        <v>0.7989020514302225</v>
      </c>
      <c r="F138" s="15"/>
    </row>
    <row r="139" spans="1:6" ht="94.5">
      <c r="A139" s="37"/>
      <c r="B139" s="19" t="s">
        <v>166</v>
      </c>
      <c r="C139" s="20">
        <f>1752.9+335.1+131.8</f>
        <v>2219.8</v>
      </c>
      <c r="D139" s="20">
        <v>2119.8</v>
      </c>
      <c r="E139" s="21">
        <f t="shared" si="1"/>
        <v>0.9549508964771601</v>
      </c>
      <c r="F139" s="15"/>
    </row>
    <row r="140" spans="1:5" ht="126">
      <c r="A140" s="37"/>
      <c r="B140" s="19" t="s">
        <v>167</v>
      </c>
      <c r="C140" s="20">
        <f>1330-331.4</f>
        <v>998.6</v>
      </c>
      <c r="D140" s="20">
        <v>998.59152</v>
      </c>
      <c r="E140" s="21">
        <f t="shared" si="1"/>
        <v>0.9999915081113558</v>
      </c>
    </row>
    <row r="141" spans="1:5" ht="94.5">
      <c r="A141" s="37"/>
      <c r="B141" s="19" t="s">
        <v>168</v>
      </c>
      <c r="C141" s="20">
        <f>1404.8-227.2</f>
        <v>1177.6</v>
      </c>
      <c r="D141" s="20">
        <f>1404.8-227.2</f>
        <v>1177.6</v>
      </c>
      <c r="E141" s="21">
        <f t="shared" si="1"/>
        <v>1</v>
      </c>
    </row>
    <row r="142" spans="1:5" ht="51" customHeight="1">
      <c r="A142" s="37"/>
      <c r="B142" s="19" t="s">
        <v>169</v>
      </c>
      <c r="C142" s="20">
        <f>SUM(C143:C144)</f>
        <v>3128.8999999999996</v>
      </c>
      <c r="D142" s="20">
        <f>SUM(D143:D144)</f>
        <v>2786.6</v>
      </c>
      <c r="E142" s="21">
        <f t="shared" si="1"/>
        <v>0.8906005305378888</v>
      </c>
    </row>
    <row r="143" spans="1:5" ht="34.5" customHeight="1">
      <c r="A143" s="37"/>
      <c r="B143" s="39" t="s">
        <v>53</v>
      </c>
      <c r="C143" s="40">
        <f>2510-131.8</f>
        <v>2378.2</v>
      </c>
      <c r="D143" s="40">
        <v>2289</v>
      </c>
      <c r="E143" s="21">
        <f t="shared" si="1"/>
        <v>0.9624926414935666</v>
      </c>
    </row>
    <row r="144" spans="1:5" ht="31.5" customHeight="1">
      <c r="A144" s="37"/>
      <c r="B144" s="39" t="s">
        <v>54</v>
      </c>
      <c r="C144" s="40">
        <v>750.7</v>
      </c>
      <c r="D144" s="40">
        <v>497.6</v>
      </c>
      <c r="E144" s="21">
        <f t="shared" si="1"/>
        <v>0.6628480085253763</v>
      </c>
    </row>
    <row r="145" spans="1:5" ht="33" customHeight="1" hidden="1">
      <c r="A145" s="37"/>
      <c r="B145" s="19" t="s">
        <v>50</v>
      </c>
      <c r="C145" s="20"/>
      <c r="D145" s="20"/>
      <c r="E145" s="21" t="e">
        <f t="shared" si="1"/>
        <v>#DIV/0!</v>
      </c>
    </row>
    <row r="146" spans="1:5" ht="126">
      <c r="A146" s="37"/>
      <c r="B146" s="19" t="s">
        <v>171</v>
      </c>
      <c r="C146" s="20">
        <v>247.6</v>
      </c>
      <c r="D146" s="20">
        <v>247.6</v>
      </c>
      <c r="E146" s="21">
        <f t="shared" si="1"/>
        <v>1</v>
      </c>
    </row>
    <row r="147" spans="1:5" ht="110.25">
      <c r="A147" s="37"/>
      <c r="B147" s="19" t="s">
        <v>162</v>
      </c>
      <c r="C147" s="20">
        <f>998.4-119.4</f>
        <v>879</v>
      </c>
      <c r="D147" s="20">
        <f>998.4-119.4</f>
        <v>879</v>
      </c>
      <c r="E147" s="21">
        <f aca="true" t="shared" si="2" ref="E147:E162">SUM(D147/C147)</f>
        <v>1</v>
      </c>
    </row>
    <row r="148" spans="1:6" ht="47.25">
      <c r="A148" s="41"/>
      <c r="B148" s="19" t="s">
        <v>172</v>
      </c>
      <c r="C148" s="20">
        <f>1094+476.1-237.8</f>
        <v>1332.3</v>
      </c>
      <c r="D148" s="20">
        <v>1030.9</v>
      </c>
      <c r="E148" s="21">
        <f t="shared" si="2"/>
        <v>0.7737746753734145</v>
      </c>
      <c r="F148" s="15"/>
    </row>
    <row r="149" spans="1:6" ht="31.5">
      <c r="A149" s="17" t="s">
        <v>210</v>
      </c>
      <c r="B149" s="30" t="s">
        <v>211</v>
      </c>
      <c r="C149" s="13">
        <f>SUM(C150)</f>
        <v>160.6</v>
      </c>
      <c r="D149" s="13">
        <f>SUM(D150)</f>
        <v>69.183</v>
      </c>
      <c r="E149" s="14">
        <f t="shared" si="2"/>
        <v>0.43077833125778336</v>
      </c>
      <c r="F149" s="15"/>
    </row>
    <row r="150" spans="1:6" ht="31.5">
      <c r="A150" s="10" t="s">
        <v>209</v>
      </c>
      <c r="B150" s="19" t="s">
        <v>212</v>
      </c>
      <c r="C150" s="20">
        <f>188.9-28.3</f>
        <v>160.6</v>
      </c>
      <c r="D150" s="20">
        <v>69.183</v>
      </c>
      <c r="E150" s="14">
        <f t="shared" si="2"/>
        <v>0.43077833125778336</v>
      </c>
      <c r="F150" s="15"/>
    </row>
    <row r="151" spans="1:5" ht="17.25" customHeight="1">
      <c r="A151" s="17" t="s">
        <v>49</v>
      </c>
      <c r="B151" s="30" t="s">
        <v>48</v>
      </c>
      <c r="C151" s="13">
        <f>SUM(C153)+C155</f>
        <v>12480.300000000001</v>
      </c>
      <c r="D151" s="13">
        <f>SUM(D153)+D155</f>
        <v>12099.683</v>
      </c>
      <c r="E151" s="14">
        <f t="shared" si="2"/>
        <v>0.9695025760598703</v>
      </c>
    </row>
    <row r="152" spans="1:5" ht="63" customHeight="1" hidden="1">
      <c r="A152" s="10" t="s">
        <v>66</v>
      </c>
      <c r="B152" s="19" t="s">
        <v>67</v>
      </c>
      <c r="C152" s="20"/>
      <c r="D152" s="20"/>
      <c r="E152" s="14" t="e">
        <f t="shared" si="2"/>
        <v>#DIV/0!</v>
      </c>
    </row>
    <row r="153" spans="1:5" s="31" customFormat="1" ht="48.75" customHeight="1">
      <c r="A153" s="17" t="s">
        <v>148</v>
      </c>
      <c r="B153" s="42" t="s">
        <v>147</v>
      </c>
      <c r="C153" s="13">
        <f>SUM(C154)</f>
        <v>3.7</v>
      </c>
      <c r="D153" s="13">
        <f>SUM(D154)</f>
        <v>3.7</v>
      </c>
      <c r="E153" s="14">
        <f t="shared" si="2"/>
        <v>1</v>
      </c>
    </row>
    <row r="154" spans="1:6" ht="94.5">
      <c r="A154" s="43" t="s">
        <v>149</v>
      </c>
      <c r="B154" s="44" t="s">
        <v>181</v>
      </c>
      <c r="C154" s="45">
        <v>3.7</v>
      </c>
      <c r="D154" s="45">
        <v>3.7</v>
      </c>
      <c r="E154" s="14">
        <f t="shared" si="2"/>
        <v>1</v>
      </c>
      <c r="F154" s="15"/>
    </row>
    <row r="155" spans="1:6" ht="18.75" customHeight="1">
      <c r="A155" s="17" t="s">
        <v>183</v>
      </c>
      <c r="B155" s="30" t="s">
        <v>184</v>
      </c>
      <c r="C155" s="13">
        <f>SUM(C156:C159)</f>
        <v>12476.6</v>
      </c>
      <c r="D155" s="13">
        <f>SUM(D156+D157+D158+D159)</f>
        <v>12095.983</v>
      </c>
      <c r="E155" s="14">
        <f t="shared" si="2"/>
        <v>0.9694935318917013</v>
      </c>
      <c r="F155" s="15"/>
    </row>
    <row r="156" spans="1:6" ht="110.25">
      <c r="A156" s="36" t="s">
        <v>185</v>
      </c>
      <c r="B156" s="46" t="s">
        <v>261</v>
      </c>
      <c r="C156" s="45">
        <f>9479.1-208.4</f>
        <v>9270.7</v>
      </c>
      <c r="D156" s="45">
        <v>9200.686</v>
      </c>
      <c r="E156" s="21">
        <f t="shared" si="2"/>
        <v>0.9924478194742575</v>
      </c>
      <c r="F156" s="15"/>
    </row>
    <row r="157" spans="1:6" ht="126">
      <c r="A157" s="37"/>
      <c r="B157" s="46" t="s">
        <v>262</v>
      </c>
      <c r="C157" s="45">
        <v>1929.4</v>
      </c>
      <c r="D157" s="45">
        <v>1702.947</v>
      </c>
      <c r="E157" s="21">
        <f t="shared" si="2"/>
        <v>0.8826303514045817</v>
      </c>
      <c r="F157" s="15"/>
    </row>
    <row r="158" spans="1:6" ht="31.5">
      <c r="A158" s="37"/>
      <c r="B158" s="46" t="s">
        <v>263</v>
      </c>
      <c r="C158" s="45">
        <v>1000</v>
      </c>
      <c r="D158" s="45">
        <v>1000</v>
      </c>
      <c r="E158" s="21">
        <f t="shared" si="2"/>
        <v>1</v>
      </c>
      <c r="F158" s="15"/>
    </row>
    <row r="159" spans="1:6" ht="157.5">
      <c r="A159" s="41"/>
      <c r="B159" s="46" t="s">
        <v>264</v>
      </c>
      <c r="C159" s="45">
        <v>276.5</v>
      </c>
      <c r="D159" s="45">
        <v>192.35</v>
      </c>
      <c r="E159" s="21">
        <f t="shared" si="2"/>
        <v>0.6956600361663653</v>
      </c>
      <c r="F159" s="15"/>
    </row>
    <row r="160" spans="1:5" s="31" customFormat="1" ht="31.5">
      <c r="A160" s="47" t="s">
        <v>254</v>
      </c>
      <c r="B160" s="48" t="s">
        <v>253</v>
      </c>
      <c r="C160" s="49">
        <f>SUM(C161)</f>
        <v>0</v>
      </c>
      <c r="D160" s="49">
        <f>SUM(D161)</f>
        <v>-1509.986</v>
      </c>
      <c r="E160" s="14" t="s">
        <v>239</v>
      </c>
    </row>
    <row r="161" spans="1:5" s="15" customFormat="1" ht="31.5">
      <c r="A161" s="43" t="s">
        <v>256</v>
      </c>
      <c r="B161" s="46" t="s">
        <v>255</v>
      </c>
      <c r="C161" s="45">
        <v>0</v>
      </c>
      <c r="D161" s="45">
        <v>-1509.986</v>
      </c>
      <c r="E161" s="21" t="s">
        <v>239</v>
      </c>
    </row>
    <row r="162" spans="1:6" ht="18.75" customHeight="1">
      <c r="A162" s="10"/>
      <c r="B162" s="18" t="s">
        <v>51</v>
      </c>
      <c r="C162" s="13">
        <f>C97+C9</f>
        <v>607285.8</v>
      </c>
      <c r="D162" s="13">
        <f>D97+D9</f>
        <v>614028.42552</v>
      </c>
      <c r="E162" s="14">
        <f t="shared" si="2"/>
        <v>1.0111028868450407</v>
      </c>
      <c r="F162" s="15">
        <f>D162-D127</f>
        <v>443221.90300000005</v>
      </c>
    </row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</sheetData>
  <sheetProtection/>
  <mergeCells count="5">
    <mergeCell ref="A156:A159"/>
    <mergeCell ref="H67:L67"/>
    <mergeCell ref="A133:A148"/>
    <mergeCell ref="A106:A126"/>
    <mergeCell ref="A6:E6"/>
  </mergeCells>
  <printOptions horizontalCentered="1"/>
  <pageMargins left="0.3937007874015748" right="0.3937007874015748" top="1.1811023622047245" bottom="0.3937007874015748" header="0.5118110236220472" footer="0.5118110236220472"/>
  <pageSetup fitToHeight="6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MashBur</cp:lastModifiedBy>
  <cp:lastPrinted>2017-05-02T03:01:38Z</cp:lastPrinted>
  <dcterms:created xsi:type="dcterms:W3CDTF">1996-10-08T23:32:33Z</dcterms:created>
  <dcterms:modified xsi:type="dcterms:W3CDTF">2017-05-02T03:06:25Z</dcterms:modified>
  <cp:category/>
  <cp:version/>
  <cp:contentType/>
  <cp:contentStatus/>
</cp:coreProperties>
</file>