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4846" yWindow="915" windowWidth="14250" windowHeight="11250" tabRatio="923" firstSheet="8" activeTab="13"/>
  </bookViews>
  <sheets>
    <sheet name="пр.дох.20" sheetId="1" r:id="rId1"/>
    <sheet name="Пр.1.1. дох.21-22" sheetId="12" r:id="rId2"/>
    <sheet name="пр.4 Рд,пр 20" sheetId="2" r:id="rId3"/>
    <sheet name="пр.4.1. рдпр 21-22" sheetId="13" r:id="rId4"/>
    <sheet name="Пр.5 Рд,пр, ЦС,ВР 20" sheetId="3" r:id="rId5"/>
    <sheet name="пр.5.1.рдпрцс 21-22" sheetId="14" r:id="rId6"/>
    <sheet name="Пр.6 ведом.20" sheetId="4" r:id="rId7"/>
    <sheet name="Прил.№5 ведомств.старая" sheetId="10" state="hidden" r:id="rId8"/>
    <sheet name="пр.6.1.ведом.21-22" sheetId="15" r:id="rId9"/>
    <sheet name="пр.7 МП 20" sheetId="5" r:id="rId10"/>
    <sheet name="прил.№6 МП старая" sheetId="11" state="hidden" r:id="rId11"/>
    <sheet name="пр.7.1.МП 21-22" sheetId="16" r:id="rId12"/>
    <sheet name="пр.8 публ. 20" sheetId="6" r:id="rId13"/>
    <sheet name="пр.8.1.публ.21-22" sheetId="17" r:id="rId14"/>
    <sheet name="пр.9 ист-ки 20" sheetId="7" state="hidden" r:id="rId15"/>
    <sheet name="пр.9.1.ист-ки 21-22 " sheetId="18" state="hidden" r:id="rId16"/>
  </sheets>
  <definedNames>
    <definedName name="_xlnm.Print_Area" localSheetId="2">'пр.4 Рд,пр 20'!$A$1:$D$50</definedName>
    <definedName name="_xlnm.Print_Area" localSheetId="4">'Пр.5 Рд,пр, ЦС,ВР 20'!$A$1:$F$963</definedName>
    <definedName name="_xlnm.Print_Area" localSheetId="6">'Пр.6 ведом.20'!$A$1:$I$1052</definedName>
    <definedName name="_xlnm.Print_Area" localSheetId="9">'пр.7 МП 20'!$A$1:$G$906</definedName>
    <definedName name="_xlnm.Print_Area" localSheetId="14">'пр.9 ист-ки 20'!$A$1:$C$14</definedName>
    <definedName name="_xlnm.Print_Area" localSheetId="0">'пр.дох.20'!$A$1:$C$133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sharedStrings.xml><?xml version="1.0" encoding="utf-8"?>
<sst xmlns="http://schemas.openxmlformats.org/spreadsheetml/2006/main" count="32860" uniqueCount="1395">
  <si>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</si>
  <si>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</si>
  <si>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</si>
  <si>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</si>
  <si>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</si>
  <si>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</si>
  <si>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</si>
  <si>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</si>
  <si>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</si>
  <si>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</si>
  <si>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</si>
  <si>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</si>
  <si>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</si>
  <si>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</si>
  <si>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</si>
  <si>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</si>
  <si>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</si>
  <si>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</si>
  <si>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</si>
  <si>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</si>
  <si>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</si>
  <si>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</si>
  <si>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</si>
  <si>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</si>
  <si>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</si>
  <si>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</si>
  <si>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</si>
  <si>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</si>
  <si>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</si>
  <si>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</si>
  <si>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</si>
  <si>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</si>
  <si>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</si>
  <si>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</si>
  <si>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</si>
  <si>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</si>
  <si>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</si>
  <si>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</si>
  <si>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</si>
  <si>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</si>
  <si>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</si>
  <si>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</si>
  <si>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</si>
  <si>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</si>
  <si>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</si>
  <si>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</si>
  <si>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</si>
  <si>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</si>
  <si>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</si>
  <si>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</si>
  <si>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</si>
  <si>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</si>
  <si>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</si>
  <si>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</si>
  <si>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</si>
  <si>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</si>
  <si>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</si>
  <si>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</si>
  <si>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</si>
  <si>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</si>
  <si>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</si>
  <si>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</si>
  <si>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</si>
  <si>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</si>
  <si>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</si>
  <si>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</si>
  <si>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</si>
  <si>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</si>
  <si>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</si>
  <si>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</si>
  <si>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</si>
  <si>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</si>
  <si>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</si>
  <si>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</si>
  <si>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</si>
  <si>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</si>
  <si>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</si>
  <si>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</si>
  <si>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</si>
  <si>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</si>
  <si>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</si>
  <si>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</si>
  <si>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</si>
  <si>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</si>
  <si>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</si>
  <si>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</si>
  <si>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</si>
  <si>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</si>
  <si>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</si>
  <si>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</si>
  <si>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</si>
  <si>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</si>
  <si>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</si>
  <si>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</si>
  <si>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</si>
  <si>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</si>
  <si>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</si>
  <si>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</si>
  <si>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</si>
  <si>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</si>
  <si>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</si>
  <si>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</si>
  <si>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</si>
  <si>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</si>
  <si>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</si>
  <si>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</si>
  <si>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</si>
  <si>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</si>
  <si>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</si>
  <si>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</si>
  <si>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</si>
  <si>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</si>
  <si>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</si>
  <si>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</si>
  <si>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</si>
  <si>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</si>
  <si>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</si>
  <si>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</si>
  <si>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</si>
  <si>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</si>
  <si>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</si>
  <si>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</si>
  <si>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</si>
  <si>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</si>
  <si>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</si>
  <si>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</si>
  <si>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</si>
  <si>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</si>
  <si>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</si>
  <si>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</si>
  <si>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</si>
  <si>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</si>
  <si>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</si>
  <si>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</si>
  <si>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</si>
  <si>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</si>
  <si>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</si>
  <si>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</si>
  <si>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</si>
  <si>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</si>
  <si>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</si>
  <si>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</si>
  <si>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</si>
  <si>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</si>
  <si>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</si>
  <si>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</si>
  <si>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</si>
  <si>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</si>
  <si>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</si>
  <si>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</si>
  <si>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</si>
  <si>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</si>
  <si>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</si>
  <si>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</si>
  <si>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</si>
  <si>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</si>
  <si>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</si>
  <si>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</si>
  <si>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</si>
  <si>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</si>
  <si>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</si>
  <si>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</si>
  <si>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</si>
  <si>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</si>
  <si>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</si>
  <si>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</si>
  <si>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</si>
  <si>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</si>
  <si>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</si>
  <si>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</si>
  <si>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</si>
  <si>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</si>
  <si>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</si>
  <si>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</si>
  <si>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</si>
  <si>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</si>
  <si>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</si>
  <si>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</si>
  <si>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</si>
  <si>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</si>
  <si>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</si>
  <si>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</si>
  <si>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</si>
  <si>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</si>
  <si>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</si>
  <si>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</si>
  <si>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</si>
  <si>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</si>
  <si>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</si>
  <si>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</si>
  <si>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</si>
  <si>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</si>
  <si>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</si>
  <si>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</si>
  <si>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</si>
  <si>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</si>
  <si>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</si>
  <si>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</si>
  <si>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</si>
  <si>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</si>
  <si>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</si>
  <si>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</si>
  <si>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</si>
  <si>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</si>
  <si>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</si>
  <si>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</si>
  <si>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</si>
  <si>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</si>
  <si>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</si>
  <si>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</si>
  <si>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</si>
  <si>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</si>
  <si>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</si>
  <si>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</si>
  <si>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</si>
  <si>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</si>
  <si>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</si>
  <si>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</si>
  <si>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</si>
  <si>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</si>
  <si>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</si>
  <si>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</si>
  <si>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</si>
  <si>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</si>
  <si>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</si>
  <si>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</si>
  <si>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</si>
  <si>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</si>
  <si>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</si>
  <si>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</si>
  <si>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</si>
  <si>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</si>
  <si>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</si>
  <si>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</si>
  <si>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</si>
  <si>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</si>
  <si>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</si>
  <si>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</si>
  <si>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</si>
  <si>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</si>
  <si>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</si>
  <si>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</si>
  <si>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</si>
  <si>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</si>
  <si>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</si>
  <si>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</si>
  <si>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</si>
  <si>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</si>
  <si>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</si>
  <si>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</si>
  <si>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</si>
  <si>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</si>
  <si>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</si>
  <si>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</si>
  <si>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</si>
  <si>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</si>
  <si>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</si>
  <si>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</si>
  <si>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</si>
  <si>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</si>
  <si>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</si>
  <si>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</si>
  <si>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</si>
  <si>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</si>
  <si>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</si>
  <si>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</si>
  <si>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</si>
  <si>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</si>
  <si>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</si>
  <si>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</si>
  <si>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</si>
  <si>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</si>
  <si>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</si>
  <si>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</si>
  <si>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</si>
  <si>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</si>
  <si>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</si>
  <si>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</si>
  <si>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</si>
  <si>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</si>
  <si>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</si>
  <si>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</si>
  <si>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</si>
  <si>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</si>
  <si>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</si>
  <si>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</si>
  <si>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</si>
  <si>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</si>
  <si>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</si>
  <si>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</si>
  <si>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</si>
  <si>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</si>
  <si>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</si>
  <si>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</si>
  <si>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</si>
  <si>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</si>
  <si>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</si>
  <si>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</si>
  <si>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</si>
  <si>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</si>
  <si>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</si>
  <si>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</si>
  <si>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</si>
  <si>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</si>
  <si>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</si>
  <si>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</si>
  <si>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</si>
  <si>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</si>
  <si>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</si>
  <si>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</si>
  <si>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</si>
  <si>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</si>
  <si>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</si>
  <si>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</si>
  <si>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</si>
  <si>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</si>
  <si>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</si>
  <si>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</si>
  <si>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</si>
  <si>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</si>
  <si>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</si>
  <si>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</si>
  <si>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</si>
  <si>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</si>
  <si>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</si>
  <si>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</si>
  <si>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</si>
  <si>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</si>
  <si>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</si>
  <si>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</si>
  <si>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</si>
  <si>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</si>
  <si>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</si>
  <si>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</si>
  <si>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</si>
  <si>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</si>
  <si>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</si>
  <si>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</si>
  <si>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</si>
  <si>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</si>
  <si>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</si>
  <si>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</si>
  <si>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</si>
  <si>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</si>
  <si>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</si>
  <si>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</si>
  <si>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</si>
  <si>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</si>
  <si>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</si>
  <si>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</si>
  <si>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</si>
  <si>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</si>
  <si>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</si>
  <si>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</si>
  <si>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</si>
  <si>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</si>
  <si>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</si>
  <si>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</si>
  <si>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</si>
  <si>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</si>
  <si>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</si>
  <si>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</si>
  <si>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</si>
  <si>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</si>
  <si>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</si>
  <si>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</si>
  <si>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</si>
  <si>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</si>
  <si>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</si>
  <si>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</si>
  <si>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</si>
  <si>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</si>
  <si>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</si>
  <si>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</si>
  <si>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</si>
  <si>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</si>
  <si>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</si>
  <si>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</si>
  <si>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</si>
  <si>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</si>
  <si>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</si>
  <si>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</si>
  <si>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</si>
  <si>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</si>
  <si>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</si>
  <si>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</si>
  <si>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</si>
  <si>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</si>
  <si>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</si>
  <si>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</si>
  <si>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</si>
  <si>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</si>
  <si>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</si>
  <si>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</si>
  <si>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</si>
  <si>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</si>
  <si>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</si>
  <si>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</si>
  <si>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</si>
  <si>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</si>
  <si>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</si>
  <si>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</si>
  <si>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</si>
  <si>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</si>
  <si>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</si>
  <si>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</si>
  <si>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</si>
  <si>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</si>
  <si>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</si>
  <si>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</si>
  <si>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</si>
  <si>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</si>
  <si>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</si>
  <si>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</si>
  <si>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</si>
  <si>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</si>
  <si>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</si>
  <si>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</si>
  <si>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</si>
  <si>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</si>
  <si>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</si>
  <si>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</si>
  <si>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</si>
  <si>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</si>
  <si>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</si>
  <si>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</si>
  <si>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</si>
  <si>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</si>
  <si>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</si>
  <si>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</si>
  <si>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</si>
  <si>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</si>
  <si>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</si>
  <si>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</si>
  <si>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</si>
  <si>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</si>
  <si>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</si>
  <si>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</si>
  <si>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</si>
  <si>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</si>
  <si>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</si>
  <si>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</si>
  <si>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</si>
  <si>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</si>
  <si>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</si>
  <si>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</si>
  <si>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</si>
  <si>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</si>
  <si>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</si>
  <si>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</si>
  <si>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</si>
  <si>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</si>
  <si>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</si>
  <si>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</si>
  <si>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</si>
  <si>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</si>
  <si>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</si>
  <si>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</si>
  <si>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</si>
  <si>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</si>
  <si>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</si>
  <si>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</si>
  <si>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</si>
  <si>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</si>
  <si>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</si>
  <si>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</si>
  <si>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</si>
  <si>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</si>
  <si>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</si>
  <si>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</si>
  <si>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</si>
  <si>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</si>
  <si>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</si>
  <si>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</si>
  <si>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</si>
  <si>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</si>
  <si>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</si>
  <si>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</si>
  <si>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</si>
  <si>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</si>
  <si>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</si>
  <si>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</si>
  <si>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</si>
  <si>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</si>
  <si>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</si>
  <si>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</si>
  <si>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</si>
  <si>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</si>
  <si>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</si>
  <si>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</si>
  <si>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</si>
  <si>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</si>
  <si>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</si>
  <si>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</si>
  <si>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</si>
  <si>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</si>
  <si>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</si>
  <si>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</si>
  <si>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</si>
  <si>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</si>
  <si>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</si>
  <si>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</si>
  <si>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</si>
  <si>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</si>
  <si>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</si>
  <si>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</si>
  <si>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</si>
  <si>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</si>
  <si>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</si>
  <si>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</si>
  <si>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</si>
  <si>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</si>
  <si>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</si>
  <si>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</si>
  <si>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</si>
  <si>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</si>
  <si>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</si>
  <si>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</si>
  <si>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</si>
  <si>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</si>
  <si>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</si>
  <si>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</si>
  <si>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</si>
  <si>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</si>
  <si>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</si>
  <si>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</si>
  <si>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</si>
  <si>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</si>
  <si>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</si>
  <si>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</si>
  <si>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</si>
  <si>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</si>
  <si>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</si>
  <si>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</si>
  <si>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</si>
  <si>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</si>
  <si>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</si>
  <si>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</si>
  <si>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</si>
  <si>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</si>
  <si>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</si>
  <si>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</si>
  <si>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</si>
  <si>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</si>
  <si>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</si>
  <si>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</si>
  <si>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</si>
  <si>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</si>
  <si>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</si>
  <si>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</si>
  <si>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</si>
  <si>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</si>
  <si>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</si>
  <si>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</si>
  <si>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</si>
  <si>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</si>
  <si>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</si>
  <si>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</si>
  <si>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</si>
  <si>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</si>
  <si>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</si>
  <si>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</si>
  <si>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</si>
  <si>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</si>
  <si>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</si>
  <si>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</si>
  <si>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</si>
  <si>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</si>
  <si>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</si>
  <si>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</si>
  <si>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</si>
  <si>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</si>
  <si>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</si>
  <si>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</si>
  <si>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</si>
  <si>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</si>
  <si>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</si>
  <si>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</si>
  <si>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</si>
  <si>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</si>
  <si>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</si>
  <si>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</si>
  <si>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</si>
  <si>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</si>
  <si>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</si>
  <si>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</si>
  <si>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</si>
  <si>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</si>
  <si>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</si>
  <si>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</si>
  <si>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</si>
  <si>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</si>
  <si>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</si>
  <si>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</si>
  <si>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</si>
  <si>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</si>
  <si>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</si>
  <si>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</si>
  <si>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</si>
  <si>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</si>
  <si>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</si>
  <si>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</si>
  <si>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</si>
  <si>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</si>
  <si>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</si>
  <si>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</si>
  <si>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</si>
  <si>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</si>
  <si>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</si>
  <si>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</si>
  <si>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</si>
  <si>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</si>
  <si>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</si>
  <si>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</si>
  <si>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</si>
  <si>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</si>
  <si>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</si>
  <si>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</si>
  <si>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</si>
  <si>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</si>
  <si>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</si>
  <si>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</si>
  <si>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</si>
  <si>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</si>
  <si>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</si>
  <si>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</si>
  <si>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</si>
  <si>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</si>
  <si>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</si>
  <si>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</si>
  <si>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</si>
  <si>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</si>
  <si>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</si>
  <si>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</si>
  <si>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</si>
  <si>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</si>
  <si>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</si>
  <si>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</si>
  <si>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</si>
  <si>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</si>
  <si>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</si>
  <si>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</si>
  <si>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</si>
  <si>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</si>
  <si>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</si>
  <si>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</si>
  <si>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</si>
  <si>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</si>
  <si>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</si>
  <si>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</si>
  <si>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</si>
  <si>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</si>
  <si>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</si>
  <si>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</si>
  <si>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</si>
  <si>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</si>
  <si>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</si>
  <si>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</si>
  <si>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</si>
  <si>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</si>
  <si>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</si>
  <si>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</si>
  <si>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</si>
  <si>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</si>
  <si>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</si>
  <si>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</si>
  <si>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</si>
  <si>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</si>
  <si>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</si>
  <si>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</si>
  <si>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</si>
  <si>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</si>
  <si>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</si>
  <si>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</si>
  <si>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</si>
  <si>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</si>
  <si>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</si>
  <si>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</si>
  <si>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</si>
  <si>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</si>
  <si>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</si>
  <si>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</si>
  <si>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</si>
  <si>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</si>
  <si>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</si>
  <si>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</si>
  <si>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</si>
  <si>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</si>
  <si>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</si>
  <si>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</si>
  <si>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</si>
  <si>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</si>
  <si>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</si>
  <si>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</si>
  <si>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</si>
  <si>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</si>
  <si>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</si>
  <si>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</si>
  <si>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</si>
  <si>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</si>
  <si>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</si>
  <si>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</si>
  <si>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</si>
  <si>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</si>
  <si>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</si>
  <si>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</si>
  <si>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</si>
  <si>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</si>
  <si>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</si>
  <si>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</si>
  <si>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</si>
  <si>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</si>
  <si>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</si>
  <si>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</si>
  <si>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</si>
  <si>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</si>
  <si>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</si>
  <si>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</si>
  <si>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</si>
  <si>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</si>
  <si>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</si>
  <si>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</si>
  <si>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</si>
  <si>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</si>
  <si>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</si>
  <si>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</si>
  <si>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</si>
  <si>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</si>
  <si>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</si>
  <si>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</si>
  <si>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</si>
  <si>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</si>
  <si>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</si>
  <si>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</si>
  <si>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</si>
  <si>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</si>
  <si>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</si>
  <si>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</si>
  <si>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</si>
  <si>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</si>
  <si>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</si>
  <si>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</si>
  <si>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</si>
  <si>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</si>
  <si>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</si>
  <si>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</si>
  <si>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</si>
  <si>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</si>
  <si>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</si>
  <si>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</si>
  <si>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</si>
  <si>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</si>
  <si>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</si>
  <si>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</si>
  <si>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</si>
  <si>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</si>
  <si>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</si>
  <si>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</si>
  <si>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</si>
  <si>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</si>
  <si>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</si>
  <si>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</si>
  <si>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</si>
  <si>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</si>
  <si>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</si>
  <si>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</si>
  <si>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</si>
  <si>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</si>
  <si>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</si>
  <si>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</si>
  <si>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</si>
  <si>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</si>
  <si>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</si>
  <si>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</si>
  <si>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</si>
  <si>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</si>
  <si>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</si>
  <si>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</si>
  <si>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</si>
  <si>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</si>
  <si>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</si>
  <si>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</si>
  <si>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</si>
  <si>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</si>
  <si>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</si>
  <si>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</si>
  <si>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</si>
  <si>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</si>
  <si>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</si>
  <si>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</si>
  <si>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</si>
  <si>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</si>
  <si>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</si>
  <si>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</si>
  <si>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</si>
  <si>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</si>
  <si>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</si>
  <si>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</si>
  <si>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</si>
  <si>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</si>
  <si>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</si>
  <si>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</si>
  <si>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</si>
  <si>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</si>
  <si>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</si>
  <si>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</si>
  <si>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2017-2019годы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</si>
  <si>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</si>
  <si>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</si>
  <si>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</si>
  <si>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</si>
  <si>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</si>
  <si>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</si>
  <si>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</si>
  <si>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</si>
  <si>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</si>
  <si>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910</t>
  </si>
  <si>
    <t>Муниципальная программа "Развитие малого и среднего предпринимательства в Омсукчанском городском округе на 2018-2020 годы"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</si>
  <si>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</si>
  <si>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</si>
  <si>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</si>
  <si>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Муниципальная программа "Развитие муниципальной службы в Омсукчанском городском округе на 2018-2020годы"</t>
  </si>
  <si>
    <t>Муниципальная программа "Развитие муниципальной службы в Омсукчанском городском округе на 2018-2020 годы"</t>
  </si>
  <si>
    <t>Муниципальная программа "Энергосбережение и повышение энергетической эффективности в Омсукчанском городском округе" на 2018-2020 годы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</si>
  <si>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</si>
  <si>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>Муниципальная программа "Формирование современной городской среды муниципального образования "Омсукчанский городской округ" на 2018 -2022 годы"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</si>
  <si>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</si>
  <si>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</si>
  <si>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</si>
  <si>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</si>
  <si>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</si>
  <si>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</si>
  <si>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</si>
  <si>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Целевые субсидии муниципальным учреждениям 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</si>
  <si>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</si>
  <si>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</si>
  <si>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>Обучение специалистов для организации обучения детей с ограниченными возможностями здоровья, в том числе детей инвалидов</t>
  </si>
  <si>
    <t xml:space="preserve">Обеспечение деятельности казенных учреждений </t>
  </si>
  <si>
    <t>Приложение № 7</t>
  </si>
  <si>
    <t>Субсидии муниципальным учреждениям спорта на выполнение муниципального задания ( МБУ ФОК "Жемчужина" п. Омсукчан)</t>
  </si>
  <si>
    <t>Субсидии муниципальным учреждениям спорта на выполнение муниципального задания ( МБУ "ОСОК")</t>
  </si>
  <si>
    <t>Субсидии муниципальным учреждениям спорта на выполнение муниципального задания ( МБУ "Спортивная школа п.Омсукчан")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</si>
  <si>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</si>
  <si>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 xml:space="preserve"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</t>
  </si>
  <si>
    <t>Субсидии бюджетам городских округов на реализацию мероприятий подпрограммы "Развитие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</si>
  <si>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</si>
  <si>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</si>
  <si>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</si>
  <si>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 xml:space="preserve"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</si>
  <si>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</si>
  <si>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</si>
  <si>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</si>
  <si>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</si>
  <si>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</si>
  <si>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</si>
  <si>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</si>
  <si>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</si>
  <si>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</si>
  <si>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</si>
  <si>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</si>
  <si>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</si>
  <si>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</si>
  <si>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Субсидии муниципальным учреждениям спорта на выполнение муниципального задания ( МБУ "ОСОК п.Омсукчан")</t>
  </si>
  <si>
    <t>Субсидии муниципальным учреждениям спорта на выполнение муниципального задания ( МБУ "ФОК "Жемчужина" п. Омсукчан")</t>
  </si>
  <si>
    <t>Проведение казенными учреждениями  мероприятий в области культуры и искусства</t>
  </si>
  <si>
    <t>67 0 00 00000</t>
  </si>
  <si>
    <t>69 0 00 00000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</si>
  <si>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2019-2021 годы"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</si>
  <si>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</si>
  <si>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</si>
  <si>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</si>
  <si>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</si>
  <si>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</si>
  <si>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</si>
  <si>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</si>
  <si>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</si>
  <si>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Субсидии бюджетам городских округов,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на 2017-2021 годы»   государственной  программы 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2019 год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</si>
  <si>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</si>
  <si>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</si>
  <si>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</si>
  <si>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</si>
  <si>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</si>
  <si>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</si>
  <si>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</si>
  <si>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</si>
  <si>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</si>
  <si>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</si>
  <si>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</si>
  <si>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</si>
  <si>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</si>
  <si>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</si>
  <si>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без оплаты проезда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</si>
  <si>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</si>
  <si>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</si>
  <si>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</si>
  <si>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</si>
  <si>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</si>
  <si>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</si>
  <si>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</si>
  <si>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</si>
  <si>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</si>
  <si>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</si>
  <si>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</si>
  <si>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</si>
  <si>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</si>
  <si>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</si>
  <si>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</si>
  <si>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</si>
  <si>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</si>
  <si>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</si>
  <si>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</si>
  <si>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</si>
  <si>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</si>
  <si>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</si>
  <si>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</si>
  <si>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</si>
  <si>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</si>
  <si>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</si>
  <si>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</si>
  <si>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</si>
  <si>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</si>
  <si>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</si>
  <si>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</si>
  <si>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</si>
  <si>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</si>
  <si>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</si>
  <si>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</si>
  <si>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</si>
  <si>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</si>
  <si>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Организация и проведение ярмарок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</si>
  <si>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</si>
  <si>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</si>
  <si>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</si>
  <si>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</si>
  <si>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</si>
  <si>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</si>
  <si>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</si>
  <si>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</si>
  <si>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51 8 01 00000</t>
  </si>
  <si>
    <t>51 8 01 S3240</t>
  </si>
  <si>
    <t>51 8 01 73240</t>
  </si>
  <si>
    <t>Укрепление гражданского единства, гармонизация межнациональных отношений, профилактика экстремизма</t>
  </si>
  <si>
    <t>51 7 01 00000</t>
  </si>
  <si>
    <t>51 7 02 00000</t>
  </si>
  <si>
    <t>51 7 03 00000</t>
  </si>
  <si>
    <t>58 3 01 40000</t>
  </si>
  <si>
    <t>Основное мероприятие "Обеспечение деятельности подведомственных образовательных учреждений"</t>
  </si>
  <si>
    <t>58 3 01 00000</t>
  </si>
  <si>
    <t>58 3 02 01710</t>
  </si>
  <si>
    <t>58 3 02 00000</t>
  </si>
  <si>
    <t>58 3 03 00000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</si>
  <si>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</si>
  <si>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</si>
  <si>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</si>
  <si>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</si>
  <si>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</si>
  <si>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58 3 04 00000</t>
  </si>
  <si>
    <t>51 1 01 00000</t>
  </si>
  <si>
    <t>51 1 01 01730</t>
  </si>
  <si>
    <t>51 1 02 00000</t>
  </si>
  <si>
    <t>58 1 01 40000</t>
  </si>
  <si>
    <t>Основное мероприятие "Обеспечение деятельности подведомственных  учреждений культуры"</t>
  </si>
  <si>
    <t>58 1 01 00000</t>
  </si>
  <si>
    <t>58 1 02 00000</t>
  </si>
  <si>
    <t>58 1 02 01720</t>
  </si>
  <si>
    <t>58 2 01 00000</t>
  </si>
  <si>
    <t>58 2 01 40000</t>
  </si>
  <si>
    <t>58 2 02 00000</t>
  </si>
  <si>
    <t>58 2 02 01740</t>
  </si>
  <si>
    <t>58 2 03 00000</t>
  </si>
  <si>
    <t>58 2 04 00000</t>
  </si>
  <si>
    <t>51 6 01 00000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</si>
  <si>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</si>
  <si>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</si>
  <si>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</si>
  <si>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"Проведение мероприятий в области культуры и искусства"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</si>
  <si>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</si>
  <si>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</si>
  <si>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</si>
  <si>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</si>
  <si>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</si>
  <si>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</si>
  <si>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</si>
  <si>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</si>
  <si>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</si>
  <si>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Основное мероприятие "Поддержка граждан старшего поколения"</t>
  </si>
  <si>
    <t>51 4 01 00000</t>
  </si>
  <si>
    <t>51 4 01 01860</t>
  </si>
  <si>
    <t>51 4 02 00000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</si>
  <si>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</si>
  <si>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</si>
  <si>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</si>
  <si>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</si>
  <si>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</si>
  <si>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</si>
  <si>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</si>
  <si>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</si>
  <si>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с ЗАГС мб</t>
  </si>
  <si>
    <t>местная адм-ция, глава адм, ЗАГС мб, прочие работники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</si>
  <si>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</si>
  <si>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</si>
  <si>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</si>
  <si>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</si>
  <si>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</si>
  <si>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</si>
  <si>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</si>
  <si>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</si>
  <si>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</si>
  <si>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</si>
  <si>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</si>
  <si>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</si>
  <si>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</si>
  <si>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</si>
  <si>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новая формулировка</t>
  </si>
  <si>
    <t>52 1 01 00000</t>
  </si>
  <si>
    <t>Основное мероприятие "Развитие учреждений дошкольного образования"</t>
  </si>
  <si>
    <t>52 2 01 00000</t>
  </si>
  <si>
    <t>52 2 01 20030</t>
  </si>
  <si>
    <t>52 2 01 20040</t>
  </si>
  <si>
    <t>52 2 01 20050</t>
  </si>
  <si>
    <t>52 2 02 00000</t>
  </si>
  <si>
    <t>52 2 02 20070</t>
  </si>
  <si>
    <t>52 2 02 20140</t>
  </si>
  <si>
    <t>52 2 02 20150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</si>
  <si>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</si>
  <si>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52 2 03 00000</t>
  </si>
  <si>
    <t>52 2 03 S3С20</t>
  </si>
  <si>
    <t>52 2 03 73С20</t>
  </si>
  <si>
    <t>52 1 02 74060</t>
  </si>
  <si>
    <t>52 1 02 00000</t>
  </si>
  <si>
    <t>52 1 02 74120</t>
  </si>
  <si>
    <t>52 1 02 74070</t>
  </si>
  <si>
    <t>52 1 02 75010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</si>
  <si>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</si>
  <si>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</si>
  <si>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</si>
  <si>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</si>
  <si>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"Развитие учреждений основного образования"</t>
  </si>
  <si>
    <t>52 3 01 00000</t>
  </si>
  <si>
    <t>Основное мероприятие "Совершенствование питания учащихся"</t>
  </si>
  <si>
    <t>52 3 02 00000</t>
  </si>
  <si>
    <t>Основное мероприятие "Питание детей из многодетных семей"</t>
  </si>
  <si>
    <t>52 3 01 20010</t>
  </si>
  <si>
    <t>52 3 01 20030</t>
  </si>
  <si>
    <t>52 3 01 20040</t>
  </si>
  <si>
    <t>52 3 01 20060</t>
  </si>
  <si>
    <t>52 3 02 S3440</t>
  </si>
  <si>
    <t>52 3 02 73440</t>
  </si>
  <si>
    <t>52 3 03 00000</t>
  </si>
  <si>
    <t>52 3 03 S3950</t>
  </si>
  <si>
    <t>52 3 03 73950</t>
  </si>
  <si>
    <t>52 3 04 00000</t>
  </si>
  <si>
    <t>52 3 05 00000</t>
  </si>
  <si>
    <t>52 3 04 20070</t>
  </si>
  <si>
    <t>52 3 04 20140</t>
  </si>
  <si>
    <t>52 3 05 20170</t>
  </si>
  <si>
    <t>Основное мероприятие "Питание детей с ограниченными возможностями здоровья"</t>
  </si>
  <si>
    <t>52 1 02 74050</t>
  </si>
  <si>
    <t>52 1 02 74130</t>
  </si>
  <si>
    <t>52 1 01 13000</t>
  </si>
  <si>
    <t>Основное мероприятие "Развитие учреждений дополнительного образования"</t>
  </si>
  <si>
    <t>52 4 02 00000</t>
  </si>
  <si>
    <t>52 4 02 20140</t>
  </si>
  <si>
    <t xml:space="preserve">03 </t>
  </si>
  <si>
    <t>Основное мероприятие "Оздоровление детей и подростков"</t>
  </si>
  <si>
    <t>52 5 01 00000</t>
  </si>
  <si>
    <t>52 5 01 S3210</t>
  </si>
  <si>
    <t>52 5 01 73210</t>
  </si>
  <si>
    <t>02 0 02 01190</t>
  </si>
  <si>
    <t>57 1 01 00000</t>
  </si>
  <si>
    <t>52 1 01 11010</t>
  </si>
  <si>
    <t>Субсидии муниципальным учреждениям дошкольного образования на выполнение муниципального задания (МБДОУ "Детский сад п.Омсукчан")</t>
  </si>
  <si>
    <t>52 1 01 11020</t>
  </si>
  <si>
    <t>52 1 01 12010</t>
  </si>
  <si>
    <t>52 1 01 12020</t>
  </si>
  <si>
    <t>52 1 01 12030</t>
  </si>
  <si>
    <t>Субсидии муниципальным учреждениям общего образования на выполнение муниципального задания (МБОУ "СОШ п.Омсукчан"</t>
  </si>
  <si>
    <t>Субсидии муниципальным учреждениям общего образования на выполнение муниципального задания (МБОУ "СОШ п.Дукат")</t>
  </si>
  <si>
    <t>Субсидии муниципальным учреждениям общего образования на выполнение муниципального задания (МБОУ "ООШ п.Омсукчан")</t>
  </si>
  <si>
    <t>57 1 01 14010</t>
  </si>
  <si>
    <t>57 1 01 14020</t>
  </si>
  <si>
    <t>57 1 01 14030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</si>
  <si>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</si>
  <si>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</si>
  <si>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</si>
  <si>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</si>
  <si>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57 1 03 00000</t>
  </si>
  <si>
    <t>57 1 02 20030</t>
  </si>
  <si>
    <t>57 1 02 20040</t>
  </si>
  <si>
    <t>57 1 02 20060</t>
  </si>
  <si>
    <t>57 1 03 20070</t>
  </si>
  <si>
    <t>57 1 03 20140</t>
  </si>
  <si>
    <t>57 1 04 00000</t>
  </si>
  <si>
    <t>57 1 04 75010</t>
  </si>
  <si>
    <t>Основное мероприятие "Проведение физкультурно-спортивных мероприятий"</t>
  </si>
  <si>
    <t>57 3 01 00000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</si>
  <si>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</si>
  <si>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</si>
  <si>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</si>
  <si>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</si>
  <si>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</si>
  <si>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</si>
  <si>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</si>
  <si>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</si>
  <si>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</si>
  <si>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</si>
  <si>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</si>
  <si>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</si>
  <si>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</si>
  <si>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</si>
  <si>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</si>
  <si>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</si>
  <si>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</si>
  <si>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</si>
  <si>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</si>
  <si>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</si>
  <si>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</si>
  <si>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</si>
  <si>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</si>
  <si>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</si>
  <si>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</si>
  <si>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</si>
  <si>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</si>
  <si>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</si>
  <si>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</si>
  <si>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</si>
  <si>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</si>
  <si>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</si>
  <si>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60 1 01 00000</t>
  </si>
  <si>
    <t>60 1 01 01280</t>
  </si>
  <si>
    <t>Основное мероприятие "Создание комфортных условий для проживания населения"</t>
  </si>
  <si>
    <t>60 1 01 01390</t>
  </si>
  <si>
    <t>60 1 01 01400</t>
  </si>
  <si>
    <t>60 2 01 00000</t>
  </si>
  <si>
    <t>60 2 01 01400</t>
  </si>
  <si>
    <t>60 2 01 01410</t>
  </si>
  <si>
    <t>60 2 01 01420</t>
  </si>
  <si>
    <t>60 2 01 01430</t>
  </si>
  <si>
    <t>60 2 02 00000</t>
  </si>
  <si>
    <t>60 2 02 74170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</si>
  <si>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</si>
  <si>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</si>
  <si>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</si>
  <si>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</si>
  <si>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</si>
  <si>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</si>
  <si>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</si>
  <si>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</si>
  <si>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Основное мероприятие "Санитарное содержание территории"</t>
  </si>
  <si>
    <t>54 0 02 73260</t>
  </si>
  <si>
    <t>54 0 02 S3260</t>
  </si>
  <si>
    <t>Муниципальная программа "Развитие муниципальной службы Омсукчанского городского округа на 2018-2020 годы"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</si>
  <si>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</si>
  <si>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</si>
  <si>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</si>
  <si>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</si>
  <si>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Основное мероприятие "Повышение рождаемости в Омсукчанском городском округе"</t>
  </si>
  <si>
    <t>Мероприятия по поддержка граждан старшего поколения</t>
  </si>
  <si>
    <t>55 0 01 01810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</si>
  <si>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</si>
  <si>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</si>
  <si>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</si>
  <si>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</si>
  <si>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Приобретение и использование справочно-правовых систем, автоматизация кадровых процедур</t>
  </si>
  <si>
    <t>Основное мероприятие "Правовое и информационное обеспечение деятельности органов местного самоуправления Омсукчанского городского округа"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</si>
  <si>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</si>
  <si>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</si>
  <si>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</si>
  <si>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</si>
  <si>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</si>
  <si>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</si>
  <si>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</si>
  <si>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</si>
  <si>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58 1 03 00000</t>
  </si>
  <si>
    <t>58 1 03 01790</t>
  </si>
  <si>
    <t>58 1 04 00000</t>
  </si>
  <si>
    <t>58 1 04 75010</t>
  </si>
  <si>
    <t>Основное мероприятие "Культурно-массовые мероприятия в   учреждениях дополнительного образования детей"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</si>
  <si>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</si>
  <si>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</si>
  <si>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</si>
  <si>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</si>
  <si>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</si>
  <si>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</si>
  <si>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</si>
  <si>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</si>
  <si>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</si>
  <si>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Муниципальная программа "Комплексное развитие  систем коммунальной инфраструктуры Омсукчанского городского округа на 2019-2020 годы"</t>
  </si>
  <si>
    <t>Муниципальная программа "Профилактика экстеремизма и терроризма на территории Омсукчанского городского округа на 2017-2020 годы"</t>
  </si>
  <si>
    <t>уменьшен срок МП</t>
  </si>
  <si>
    <t>Муниципальная программа "Развитие транспортной инфраструктуры  Омсукчанского городского округа" на 2018-2020 годы"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</si>
  <si>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2017-2020 годы</t>
  </si>
  <si>
    <t>увеличен срок МП</t>
  </si>
  <si>
    <t>66 0 01 00000</t>
  </si>
  <si>
    <t>66 0 01 L5110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</si>
  <si>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2019-2020 годы"</t>
  </si>
  <si>
    <t>Муниципальная программа "Профилактика экстремизма и терроризма на территории Омсукчанского городского округа на 2017-2020 годы"</t>
  </si>
  <si>
    <t>Муниципальная программа "Профилактика правонарушений и обеспечение общественной безопасности на территории Омсукчанского городского округа" на 2019-2020 годы"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</si>
  <si>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</si>
  <si>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</si>
  <si>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"Поощрение лучших учеников учреждений дополнительного образования детей"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</si>
  <si>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</si>
  <si>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</si>
  <si>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изменена формулировка</t>
  </si>
  <si>
    <t>59 0 01 01900</t>
  </si>
  <si>
    <t>увеличен срок по МП</t>
  </si>
  <si>
    <t xml:space="preserve">Ведомственная  структура расходов бюджета Омсукчанского городского округа на 2020 год </t>
  </si>
  <si>
    <t>План на 2020 год</t>
  </si>
  <si>
    <t>План на 2021 год</t>
  </si>
  <si>
    <t>План на 2022 год</t>
  </si>
  <si>
    <t>500</t>
  </si>
  <si>
    <t>150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</si>
  <si>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</si>
  <si>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</si>
  <si>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</si>
  <si>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</si>
  <si>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</si>
  <si>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</si>
  <si>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</si>
  <si>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</si>
  <si>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</si>
  <si>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</si>
  <si>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</si>
  <si>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</si>
  <si>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</si>
  <si>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 "Поддержка отдельных категорий граждан Омсукчанского городского округа"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</si>
  <si>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</si>
  <si>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</si>
  <si>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</si>
  <si>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51 7 01 S3310</t>
  </si>
  <si>
    <t>51 7 01 73310</t>
  </si>
  <si>
    <t>51 7 02 S3290</t>
  </si>
  <si>
    <t>51 7 02 73290</t>
  </si>
  <si>
    <t>51 7 03 S3470</t>
  </si>
  <si>
    <t>51 7 03 73470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</si>
  <si>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</si>
  <si>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</si>
  <si>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</si>
  <si>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</si>
  <si>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</si>
  <si>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51 6 01 01890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</si>
  <si>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</si>
  <si>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</si>
  <si>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</si>
  <si>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</si>
  <si>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</si>
  <si>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</si>
  <si>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</si>
  <si>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</si>
  <si>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</si>
  <si>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</si>
  <si>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</si>
  <si>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</si>
  <si>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57 3 01 01910</t>
  </si>
  <si>
    <t>Основное мероприятие "Содержание и ремонт автомобильных дорог общего пользования"</t>
  </si>
  <si>
    <t>Субсидии муниципальным учреждениям дошкольного образования на выполнение муниципального задания (МБДОУ "Детский сад п.Дукат")</t>
  </si>
  <si>
    <t>Муниципальная программа "Развитие малого и среднего предпринимательства в Омсукчанском городском округе" на 2018-2020 г.г."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</si>
  <si>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</si>
  <si>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</si>
  <si>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</si>
  <si>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</si>
  <si>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</si>
  <si>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</si>
  <si>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</si>
  <si>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</si>
  <si>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</si>
  <si>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</si>
  <si>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60 2 02 74190</t>
  </si>
  <si>
    <t>02 0 02 01750</t>
  </si>
  <si>
    <t>58 2 03 01790</t>
  </si>
  <si>
    <t>58 2 04 S3160</t>
  </si>
  <si>
    <t>58 2 04 73160</t>
  </si>
  <si>
    <t>58 2 05 00000</t>
  </si>
  <si>
    <t>58 2 05 74110</t>
  </si>
  <si>
    <t>58 2 05 75010</t>
  </si>
  <si>
    <t xml:space="preserve">01 0 03 51200 </t>
  </si>
  <si>
    <t>Создание условий для образования детей инвалидов</t>
  </si>
  <si>
    <t>63 0 01 01620</t>
  </si>
  <si>
    <t>02 0 02 01110</t>
  </si>
  <si>
    <t>67 0 01 00000</t>
  </si>
  <si>
    <t>58 3 04 01790</t>
  </si>
  <si>
    <t>58 3 05 00000</t>
  </si>
  <si>
    <t>58 3 05 74060</t>
  </si>
  <si>
    <t>58 3 05 74070</t>
  </si>
  <si>
    <t>58 3 05 75010</t>
  </si>
  <si>
    <t>Основное мероприятие "Развитие учреждений общего образования"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</si>
  <si>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</si>
  <si>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</si>
  <si>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</si>
  <si>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</si>
  <si>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</si>
  <si>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</si>
  <si>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Приложение № 1.1</t>
  </si>
  <si>
    <t>Приложение № 4.1.</t>
  </si>
  <si>
    <t xml:space="preserve">План на 2020 год </t>
  </si>
  <si>
    <t>Приложение № 5.1.</t>
  </si>
  <si>
    <t xml:space="preserve">План на 2021 год </t>
  </si>
  <si>
    <t xml:space="preserve">План на 2022 год </t>
  </si>
  <si>
    <t>Приложение № 6.1.</t>
  </si>
  <si>
    <t>Приложение № 7.1.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</si>
  <si>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</si>
  <si>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</si>
  <si>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</si>
  <si>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</si>
  <si>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бюджета Омсукчанского городского округа  на 2020 год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</si>
  <si>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</si>
  <si>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</si>
  <si>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Приложение № 9</t>
  </si>
  <si>
    <t>бюджета Омсукчанского городского округа  на 2021-2022 годы</t>
  </si>
  <si>
    <t>Приложение № 9.1.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</si>
  <si>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</si>
  <si>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</si>
  <si>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</si>
  <si>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60 2 01 01770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</si>
  <si>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</si>
  <si>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</si>
  <si>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</si>
  <si>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</si>
  <si>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Мероприятия по развитию библиотечного дела</t>
  </si>
  <si>
    <t>Подготовка участников резерва управленческих кадров из числа муниципальных служащих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</si>
  <si>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</si>
  <si>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</si>
  <si>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</si>
  <si>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с главой администрации, ЗАГС м/б, без оплаты проезда</t>
  </si>
  <si>
    <t>просто добавила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</si>
  <si>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</si>
  <si>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</si>
  <si>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</si>
  <si>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</si>
  <si>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</si>
  <si>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</si>
  <si>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 xml:space="preserve">Субвенции бюджетам городских округов на осуществление государственных полномочий по организации мероприятий при осуществлении деятельности по обращению с животными </t>
  </si>
  <si>
    <t>Управление жилищно-коммунальногохозяйства и градостроительства администрации Омсукчанского городского округа</t>
  </si>
  <si>
    <t>51 7 04 00000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</si>
  <si>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</si>
  <si>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</si>
  <si>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 xml:space="preserve"> </t>
  </si>
  <si>
    <t>239,8</t>
  </si>
  <si>
    <t>1,043</t>
  </si>
  <si>
    <t>без ув-я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</si>
  <si>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</si>
  <si>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</si>
  <si>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</si>
  <si>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</si>
  <si>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</si>
  <si>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</si>
  <si>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</si>
  <si>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</si>
  <si>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</si>
  <si>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</si>
  <si>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</si>
  <si>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</si>
  <si>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</si>
  <si>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1 12 01 040 01 00000 120</t>
  </si>
  <si>
    <t>Плата за размещение отходов производства и потребления</t>
  </si>
  <si>
    <t>2 02 25497 00 0000 151</t>
  </si>
  <si>
    <t>Субсидии бюджетам на реализацию мероприятий по обеспечению жильем молодых семей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</si>
  <si>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</si>
  <si>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</si>
  <si>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</si>
  <si>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</si>
  <si>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>Субсидии бюджетам  городских округов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</si>
  <si>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</si>
  <si>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</si>
  <si>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</si>
  <si>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</si>
  <si>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</si>
  <si>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</si>
  <si>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</si>
  <si>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</si>
  <si>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</si>
  <si>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2 02 15002 00 0000 150</t>
  </si>
  <si>
    <t>Дотации бюджетам  на поддержку мер по обеспечению сбалансированности бюджетов</t>
  </si>
  <si>
    <t>2 02 15001 00 0000 150</t>
  </si>
  <si>
    <t>Субсидии бюджетам  на реализацию мероприятий по обеспечению жильем молодых семей</t>
  </si>
  <si>
    <t>Субсидии бюджетам городских округов на поддержку программ формирования современной городской среды</t>
  </si>
  <si>
    <t>Мероприятия по реставрациия редких национальных экспонатов-костюмов ,украшений</t>
  </si>
  <si>
    <t>51 7 04 0192</t>
  </si>
  <si>
    <t xml:space="preserve">Поступления доходов в </t>
  </si>
  <si>
    <t>бюджет Омсукчанского городского огруга в 2020 году</t>
  </si>
  <si>
    <t>бюджет Омсукчанского городского огруга</t>
  </si>
  <si>
    <t>на плановый период 2021-2022 годов</t>
  </si>
  <si>
    <t>Распределение бюджетных ассигнований</t>
  </si>
  <si>
    <t xml:space="preserve"> по разделам и подразделам классификации </t>
  </si>
  <si>
    <t xml:space="preserve"> расходов бюджетов Российской Федерации на  2020 год</t>
  </si>
  <si>
    <t xml:space="preserve"> по разделам и подразделам классификации</t>
  </si>
  <si>
    <t xml:space="preserve"> расходов бюджетов Российской Федерации на  плановый период 2021-2022 годов</t>
  </si>
  <si>
    <t>Распределение бюджетных массигнований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2020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</si>
  <si>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2021-2022 годов</t>
  </si>
  <si>
    <t>Ведомственная  структура расходов бюджета Омсукчанского городского округа на плановый период 2021-2022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</si>
  <si>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2020 год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</si>
  <si>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2021-2022 годов</t>
  </si>
  <si>
    <t>Распределения ассигнований, направляемых на исполнение публичных нормативных обязательств на 2020 год</t>
  </si>
  <si>
    <t>Распределения ассигнований, направляемых на исполнение публичных нормативных обязательств на плановый период 2021-2022 годов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</si>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</sst>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0.0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i/>
      <sz val="14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1"/>
      <color theme="10"/>
      <name val="Calibri"/>
      <family val="2"/>
      <scheme val="minor"/>
    </font>
  </fonts>
  <fills count="13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0010261535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theme="3" tint="0.39998000860214233"/>
      </top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0" fontId="3" fillId="0" borderId="0" xfId="20" applyFont="1" applyFill="1" applyAlignment="1">
      <alignment horizont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1" xfId="20" applyFont="1" applyFill="1" applyBorder="1" applyAlignment="1">
      <alignment horizontal="center" vertical="center"/>
      <protection/>
    </xf>
    <xf numFmtId="3" fontId="2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center" vertical="center" wrapText="1"/>
      <protection/>
    </xf>
    <xf numFmtId="49" fontId="2" fillId="0" borderId="1" xfId="20" applyNumberFormat="1" applyFont="1" applyFill="1" applyBorder="1" applyAlignment="1">
      <alignment horizontal="center" vertical="center"/>
      <protection/>
    </xf>
    <xf numFmtId="165" fontId="3" fillId="0" borderId="1" xfId="20" applyNumberFormat="1" applyFont="1" applyFill="1" applyBorder="1" applyAlignment="1">
      <alignment horizontal="center" vertical="center" wrapText="1"/>
      <protection/>
    </xf>
    <xf numFmtId="165" fontId="0" fillId="0" borderId="0" xfId="0" applyNumberFormat="1"/>
    <xf numFmtId="0" fontId="3" fillId="0" borderId="1" xfId="20" applyFont="1" applyFill="1" applyBorder="1" applyAlignment="1">
      <alignment vertical="center" wrapText="1"/>
      <protection/>
    </xf>
    <xf numFmtId="49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 wrapText="1"/>
      <protection/>
    </xf>
    <xf numFmtId="165" fontId="2" fillId="0" borderId="1" xfId="20" applyNumberFormat="1" applyFont="1" applyFill="1" applyBorder="1" applyAlignment="1">
      <alignment horizontal="center" vertical="center" wrapText="1"/>
      <protection/>
    </xf>
    <xf numFmtId="165" fontId="2" fillId="0" borderId="1" xfId="20" applyNumberFormat="1" applyFont="1" applyFill="1" applyBorder="1" applyAlignment="1">
      <alignment horizontal="center" vertical="center"/>
      <protection/>
    </xf>
    <xf numFmtId="0" fontId="1" fillId="0" borderId="0" xfId="0" applyFont="1"/>
    <xf numFmtId="165" fontId="2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20" applyFont="1" applyFill="1" applyBorder="1" applyAlignment="1">
      <alignment horizontal="left" vertical="center" wrapText="1"/>
      <protection/>
    </xf>
    <xf numFmtId="49" fontId="2" fillId="0" borderId="1" xfId="20" applyNumberFormat="1" applyFont="1" applyFill="1" applyBorder="1" applyAlignment="1">
      <alignment horizontal="center" vertical="center" wrapText="1"/>
      <protection/>
    </xf>
    <xf numFmtId="0" fontId="2" fillId="0" borderId="0" xfId="20" applyFont="1" applyFill="1" applyAlignment="1">
      <alignment horizontal="left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2" fillId="0" borderId="0" xfId="20" applyFont="1" applyFill="1" applyAlignment="1">
      <alignment vertical="center" wrapText="1"/>
      <protection/>
    </xf>
    <xf numFmtId="0" fontId="2" fillId="0" borderId="1" xfId="20" applyFont="1" applyFill="1" applyBorder="1" applyAlignment="1">
      <alignment horizontal="justify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0" fontId="2" fillId="0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top" wrapText="1"/>
      <protection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2" fillId="0" borderId="4" xfId="20" applyFont="1" applyFill="1" applyBorder="1" applyAlignment="1">
      <alignment horizontal="justify" vertical="center" wrapText="1"/>
      <protection/>
    </xf>
    <xf numFmtId="0" fontId="3" fillId="0" borderId="1" xfId="20" applyFont="1" applyFill="1" applyBorder="1" applyAlignment="1">
      <alignment horizontal="left" vertical="center"/>
      <protection/>
    </xf>
    <xf numFmtId="165" fontId="3" fillId="0" borderId="1" xfId="20" applyNumberFormat="1" applyFont="1" applyFill="1" applyBorder="1" applyAlignment="1">
      <alignment horizontal="center" vertical="center"/>
      <protection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20" applyFont="1" applyFill="1" applyBorder="1" applyAlignment="1">
      <alignment horizontal="center" vertical="center"/>
      <protection/>
    </xf>
    <xf numFmtId="1" fontId="3" fillId="0" borderId="1" xfId="20" applyNumberFormat="1" applyFont="1" applyFill="1" applyBorder="1" applyAlignment="1">
      <alignment vertical="center" wrapText="1"/>
      <protection/>
    </xf>
    <xf numFmtId="165" fontId="12" fillId="0" borderId="1" xfId="20" applyNumberFormat="1" applyFont="1" applyFill="1" applyBorder="1" applyAlignment="1">
      <alignment horizontal="center"/>
      <protection/>
    </xf>
    <xf numFmtId="0" fontId="1" fillId="0" borderId="0" xfId="20" applyFill="1">
      <alignment/>
      <protection/>
    </xf>
    <xf numFmtId="0" fontId="9" fillId="0" borderId="0" xfId="20" applyFont="1" applyFill="1">
      <alignment/>
      <protection/>
    </xf>
    <xf numFmtId="4" fontId="13" fillId="0" borderId="0" xfId="20" applyNumberFormat="1" applyFont="1" applyFill="1" applyAlignment="1">
      <alignment horizontal="center"/>
      <protection/>
    </xf>
    <xf numFmtId="0" fontId="9" fillId="0" borderId="0" xfId="20" applyFont="1" applyFill="1" applyAlignment="1">
      <alignment/>
      <protection/>
    </xf>
    <xf numFmtId="1" fontId="9" fillId="0" borderId="0" xfId="20" applyNumberFormat="1" applyFont="1" applyFill="1">
      <alignment/>
      <protection/>
    </xf>
    <xf numFmtId="2" fontId="9" fillId="0" borderId="0" xfId="20" applyNumberFormat="1" applyFont="1" applyFill="1">
      <alignment/>
      <protection/>
    </xf>
    <xf numFmtId="0" fontId="1" fillId="0" borderId="0" xfId="0" applyFont="1" applyFill="1"/>
    <xf numFmtId="0" fontId="2" fillId="0" borderId="0" xfId="20" applyFont="1" applyFill="1">
      <alignment/>
      <protection/>
    </xf>
    <xf numFmtId="165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9" fillId="0" borderId="0" xfId="0" applyFont="1" applyFill="1"/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3" fillId="0" borderId="1" xfId="0" applyFont="1" applyFill="1" applyBorder="1"/>
    <xf numFmtId="0" fontId="2" fillId="0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1" xfId="0" applyFont="1" applyFill="1" applyBorder="1"/>
    <xf numFmtId="0" fontId="3" fillId="0" borderId="1" xfId="0" applyFont="1" applyBorder="1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7" fillId="0" borderId="7" xfId="0" applyFont="1" applyBorder="1" applyAlignment="1">
      <alignment horizontal="right"/>
    </xf>
    <xf numFmtId="0" fontId="17" fillId="0" borderId="1" xfId="20" applyFont="1" applyFill="1" applyBorder="1" applyAlignment="1">
      <alignment horizontal="center" vertical="center"/>
      <protection/>
    </xf>
    <xf numFmtId="0" fontId="3" fillId="0" borderId="1" xfId="20" applyFont="1" applyFill="1" applyBorder="1" applyAlignment="1">
      <alignment vertical="center"/>
      <protection/>
    </xf>
    <xf numFmtId="165" fontId="3" fillId="2" borderId="1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vertical="center"/>
      <protection/>
    </xf>
    <xf numFmtId="0" fontId="2" fillId="0" borderId="1" xfId="20" applyFont="1" applyFill="1" applyBorder="1" applyAlignment="1">
      <alignment horizontal="left" vertical="center"/>
      <protection/>
    </xf>
    <xf numFmtId="0" fontId="2" fillId="2" borderId="1" xfId="20" applyFont="1" applyFill="1" applyBorder="1" applyAlignment="1">
      <alignment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0" xfId="20" applyFont="1" applyFill="1" applyBorder="1" applyAlignment="1">
      <alignment vertical="center" wrapText="1"/>
      <protection/>
    </xf>
    <xf numFmtId="0" fontId="2" fillId="0" borderId="0" xfId="20" applyFont="1" applyFill="1" applyAlignment="1">
      <alignment horizontal="center"/>
      <protection/>
    </xf>
    <xf numFmtId="0" fontId="13" fillId="0" borderId="0" xfId="20" applyFont="1" applyFill="1" applyAlignment="1">
      <alignment horizontal="center"/>
      <protection/>
    </xf>
    <xf numFmtId="165" fontId="9" fillId="0" borderId="0" xfId="20" applyNumberFormat="1" applyFont="1" applyFill="1">
      <alignment/>
      <protection/>
    </xf>
    <xf numFmtId="2" fontId="14" fillId="0" borderId="0" xfId="20" applyNumberFormat="1" applyFont="1" applyFill="1">
      <alignment/>
      <protection/>
    </xf>
    <xf numFmtId="2" fontId="0" fillId="0" borderId="0" xfId="0" applyNumberFormat="1" applyFill="1"/>
    <xf numFmtId="49" fontId="2" fillId="0" borderId="8" xfId="20" applyNumberFormat="1" applyFont="1" applyFill="1" applyBorder="1" applyAlignment="1">
      <alignment horizontal="center" vertical="center"/>
      <protection/>
    </xf>
    <xf numFmtId="0" fontId="0" fillId="0" borderId="0" xfId="0" applyBorder="1"/>
    <xf numFmtId="49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/>
    <xf numFmtId="49" fontId="19" fillId="0" borderId="1" xfId="20" applyNumberFormat="1" applyFont="1" applyFill="1" applyBorder="1" applyAlignment="1">
      <alignment horizontal="center" vertical="center"/>
      <protection/>
    </xf>
    <xf numFmtId="49" fontId="18" fillId="0" borderId="8" xfId="20" applyNumberFormat="1" applyFont="1" applyFill="1" applyBorder="1" applyAlignment="1">
      <alignment horizontal="center" vertical="center"/>
      <protection/>
    </xf>
    <xf numFmtId="0" fontId="0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1" fillId="0" borderId="0" xfId="0" applyFont="1" applyFill="1" applyBorder="1"/>
    <xf numFmtId="165" fontId="0" fillId="0" borderId="0" xfId="0" applyNumberFormat="1" applyFill="1"/>
    <xf numFmtId="0" fontId="18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2" fillId="0" borderId="8" xfId="20" applyNumberFormat="1" applyFont="1" applyFill="1" applyBorder="1" applyAlignment="1">
      <alignment horizontal="left" vertical="center"/>
      <protection/>
    </xf>
    <xf numFmtId="165" fontId="3" fillId="0" borderId="1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3" borderId="0" xfId="0" applyFill="1" applyBorder="1"/>
    <xf numFmtId="0" fontId="1" fillId="3" borderId="0" xfId="0" applyFont="1" applyFill="1" applyBorder="1"/>
    <xf numFmtId="0" fontId="22" fillId="3" borderId="0" xfId="0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4" fillId="0" borderId="7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left" vertical="top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justify" vertical="top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top" wrapText="1"/>
    </xf>
    <xf numFmtId="0" fontId="3" fillId="0" borderId="6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left" vertical="top" wrapText="1"/>
    </xf>
    <xf numFmtId="0" fontId="3" fillId="0" borderId="9" xfId="0" applyNumberFormat="1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/>
    <xf numFmtId="0" fontId="8" fillId="0" borderId="9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2" fillId="4" borderId="1" xfId="20" applyNumberFormat="1" applyFont="1" applyFill="1" applyBorder="1" applyAlignment="1">
      <alignment horizontal="center" vertical="center"/>
      <protection/>
    </xf>
    <xf numFmtId="49" fontId="2" fillId="0" borderId="14" xfId="20" applyNumberFormat="1" applyFont="1" applyFill="1" applyBorder="1" applyAlignment="1">
      <alignment horizontal="center" vertical="center"/>
      <protection/>
    </xf>
    <xf numFmtId="165" fontId="2" fillId="4" borderId="1" xfId="20" applyNumberFormat="1" applyFont="1" applyFill="1" applyBorder="1" applyAlignment="1">
      <alignment horizontal="center" vertical="center" wrapText="1"/>
      <protection/>
    </xf>
    <xf numFmtId="165" fontId="2" fillId="4" borderId="2" xfId="20" applyNumberFormat="1" applyFont="1" applyFill="1" applyBorder="1" applyAlignment="1" applyProtection="1">
      <alignment horizontal="center" vertical="center" shrinkToFit="1"/>
      <protection locked="0"/>
    </xf>
    <xf numFmtId="165" fontId="2" fillId="4" borderId="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65" fontId="2" fillId="5" borderId="1" xfId="20" applyNumberFormat="1" applyFont="1" applyFill="1" applyBorder="1" applyAlignment="1">
      <alignment horizontal="center" vertical="center" wrapText="1"/>
      <protection/>
    </xf>
    <xf numFmtId="165" fontId="2" fillId="6" borderId="1" xfId="20" applyNumberFormat="1" applyFont="1" applyFill="1" applyBorder="1" applyAlignment="1">
      <alignment horizontal="center" vertical="center"/>
      <protection/>
    </xf>
    <xf numFmtId="0" fontId="2" fillId="5" borderId="1" xfId="20" applyFont="1" applyFill="1" applyBorder="1" applyAlignment="1">
      <alignment vertical="center" wrapText="1"/>
      <protection/>
    </xf>
    <xf numFmtId="49" fontId="2" fillId="0" borderId="14" xfId="20" applyNumberFormat="1" applyFont="1" applyFill="1" applyBorder="1" applyAlignment="1">
      <alignment horizontal="left" vertical="center"/>
      <protection/>
    </xf>
    <xf numFmtId="165" fontId="2" fillId="5" borderId="1" xfId="20" applyNumberFormat="1" applyFont="1" applyFill="1" applyBorder="1" applyAlignment="1">
      <alignment horizontal="center" vertical="center"/>
      <protection/>
    </xf>
    <xf numFmtId="165" fontId="2" fillId="5" borderId="1" xfId="0" applyNumberFormat="1" applyFont="1" applyFill="1" applyBorder="1" applyAlignment="1">
      <alignment horizontal="center" vertical="center"/>
    </xf>
    <xf numFmtId="0" fontId="8" fillId="0" borderId="9" xfId="0" applyNumberFormat="1" applyFont="1" applyFill="1" applyBorder="1" applyAlignment="1">
      <alignment horizontal="right" vertical="top" wrapText="1"/>
    </xf>
    <xf numFmtId="49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49" fontId="23" fillId="0" borderId="0" xfId="20" applyNumberFormat="1" applyFont="1" applyFill="1" applyBorder="1" applyAlignment="1">
      <alignment horizontal="center" vertical="center"/>
      <protection/>
    </xf>
    <xf numFmtId="49" fontId="23" fillId="0" borderId="8" xfId="20" applyNumberFormat="1" applyFont="1" applyFill="1" applyBorder="1" applyAlignment="1">
      <alignment horizontal="center" vertical="center"/>
      <protection/>
    </xf>
    <xf numFmtId="0" fontId="24" fillId="7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2" fillId="0" borderId="1" xfId="0" applyFont="1" applyFill="1" applyBorder="1" applyAlignment="1">
      <alignment horizontal="left" vertical="top" wrapText="1"/>
    </xf>
    <xf numFmtId="165" fontId="25" fillId="0" borderId="0" xfId="0" applyNumberFormat="1" applyFont="1" applyFill="1"/>
    <xf numFmtId="0" fontId="1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49" fontId="17" fillId="0" borderId="1" xfId="20" applyNumberFormat="1" applyFont="1" applyFill="1" applyBorder="1" applyAlignment="1">
      <alignment horizontal="center" vertical="center"/>
      <protection/>
    </xf>
    <xf numFmtId="0" fontId="2" fillId="8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left" vertical="top" wrapText="1"/>
    </xf>
    <xf numFmtId="165" fontId="12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165" fontId="13" fillId="0" borderId="14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 wrapText="1"/>
    </xf>
    <xf numFmtId="165" fontId="28" fillId="0" borderId="1" xfId="0" applyNumberFormat="1" applyFont="1" applyFill="1" applyBorder="1" applyAlignment="1">
      <alignment horizontal="center" vertical="center"/>
    </xf>
    <xf numFmtId="165" fontId="13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 wrapText="1"/>
    </xf>
    <xf numFmtId="165" fontId="2" fillId="0" borderId="0" xfId="20" applyNumberFormat="1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Fill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top" wrapText="1"/>
    </xf>
    <xf numFmtId="0" fontId="29" fillId="0" borderId="0" xfId="0" applyFont="1"/>
    <xf numFmtId="0" fontId="13" fillId="0" borderId="0" xfId="0" applyNumberFormat="1" applyFont="1" applyFill="1" applyAlignment="1">
      <alignment horizontal="right"/>
    </xf>
    <xf numFmtId="0" fontId="2" fillId="0" borderId="9" xfId="20" applyNumberFormat="1" applyFont="1" applyFill="1" applyBorder="1" applyAlignment="1">
      <alignment horizontal="left" vertical="top" wrapText="1"/>
      <protection/>
    </xf>
    <xf numFmtId="49" fontId="3" fillId="0" borderId="1" xfId="20" applyNumberFormat="1" applyFont="1" applyFill="1" applyBorder="1" applyAlignment="1">
      <alignment horizontal="left" vertical="center" wrapText="1"/>
      <protection/>
    </xf>
    <xf numFmtId="165" fontId="12" fillId="0" borderId="4" xfId="0" applyNumberFormat="1" applyFont="1" applyFill="1" applyBorder="1" applyAlignment="1">
      <alignment horizontal="center" vertical="center"/>
    </xf>
    <xf numFmtId="49" fontId="2" fillId="0" borderId="1" xfId="20" applyNumberFormat="1" applyFont="1" applyFill="1" applyBorder="1" applyAlignment="1">
      <alignment horizontal="left" vertical="top" wrapText="1"/>
      <protection/>
    </xf>
    <xf numFmtId="0" fontId="1" fillId="0" borderId="0" xfId="20" applyNumberFormat="1" applyFill="1">
      <alignment/>
      <protection/>
    </xf>
    <xf numFmtId="49" fontId="2" fillId="0" borderId="1" xfId="20" applyNumberFormat="1" applyFont="1" applyFill="1" applyBorder="1" applyAlignment="1">
      <alignment horizontal="left" vertical="center" wrapText="1"/>
      <protection/>
    </xf>
    <xf numFmtId="0" fontId="29" fillId="0" borderId="0" xfId="0" applyNumberFormat="1" applyFont="1" applyFill="1"/>
    <xf numFmtId="165" fontId="29" fillId="0" borderId="0" xfId="0" applyNumberFormat="1" applyFont="1" applyFill="1"/>
    <xf numFmtId="165" fontId="13" fillId="0" borderId="1" xfId="20" applyNumberFormat="1" applyFont="1" applyFill="1" applyBorder="1" applyAlignment="1">
      <alignment horizontal="center" vertical="center"/>
      <protection/>
    </xf>
    <xf numFmtId="0" fontId="29" fillId="0" borderId="0" xfId="0" applyNumberFormat="1" applyFont="1" applyFill="1"/>
    <xf numFmtId="0" fontId="15" fillId="0" borderId="0" xfId="0" applyFont="1" applyFill="1" applyAlignment="1">
      <alignment horizontal="center" vertical="center" wrapText="1"/>
    </xf>
    <xf numFmtId="0" fontId="0" fillId="9" borderId="0" xfId="0" applyFill="1"/>
    <xf numFmtId="0" fontId="0" fillId="0" borderId="0" xfId="0" applyFill="1" applyAlignment="1">
      <alignment vertical="top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5" fontId="0" fillId="0" borderId="0" xfId="0" applyNumberFormat="1" applyFont="1" applyFill="1"/>
    <xf numFmtId="0" fontId="10" fillId="0" borderId="1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horizontal="right"/>
      <protection/>
    </xf>
    <xf numFmtId="0" fontId="1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9" borderId="0" xfId="0" applyFill="1" applyBorder="1"/>
    <xf numFmtId="165" fontId="5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165" fontId="2" fillId="0" borderId="0" xfId="20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vertical="top"/>
    </xf>
    <xf numFmtId="49" fontId="17" fillId="0" borderId="0" xfId="20" applyNumberFormat="1" applyFont="1" applyFill="1" applyBorder="1" applyAlignment="1">
      <alignment horizontal="center" vertical="center"/>
      <protection/>
    </xf>
    <xf numFmtId="0" fontId="0" fillId="0" borderId="16" xfId="0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0" fillId="0" borderId="0" xfId="0" applyNumberFormat="1" applyFill="1" applyAlignment="1">
      <alignment horizontal="center" vertical="center"/>
    </xf>
    <xf numFmtId="49" fontId="17" fillId="0" borderId="0" xfId="20" applyNumberFormat="1" applyFont="1" applyFill="1" applyBorder="1" applyAlignment="1">
      <alignment horizontal="center" vertical="center" wrapText="1"/>
      <protection/>
    </xf>
    <xf numFmtId="49" fontId="17" fillId="0" borderId="0" xfId="20" applyNumberFormat="1" applyFont="1" applyFill="1" applyBorder="1" applyAlignment="1">
      <alignment horizontal="left" vertical="center"/>
      <protection/>
    </xf>
    <xf numFmtId="49" fontId="17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top"/>
    </xf>
    <xf numFmtId="165" fontId="2" fillId="10" borderId="1" xfId="20" applyNumberFormat="1" applyFont="1" applyFill="1" applyBorder="1" applyAlignment="1">
      <alignment horizontal="center" vertical="center" wrapText="1"/>
      <protection/>
    </xf>
    <xf numFmtId="165" fontId="2" fillId="9" borderId="1" xfId="20" applyNumberFormat="1" applyFont="1" applyFill="1" applyBorder="1" applyAlignment="1">
      <alignment horizontal="center" vertical="center" wrapText="1"/>
      <protection/>
    </xf>
    <xf numFmtId="165" fontId="2" fillId="9" borderId="1" xfId="20" applyNumberFormat="1" applyFont="1" applyFill="1" applyBorder="1" applyAlignment="1">
      <alignment horizontal="center" vertical="center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0" fontId="9" fillId="9" borderId="0" xfId="0" applyFont="1" applyFill="1"/>
    <xf numFmtId="0" fontId="13" fillId="9" borderId="0" xfId="0" applyNumberFormat="1" applyFont="1" applyFill="1" applyAlignment="1">
      <alignment horizontal="right"/>
    </xf>
    <xf numFmtId="0" fontId="3" fillId="9" borderId="0" xfId="0" applyFont="1" applyFill="1" applyAlignment="1">
      <alignment horizontal="center" vertical="center" wrapText="1"/>
    </xf>
    <xf numFmtId="0" fontId="3" fillId="9" borderId="0" xfId="20" applyFont="1" applyFill="1" applyAlignment="1">
      <alignment horizontal="center" wrapText="1"/>
      <protection/>
    </xf>
    <xf numFmtId="0" fontId="26" fillId="9" borderId="0" xfId="0" applyFont="1" applyFill="1" applyAlignment="1">
      <alignment horizontal="center"/>
    </xf>
    <xf numFmtId="0" fontId="2" fillId="9" borderId="2" xfId="20" applyFont="1" applyFill="1" applyBorder="1" applyAlignment="1">
      <alignment horizontal="center" vertical="center" wrapText="1"/>
      <protection/>
    </xf>
    <xf numFmtId="0" fontId="2" fillId="9" borderId="2" xfId="20" applyFont="1" applyFill="1" applyBorder="1" applyAlignment="1">
      <alignment horizontal="center" vertical="center"/>
      <protection/>
    </xf>
    <xf numFmtId="0" fontId="18" fillId="9" borderId="1" xfId="0" applyFont="1" applyFill="1" applyBorder="1" applyAlignment="1">
      <alignment horizontal="center" vertical="center" wrapText="1"/>
    </xf>
    <xf numFmtId="165" fontId="3" fillId="9" borderId="1" xfId="20" applyNumberFormat="1" applyFont="1" applyFill="1" applyBorder="1" applyAlignment="1">
      <alignment horizontal="center" vertical="center" wrapText="1"/>
      <protection/>
    </xf>
    <xf numFmtId="49" fontId="17" fillId="9" borderId="8" xfId="20" applyNumberFormat="1" applyFont="1" applyFill="1" applyBorder="1" applyAlignment="1">
      <alignment horizontal="center" vertical="center"/>
      <protection/>
    </xf>
    <xf numFmtId="49" fontId="17" fillId="9" borderId="8" xfId="20" applyNumberFormat="1" applyFont="1" applyFill="1" applyBorder="1" applyAlignment="1">
      <alignment horizontal="left" vertical="center"/>
      <protection/>
    </xf>
    <xf numFmtId="165" fontId="0" fillId="9" borderId="0" xfId="0" applyNumberFormat="1" applyFill="1"/>
    <xf numFmtId="49" fontId="17" fillId="9" borderId="8" xfId="0" applyNumberFormat="1" applyFont="1" applyFill="1" applyBorder="1" applyAlignment="1">
      <alignment horizontal="center" vertical="center" wrapText="1"/>
    </xf>
    <xf numFmtId="165" fontId="2" fillId="9" borderId="2" xfId="20" applyNumberFormat="1" applyFont="1" applyFill="1" applyBorder="1" applyAlignment="1" applyProtection="1">
      <alignment horizontal="center" vertical="center" shrinkToFit="1"/>
      <protection locked="0"/>
    </xf>
    <xf numFmtId="49" fontId="17" fillId="9" borderId="8" xfId="0" applyNumberFormat="1" applyFont="1" applyFill="1" applyBorder="1" applyAlignment="1">
      <alignment horizontal="center" vertical="center"/>
    </xf>
    <xf numFmtId="165" fontId="2" fillId="9" borderId="8" xfId="20" applyNumberFormat="1" applyFont="1" applyFill="1" applyBorder="1" applyAlignment="1">
      <alignment horizontal="center" vertical="center" wrapText="1"/>
      <protection/>
    </xf>
    <xf numFmtId="165" fontId="2" fillId="9" borderId="0" xfId="20" applyNumberFormat="1" applyFont="1" applyFill="1" applyBorder="1" applyAlignment="1">
      <alignment horizontal="center" vertical="center" wrapText="1"/>
      <protection/>
    </xf>
    <xf numFmtId="165" fontId="2" fillId="9" borderId="8" xfId="20" applyNumberFormat="1" applyFont="1" applyFill="1" applyBorder="1" applyAlignment="1">
      <alignment horizontal="center" vertical="center"/>
      <protection/>
    </xf>
    <xf numFmtId="0" fontId="0" fillId="9" borderId="0" xfId="0" applyFont="1" applyFill="1"/>
    <xf numFmtId="49" fontId="17" fillId="9" borderId="0" xfId="20" applyNumberFormat="1" applyFont="1" applyFill="1" applyBorder="1" applyAlignment="1">
      <alignment horizontal="center" vertical="center"/>
      <protection/>
    </xf>
    <xf numFmtId="165" fontId="3" fillId="9" borderId="1" xfId="20" applyNumberFormat="1" applyFont="1" applyFill="1" applyBorder="1" applyAlignment="1">
      <alignment horizontal="center" vertical="center"/>
      <protection/>
    </xf>
    <xf numFmtId="165" fontId="2" fillId="9" borderId="0" xfId="20" applyNumberFormat="1" applyFont="1" applyFill="1" applyBorder="1" applyAlignment="1">
      <alignment horizontal="center" vertical="center"/>
      <protection/>
    </xf>
    <xf numFmtId="165" fontId="0" fillId="9" borderId="0" xfId="0" applyNumberFormat="1" applyFill="1" applyAlignment="1">
      <alignment horizontal="center"/>
    </xf>
    <xf numFmtId="0" fontId="0" fillId="9" borderId="0" xfId="0" applyFill="1" applyAlignment="1">
      <alignment horizontal="center"/>
    </xf>
    <xf numFmtId="165" fontId="2" fillId="9" borderId="1" xfId="0" applyNumberFormat="1" applyFont="1" applyFill="1" applyBorder="1" applyAlignment="1">
      <alignment horizontal="center" vertical="center"/>
    </xf>
    <xf numFmtId="0" fontId="1" fillId="9" borderId="0" xfId="20" applyFill="1">
      <alignment/>
      <protection/>
    </xf>
    <xf numFmtId="0" fontId="9" fillId="9" borderId="0" xfId="20" applyFont="1" applyFill="1">
      <alignment/>
      <protection/>
    </xf>
    <xf numFmtId="0" fontId="13" fillId="9" borderId="0" xfId="20" applyFont="1" applyFill="1" applyAlignment="1">
      <alignment horizontal="center"/>
      <protection/>
    </xf>
    <xf numFmtId="4" fontId="13" fillId="9" borderId="0" xfId="20" applyNumberFormat="1" applyFont="1" applyFill="1" applyAlignment="1">
      <alignment horizontal="center"/>
      <protection/>
    </xf>
    <xf numFmtId="2" fontId="0" fillId="9" borderId="0" xfId="0" applyNumberFormat="1" applyFill="1"/>
    <xf numFmtId="0" fontId="9" fillId="9" borderId="0" xfId="20" applyFont="1" applyFill="1" applyAlignment="1">
      <alignment/>
      <protection/>
    </xf>
    <xf numFmtId="165" fontId="9" fillId="9" borderId="0" xfId="20" applyNumberFormat="1" applyFont="1" applyFill="1">
      <alignment/>
      <protection/>
    </xf>
    <xf numFmtId="4" fontId="9" fillId="9" borderId="0" xfId="20" applyNumberFormat="1" applyFont="1" applyFill="1">
      <alignment/>
      <protection/>
    </xf>
    <xf numFmtId="1" fontId="9" fillId="9" borderId="0" xfId="20" applyNumberFormat="1" applyFont="1" applyFill="1">
      <alignment/>
      <protection/>
    </xf>
    <xf numFmtId="2" fontId="9" fillId="9" borderId="0" xfId="20" applyNumberFormat="1" applyFont="1" applyFill="1">
      <alignment/>
      <protection/>
    </xf>
    <xf numFmtId="2" fontId="14" fillId="9" borderId="0" xfId="20" applyNumberFormat="1" applyFont="1" applyFill="1">
      <alignment/>
      <protection/>
    </xf>
    <xf numFmtId="4" fontId="0" fillId="9" borderId="0" xfId="0" applyNumberFormat="1" applyFill="1"/>
    <xf numFmtId="49" fontId="17" fillId="9" borderId="0" xfId="20" applyNumberFormat="1" applyFont="1" applyFill="1" applyBorder="1" applyAlignment="1">
      <alignment horizontal="left" vertical="center"/>
      <protection/>
    </xf>
    <xf numFmtId="49" fontId="17" fillId="9" borderId="0" xfId="0" applyNumberFormat="1" applyFont="1" applyFill="1" applyBorder="1" applyAlignment="1">
      <alignment horizontal="center" vertical="center"/>
    </xf>
    <xf numFmtId="49" fontId="17" fillId="0" borderId="0" xfId="20" applyNumberFormat="1" applyFont="1" applyFill="1" applyBorder="1" applyAlignment="1">
      <alignment horizontal="center" vertical="center"/>
      <protection/>
    </xf>
    <xf numFmtId="165" fontId="11" fillId="0" borderId="1" xfId="20" applyNumberFormat="1" applyFont="1" applyFill="1" applyBorder="1" applyAlignment="1">
      <alignment horizontal="center" vertical="center" wrapText="1"/>
      <protection/>
    </xf>
    <xf numFmtId="165" fontId="2" fillId="0" borderId="0" xfId="20" applyNumberFormat="1" applyFont="1" applyFill="1" applyBorder="1" applyAlignment="1">
      <alignment horizontal="left" vertical="center"/>
      <protection/>
    </xf>
    <xf numFmtId="49" fontId="17" fillId="0" borderId="0" xfId="20" applyNumberFormat="1" applyFont="1" applyFill="1" applyBorder="1" applyAlignment="1">
      <alignment horizontal="center" vertical="center"/>
      <protection/>
    </xf>
    <xf numFmtId="0" fontId="2" fillId="0" borderId="1" xfId="20" applyFont="1" applyFill="1" applyBorder="1" applyAlignment="1">
      <alignment horizontal="left" vertical="top" wrapText="1"/>
      <protection/>
    </xf>
    <xf numFmtId="165" fontId="2" fillId="11" borderId="1" xfId="20" applyNumberFormat="1" applyFont="1" applyFill="1" applyBorder="1" applyAlignment="1">
      <alignment horizontal="center" vertical="center" wrapText="1"/>
      <protection/>
    </xf>
    <xf numFmtId="165" fontId="2" fillId="11" borderId="1" xfId="20" applyNumberFormat="1" applyFont="1" applyFill="1" applyBorder="1" applyAlignment="1">
      <alignment horizontal="center" vertical="center"/>
      <protection/>
    </xf>
    <xf numFmtId="165" fontId="1" fillId="9" borderId="0" xfId="20" applyNumberFormat="1" applyFill="1">
      <alignment/>
      <protection/>
    </xf>
    <xf numFmtId="0" fontId="32" fillId="0" borderId="1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top" wrapText="1"/>
    </xf>
    <xf numFmtId="0" fontId="30" fillId="0" borderId="9" xfId="0" applyFont="1" applyFill="1" applyBorder="1" applyAlignment="1">
      <alignment horizontal="justify" vertical="center" wrapText="1"/>
    </xf>
    <xf numFmtId="0" fontId="3" fillId="0" borderId="1" xfId="20" applyFont="1" applyFill="1" applyBorder="1" applyAlignment="1">
      <alignment vertical="top" wrapText="1"/>
      <protection/>
    </xf>
    <xf numFmtId="0" fontId="30" fillId="0" borderId="9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14" xfId="20" applyFont="1" applyFill="1" applyBorder="1" applyAlignment="1">
      <alignment vertical="center" wrapText="1"/>
      <protection/>
    </xf>
    <xf numFmtId="0" fontId="3" fillId="0" borderId="3" xfId="20" applyFont="1" applyFill="1" applyBorder="1" applyAlignment="1">
      <alignment vertical="center" wrapText="1"/>
      <protection/>
    </xf>
    <xf numFmtId="165" fontId="3" fillId="9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center" wrapText="1"/>
    </xf>
    <xf numFmtId="0" fontId="3" fillId="0" borderId="3" xfId="20" applyFont="1" applyFill="1" applyBorder="1" applyAlignment="1">
      <alignment horizontal="left" vertical="center" wrapText="1"/>
      <protection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165" fontId="3" fillId="0" borderId="1" xfId="20" applyNumberFormat="1" applyFont="1" applyFill="1" applyBorder="1" applyAlignment="1" applyProtection="1">
      <alignment horizontal="center" vertical="center" shrinkToFit="1"/>
      <protection locked="0"/>
    </xf>
    <xf numFmtId="0" fontId="15" fillId="0" borderId="1" xfId="0" applyFont="1" applyFill="1" applyBorder="1"/>
    <xf numFmtId="0" fontId="2" fillId="0" borderId="2" xfId="0" applyNumberFormat="1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right" wrapText="1"/>
    </xf>
    <xf numFmtId="0" fontId="11" fillId="0" borderId="9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/>
    </xf>
    <xf numFmtId="0" fontId="31" fillId="0" borderId="9" xfId="0" applyFont="1" applyBorder="1" applyAlignment="1">
      <alignment horizontal="right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65" fontId="2" fillId="2" borderId="1" xfId="20" applyNumberFormat="1" applyFont="1" applyFill="1" applyBorder="1" applyAlignment="1">
      <alignment horizontal="center" vertical="center"/>
      <protection/>
    </xf>
    <xf numFmtId="0" fontId="15" fillId="0" borderId="0" xfId="0" applyFont="1" applyAlignment="1">
      <alignment horizont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vertical="center" wrapText="1"/>
    </xf>
    <xf numFmtId="4" fontId="3" fillId="9" borderId="1" xfId="20" applyNumberFormat="1" applyFont="1" applyFill="1" applyBorder="1" applyAlignment="1">
      <alignment horizontal="center"/>
      <protection/>
    </xf>
    <xf numFmtId="0" fontId="2" fillId="0" borderId="0" xfId="0" applyNumberFormat="1" applyFont="1" applyFill="1" applyAlignment="1">
      <alignment horizontal="center"/>
    </xf>
    <xf numFmtId="0" fontId="2" fillId="9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3" fillId="9" borderId="0" xfId="20" applyFont="1" applyFill="1" applyAlignment="1">
      <alignment horizontal="right"/>
      <protection/>
    </xf>
    <xf numFmtId="1" fontId="0" fillId="0" borderId="0" xfId="0" applyNumberFormat="1" applyFill="1" applyBorder="1"/>
    <xf numFmtId="4" fontId="0" fillId="0" borderId="0" xfId="0" applyNumberFormat="1" applyFill="1"/>
    <xf numFmtId="2" fontId="17" fillId="9" borderId="0" xfId="20" applyNumberFormat="1" applyFont="1" applyFill="1" applyBorder="1" applyAlignment="1">
      <alignment horizontal="center" vertical="center"/>
      <protection/>
    </xf>
    <xf numFmtId="165" fontId="13" fillId="12" borderId="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4" fontId="3" fillId="0" borderId="1" xfId="21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4" fontId="15" fillId="0" borderId="1" xfId="0" applyNumberFormat="1" applyFont="1" applyFill="1" applyBorder="1" applyAlignment="1">
      <alignment horizontal="center" vertical="center" wrapText="1"/>
    </xf>
    <xf numFmtId="4" fontId="27" fillId="0" borderId="1" xfId="0" applyNumberFormat="1" applyFont="1" applyBorder="1" applyAlignment="1">
      <alignment horizontal="center" vertical="center"/>
    </xf>
    <xf numFmtId="4" fontId="27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 wrapText="1"/>
    </xf>
    <xf numFmtId="49" fontId="17" fillId="9" borderId="8" xfId="20" applyNumberFormat="1" applyFont="1" applyFill="1" applyBorder="1" applyAlignment="1">
      <alignment horizontal="left" vertical="center" wrapText="1"/>
      <protection/>
    </xf>
    <xf numFmtId="165" fontId="33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2" fillId="0" borderId="0" xfId="22" applyFont="1" applyAlignment="1">
      <alignment horizontal="left" vertical="center" wrapText="1"/>
    </xf>
    <xf numFmtId="0" fontId="2" fillId="0" borderId="1" xfId="22" applyFont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22" applyFont="1" applyAlignment="1">
      <alignment horizontal="left" vertical="center" wrapText="1"/>
    </xf>
    <xf numFmtId="0" fontId="3" fillId="0" borderId="1" xfId="22" applyFont="1" applyBorder="1" applyAlignment="1">
      <alignment horizontal="left" vertical="center" wrapText="1"/>
    </xf>
    <xf numFmtId="4" fontId="3" fillId="0" borderId="1" xfId="20" applyNumberFormat="1" applyFont="1" applyFill="1" applyBorder="1" applyAlignment="1">
      <alignment horizontal="center" vertical="center"/>
      <protection/>
    </xf>
    <xf numFmtId="4" fontId="3" fillId="2" borderId="1" xfId="20" applyNumberFormat="1" applyFont="1" applyFill="1" applyBorder="1" applyAlignment="1">
      <alignment horizontal="center" vertical="center"/>
      <protection/>
    </xf>
    <xf numFmtId="0" fontId="32" fillId="0" borderId="0" xfId="0" applyFont="1" applyAlignment="1">
      <alignment horizontal="left" vertical="center" wrapText="1"/>
    </xf>
    <xf numFmtId="0" fontId="2" fillId="0" borderId="6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4" fontId="2" fillId="0" borderId="0" xfId="20" applyNumberFormat="1" applyFont="1" applyFill="1" applyBorder="1" applyAlignment="1">
      <alignment horizontal="center" vertical="center"/>
      <protection/>
    </xf>
    <xf numFmtId="165" fontId="2" fillId="0" borderId="0" xfId="20" applyNumberFormat="1" applyFont="1" applyFill="1" applyBorder="1" applyAlignment="1">
      <alignment vertical="center"/>
      <protection/>
    </xf>
    <xf numFmtId="4" fontId="2" fillId="0" borderId="0" xfId="20" applyNumberFormat="1" applyFont="1" applyFill="1" applyBorder="1" applyAlignment="1">
      <alignment vertical="center"/>
      <protection/>
    </xf>
    <xf numFmtId="4" fontId="17" fillId="0" borderId="0" xfId="20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3" fillId="0" borderId="0" xfId="20" applyFont="1" applyFill="1" applyAlignment="1">
      <alignment vertical="center" wrapText="1"/>
      <protection/>
    </xf>
    <xf numFmtId="0" fontId="3" fillId="0" borderId="4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3" fillId="0" borderId="2" xfId="20" applyFont="1" applyFill="1" applyBorder="1" applyAlignment="1">
      <alignment vertical="center" wrapText="1"/>
      <protection/>
    </xf>
    <xf numFmtId="0" fontId="2" fillId="0" borderId="4" xfId="20" applyFont="1" applyFill="1" applyBorder="1" applyAlignment="1">
      <alignment vertical="center" wrapText="1"/>
      <protection/>
    </xf>
    <xf numFmtId="165" fontId="2" fillId="0" borderId="2" xfId="2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20" applyFont="1" applyFill="1" applyBorder="1" applyAlignment="1">
      <alignment horizontal="center" vertical="center" wrapText="1"/>
      <protection/>
    </xf>
    <xf numFmtId="4" fontId="3" fillId="0" borderId="1" xfId="20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justify" vertical="center" wrapText="1"/>
    </xf>
    <xf numFmtId="0" fontId="16" fillId="0" borderId="1" xfId="0" applyFont="1" applyFill="1" applyBorder="1"/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0" fontId="3" fillId="0" borderId="0" xfId="0" applyNumberFormat="1" applyFont="1" applyFill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4" xfId="20" applyFont="1" applyFill="1" applyBorder="1" applyAlignment="1">
      <alignment horizontal="center" vertical="center" wrapText="1"/>
      <protection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3" fillId="9" borderId="0" xfId="0" applyFont="1" applyFill="1" applyBorder="1" applyAlignment="1">
      <alignment horizontal="center" wrapText="1"/>
    </xf>
    <xf numFmtId="49" fontId="17" fillId="0" borderId="0" xfId="20" applyNumberFormat="1" applyFont="1" applyFill="1" applyBorder="1" applyAlignment="1">
      <alignment horizontal="center" vertical="center"/>
      <protection/>
    </xf>
    <xf numFmtId="0" fontId="3" fillId="9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2" fillId="0" borderId="13" xfId="0" applyNumberFormat="1" applyFont="1" applyFill="1" applyBorder="1" applyAlignment="1">
      <alignment horizontal="left" vertical="top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Гиперссылка" xfId="2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 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 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 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 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 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 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 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 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 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 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 /><Relationship Id="rId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5"/>
  <sheetViews>
    <sheetView view="pageBreakPreview" zoomScaleSheetLayoutView="100" workbookViewId="0" topLeftCell="A1">
      <selection activeCell="C79" sqref="C79"/>
    </sheetView>
  </sheetViews>
  <sheetFormatPr defaultColWidth="9.140625" defaultRowHeight="15"/>
  <cols>
    <col min="1" max="1" width="25.140625" style="138" customWidth="1"/>
    <col min="2" max="2" width="77.57421875" style="138" customWidth="1"/>
    <col min="3" max="3" width="16.28125" style="138" customWidth="1"/>
    <col min="4" max="4" width="18.8515625" style="138" hidden="1" customWidth="1"/>
    <col min="5" max="5" width="12.57421875" style="138" hidden="1" customWidth="1"/>
    <col min="6" max="6" width="11.8515625" style="138" hidden="1" customWidth="1"/>
    <col min="7" max="7" width="12.57421875" style="138" customWidth="1"/>
    <col min="8" max="8" width="11.8515625" style="138" customWidth="1"/>
    <col min="9" max="9" width="15.00390625" style="138" customWidth="1"/>
    <col min="10" max="10" width="15.8515625" style="138" customWidth="1"/>
    <col min="11" max="11" width="9.140625" style="138" customWidth="1"/>
    <col min="12" max="12" width="17.00390625" style="138" customWidth="1"/>
    <col min="13" max="16384" width="9.140625" style="138" customWidth="1"/>
  </cols>
  <sheetData>
    <row r="1" ht="15.75">
      <c r="C1" s="139" t="s">
        <v>0</v>
      </c>
    </row>
    <row r="2" ht="15.75">
      <c r="C2" s="139" t="s">
        <v>1</v>
      </c>
    </row>
    <row r="3" spans="2:3" ht="15.75">
      <c r="B3" s="140"/>
      <c r="C3" s="140"/>
    </row>
    <row r="4" spans="1:3" ht="15.75">
      <c r="A4" s="395" t="s">
        <v>1378</v>
      </c>
      <c r="B4" s="395"/>
      <c r="C4" s="395"/>
    </row>
    <row r="5" spans="1:3" ht="15.75">
      <c r="A5" s="395" t="s">
        <v>1379</v>
      </c>
      <c r="B5" s="395"/>
      <c r="C5" s="395"/>
    </row>
    <row r="6" spans="1:3" ht="15.75">
      <c r="A6" s="395"/>
      <c r="B6" s="395"/>
      <c r="C6" s="395"/>
    </row>
    <row r="7" spans="1:3" ht="15.75">
      <c r="A7" s="141"/>
      <c r="B7" s="141"/>
      <c r="C7" s="344" t="s">
        <v>716</v>
      </c>
    </row>
    <row r="8" spans="1:4" ht="31.5">
      <c r="A8" s="142" t="s">
        <v>3</v>
      </c>
      <c r="B8" s="143" t="s">
        <v>4</v>
      </c>
      <c r="C8" s="247" t="s">
        <v>1207</v>
      </c>
      <c r="D8" s="124">
        <f>C10+C16+C21+C31+C39</f>
        <v>267746.3</v>
      </c>
    </row>
    <row r="9" spans="1:10" ht="18.75">
      <c r="A9" s="144" t="s">
        <v>6</v>
      </c>
      <c r="B9" s="145" t="s">
        <v>7</v>
      </c>
      <c r="C9" s="200">
        <f>C10+C16+C21+C31+C39+C42+C48+C55+C58+C63+C71</f>
        <v>313575.1</v>
      </c>
      <c r="E9" s="124"/>
      <c r="G9" s="124"/>
      <c r="J9" s="124"/>
    </row>
    <row r="10" spans="1:10" ht="18.75">
      <c r="A10" s="146" t="s">
        <v>8</v>
      </c>
      <c r="B10" s="145" t="s">
        <v>9</v>
      </c>
      <c r="C10" s="200">
        <f aca="true" t="shared" si="0" ref="C10">C11</f>
        <v>234896</v>
      </c>
      <c r="D10" s="124"/>
      <c r="F10" s="124"/>
      <c r="G10" s="124"/>
      <c r="H10" s="124"/>
      <c r="I10" s="124"/>
      <c r="J10" s="124"/>
    </row>
    <row r="11" spans="1:10" ht="18.75">
      <c r="A11" s="147" t="s">
        <v>10</v>
      </c>
      <c r="B11" s="148" t="s">
        <v>11</v>
      </c>
      <c r="C11" s="200">
        <f aca="true" t="shared" si="1" ref="C11">SUM(C12:C15)</f>
        <v>234896</v>
      </c>
      <c r="D11" s="124"/>
      <c r="F11" s="124"/>
      <c r="G11" s="124"/>
      <c r="H11" s="124"/>
      <c r="I11" s="124"/>
      <c r="J11" s="124"/>
    </row>
    <row r="12" spans="1:4" ht="63">
      <c r="A12" s="230" t="s">
        <v>12</v>
      </c>
      <c r="B12" s="149" t="s">
        <v>13</v>
      </c>
      <c r="C12" s="201">
        <v>234259</v>
      </c>
      <c r="D12" s="255"/>
    </row>
    <row r="13" spans="1:3" ht="94.5">
      <c r="A13" s="230" t="s">
        <v>14</v>
      </c>
      <c r="B13" s="150" t="s">
        <v>15</v>
      </c>
      <c r="C13" s="201">
        <v>18</v>
      </c>
    </row>
    <row r="14" spans="1:3" ht="36.75" customHeight="1">
      <c r="A14" s="230" t="s">
        <v>16</v>
      </c>
      <c r="B14" s="150" t="s">
        <v>17</v>
      </c>
      <c r="C14" s="201">
        <v>596</v>
      </c>
    </row>
    <row r="15" spans="1:3" ht="78.75">
      <c r="A15" s="230" t="s">
        <v>18</v>
      </c>
      <c r="B15" s="150" t="s">
        <v>19</v>
      </c>
      <c r="C15" s="201">
        <v>23</v>
      </c>
    </row>
    <row r="16" spans="1:3" ht="31.5">
      <c r="A16" s="151" t="s">
        <v>20</v>
      </c>
      <c r="B16" s="152" t="s">
        <v>21</v>
      </c>
      <c r="C16" s="200">
        <f aca="true" t="shared" si="2" ref="C16">C17</f>
        <v>4562.3</v>
      </c>
    </row>
    <row r="17" spans="1:3" ht="31.5">
      <c r="A17" s="198" t="s">
        <v>22</v>
      </c>
      <c r="B17" s="199" t="s">
        <v>23</v>
      </c>
      <c r="C17" s="200">
        <f aca="true" t="shared" si="3" ref="C17">SUM(C18:C20)</f>
        <v>4562.3</v>
      </c>
    </row>
    <row r="18" spans="1:3" ht="63">
      <c r="A18" s="153" t="s">
        <v>24</v>
      </c>
      <c r="B18" s="150" t="s">
        <v>25</v>
      </c>
      <c r="C18" s="201">
        <v>1548.9</v>
      </c>
    </row>
    <row r="19" spans="1:3" ht="78.75">
      <c r="A19" s="231" t="s">
        <v>26</v>
      </c>
      <c r="B19" s="150" t="s">
        <v>27</v>
      </c>
      <c r="C19" s="201">
        <v>10.2</v>
      </c>
    </row>
    <row r="20" spans="1:3" ht="63">
      <c r="A20" s="231" t="s">
        <v>28</v>
      </c>
      <c r="B20" s="150" t="s">
        <v>29</v>
      </c>
      <c r="C20" s="202">
        <v>3003.2</v>
      </c>
    </row>
    <row r="21" spans="1:6" ht="18.75">
      <c r="A21" s="147" t="s">
        <v>30</v>
      </c>
      <c r="B21" s="148" t="s">
        <v>31</v>
      </c>
      <c r="C21" s="200">
        <f>SUM(C22+C27+C29)</f>
        <v>25670</v>
      </c>
      <c r="F21" s="238"/>
    </row>
    <row r="22" spans="1:3" ht="31.5">
      <c r="A22" s="144" t="s">
        <v>32</v>
      </c>
      <c r="B22" s="148" t="s">
        <v>33</v>
      </c>
      <c r="C22" s="200">
        <f>C23+C25</f>
        <v>14478</v>
      </c>
    </row>
    <row r="23" spans="1:3" ht="31.5">
      <c r="A23" s="144" t="s">
        <v>1351</v>
      </c>
      <c r="B23" s="311" t="s">
        <v>35</v>
      </c>
      <c r="C23" s="200">
        <f>C24</f>
        <v>7239</v>
      </c>
    </row>
    <row r="24" spans="1:3" ht="31.5">
      <c r="A24" s="142" t="s">
        <v>34</v>
      </c>
      <c r="B24" s="107" t="s">
        <v>35</v>
      </c>
      <c r="C24" s="201">
        <f>14478/2</f>
        <v>7239</v>
      </c>
    </row>
    <row r="25" spans="1:3" ht="36.75" customHeight="1">
      <c r="A25" s="144" t="s">
        <v>1350</v>
      </c>
      <c r="B25" s="373" t="s">
        <v>1349</v>
      </c>
      <c r="C25" s="200">
        <f>C26</f>
        <v>7239</v>
      </c>
    </row>
    <row r="26" spans="1:3" ht="63">
      <c r="A26" s="142" t="s">
        <v>36</v>
      </c>
      <c r="B26" s="154" t="s">
        <v>37</v>
      </c>
      <c r="C26" s="201">
        <v>7239</v>
      </c>
    </row>
    <row r="27" spans="1:3" ht="18.75">
      <c r="A27" s="144" t="s">
        <v>38</v>
      </c>
      <c r="B27" s="157" t="s">
        <v>39</v>
      </c>
      <c r="C27" s="200">
        <f aca="true" t="shared" si="4" ref="C27">SUM(C28:C28)</f>
        <v>10845</v>
      </c>
    </row>
    <row r="28" spans="1:3" ht="18.75">
      <c r="A28" s="230" t="s">
        <v>40</v>
      </c>
      <c r="B28" s="149" t="s">
        <v>39</v>
      </c>
      <c r="C28" s="201">
        <v>10845</v>
      </c>
    </row>
    <row r="29" spans="1:3" ht="31.5">
      <c r="A29" s="144" t="s">
        <v>1365</v>
      </c>
      <c r="B29" s="155" t="s">
        <v>1352</v>
      </c>
      <c r="C29" s="200">
        <f>C30</f>
        <v>347</v>
      </c>
    </row>
    <row r="30" spans="1:3" ht="31.5">
      <c r="A30" s="142" t="s">
        <v>41</v>
      </c>
      <c r="B30" s="374" t="s">
        <v>42</v>
      </c>
      <c r="C30" s="201">
        <v>347</v>
      </c>
    </row>
    <row r="31" spans="1:3" ht="18.75">
      <c r="A31" s="147" t="s">
        <v>43</v>
      </c>
      <c r="B31" s="148" t="s">
        <v>44</v>
      </c>
      <c r="C31" s="200">
        <f aca="true" t="shared" si="5" ref="C31">C32+C34</f>
        <v>1144</v>
      </c>
    </row>
    <row r="32" spans="1:3" ht="18.75">
      <c r="A32" s="147" t="s">
        <v>45</v>
      </c>
      <c r="B32" s="148" t="s">
        <v>46</v>
      </c>
      <c r="C32" s="200">
        <f aca="true" t="shared" si="6" ref="C32">C33</f>
        <v>811</v>
      </c>
    </row>
    <row r="33" spans="1:3" ht="38.25" customHeight="1">
      <c r="A33" s="230" t="s">
        <v>47</v>
      </c>
      <c r="B33" s="154" t="s">
        <v>48</v>
      </c>
      <c r="C33" s="201">
        <v>811</v>
      </c>
    </row>
    <row r="34" spans="1:3" ht="18.75">
      <c r="A34" s="147" t="s">
        <v>49</v>
      </c>
      <c r="B34" s="148" t="s">
        <v>50</v>
      </c>
      <c r="C34" s="200">
        <f>C35+C37</f>
        <v>333</v>
      </c>
    </row>
    <row r="35" spans="1:3" ht="18.75">
      <c r="A35" s="147" t="s">
        <v>1367</v>
      </c>
      <c r="B35" s="148" t="s">
        <v>1366</v>
      </c>
      <c r="C35" s="200">
        <f>C36</f>
        <v>178</v>
      </c>
    </row>
    <row r="36" spans="1:3" ht="31.5">
      <c r="A36" s="230" t="s">
        <v>51</v>
      </c>
      <c r="B36" s="154" t="s">
        <v>52</v>
      </c>
      <c r="C36" s="201">
        <v>178</v>
      </c>
    </row>
    <row r="37" spans="1:3" ht="18.75">
      <c r="A37" s="147" t="s">
        <v>1369</v>
      </c>
      <c r="B37" s="148" t="s">
        <v>1368</v>
      </c>
      <c r="C37" s="200">
        <f>C38</f>
        <v>155</v>
      </c>
    </row>
    <row r="38" spans="1:3" ht="31.5">
      <c r="A38" s="230" t="s">
        <v>53</v>
      </c>
      <c r="B38" s="154" t="s">
        <v>54</v>
      </c>
      <c r="C38" s="201">
        <v>155</v>
      </c>
    </row>
    <row r="39" spans="1:3" ht="18.75">
      <c r="A39" s="147" t="s">
        <v>55</v>
      </c>
      <c r="B39" s="148" t="s">
        <v>56</v>
      </c>
      <c r="C39" s="200">
        <f aca="true" t="shared" si="7" ref="C39:C40">C40</f>
        <v>1474</v>
      </c>
    </row>
    <row r="40" spans="1:3" ht="31.5">
      <c r="A40" s="147" t="s">
        <v>57</v>
      </c>
      <c r="B40" s="148" t="s">
        <v>58</v>
      </c>
      <c r="C40" s="200">
        <f t="shared" si="7"/>
        <v>1474</v>
      </c>
    </row>
    <row r="41" spans="1:3" ht="47.25">
      <c r="A41" s="230" t="s">
        <v>59</v>
      </c>
      <c r="B41" s="149" t="s">
        <v>60</v>
      </c>
      <c r="C41" s="201">
        <v>1474</v>
      </c>
    </row>
    <row r="42" spans="1:6" ht="31.5">
      <c r="A42" s="147" t="s">
        <v>61</v>
      </c>
      <c r="B42" s="156" t="s">
        <v>62</v>
      </c>
      <c r="C42" s="200">
        <f aca="true" t="shared" si="8" ref="C42">C43</f>
        <v>43000</v>
      </c>
      <c r="D42" s="124">
        <f>C42+C48+C55+C58+C63</f>
        <v>45828.8</v>
      </c>
      <c r="F42" s="124"/>
    </row>
    <row r="43" spans="1:3" ht="78.75">
      <c r="A43" s="147" t="s">
        <v>63</v>
      </c>
      <c r="B43" s="156" t="s">
        <v>64</v>
      </c>
      <c r="C43" s="200">
        <f aca="true" t="shared" si="9" ref="C43">C44+C46</f>
        <v>43000</v>
      </c>
    </row>
    <row r="44" spans="1:3" ht="63">
      <c r="A44" s="147" t="s">
        <v>65</v>
      </c>
      <c r="B44" s="148" t="s">
        <v>66</v>
      </c>
      <c r="C44" s="200">
        <f aca="true" t="shared" si="10" ref="C44">C45</f>
        <v>38000</v>
      </c>
    </row>
    <row r="45" spans="1:3" ht="63">
      <c r="A45" s="230" t="s">
        <v>67</v>
      </c>
      <c r="B45" s="154" t="s">
        <v>68</v>
      </c>
      <c r="C45" s="201">
        <v>38000</v>
      </c>
    </row>
    <row r="46" spans="1:3" ht="31.5">
      <c r="A46" s="147" t="s">
        <v>69</v>
      </c>
      <c r="B46" s="148" t="s">
        <v>70</v>
      </c>
      <c r="C46" s="200">
        <f aca="true" t="shared" si="11" ref="C46">C47</f>
        <v>5000</v>
      </c>
    </row>
    <row r="47" spans="1:3" ht="31.5">
      <c r="A47" s="230" t="s">
        <v>71</v>
      </c>
      <c r="B47" s="154" t="s">
        <v>72</v>
      </c>
      <c r="C47" s="201">
        <v>5000</v>
      </c>
    </row>
    <row r="48" spans="1:3" ht="18.75">
      <c r="A48" s="147" t="s">
        <v>73</v>
      </c>
      <c r="B48" s="156" t="s">
        <v>74</v>
      </c>
      <c r="C48" s="200">
        <f aca="true" t="shared" si="12" ref="C48">SUM(C49)</f>
        <v>1735.8</v>
      </c>
    </row>
    <row r="49" spans="1:3" ht="18.75">
      <c r="A49" s="147" t="s">
        <v>75</v>
      </c>
      <c r="B49" s="156" t="s">
        <v>76</v>
      </c>
      <c r="C49" s="200">
        <f>C50+C51+C52</f>
        <v>1735.8</v>
      </c>
    </row>
    <row r="50" spans="1:4" ht="31.5">
      <c r="A50" s="147" t="s">
        <v>77</v>
      </c>
      <c r="B50" s="156" t="s">
        <v>78</v>
      </c>
      <c r="C50" s="200">
        <v>517.9</v>
      </c>
      <c r="D50" s="241"/>
    </row>
    <row r="51" spans="1:4" ht="18.75">
      <c r="A51" s="147" t="s">
        <v>79</v>
      </c>
      <c r="B51" s="156" t="s">
        <v>80</v>
      </c>
      <c r="C51" s="200">
        <v>1.1</v>
      </c>
      <c r="D51" s="241"/>
    </row>
    <row r="52" spans="1:4" ht="31.5">
      <c r="A52" s="147" t="s">
        <v>1353</v>
      </c>
      <c r="B52" s="368" t="s">
        <v>1354</v>
      </c>
      <c r="C52" s="200">
        <f>C53+C54</f>
        <v>1216.8</v>
      </c>
      <c r="D52" s="241"/>
    </row>
    <row r="53" spans="1:4" ht="18.75">
      <c r="A53" s="230" t="s">
        <v>828</v>
      </c>
      <c r="B53" s="149" t="s">
        <v>829</v>
      </c>
      <c r="C53" s="201">
        <v>1060.8</v>
      </c>
      <c r="D53" s="242"/>
    </row>
    <row r="54" spans="1:4" ht="18.75">
      <c r="A54" s="230" t="s">
        <v>830</v>
      </c>
      <c r="B54" s="149" t="s">
        <v>831</v>
      </c>
      <c r="C54" s="201">
        <v>156</v>
      </c>
      <c r="D54" s="241"/>
    </row>
    <row r="55" spans="1:4" ht="31.5">
      <c r="A55" s="147" t="s">
        <v>81</v>
      </c>
      <c r="B55" s="156" t="s">
        <v>82</v>
      </c>
      <c r="C55" s="200">
        <f>C57</f>
        <v>842</v>
      </c>
      <c r="D55" s="241"/>
    </row>
    <row r="56" spans="1:3" ht="18.75">
      <c r="A56" s="147" t="s">
        <v>83</v>
      </c>
      <c r="B56" s="156" t="s">
        <v>84</v>
      </c>
      <c r="C56" s="200">
        <f>C57</f>
        <v>842</v>
      </c>
    </row>
    <row r="57" spans="1:4" ht="31.5">
      <c r="A57" s="230" t="s">
        <v>85</v>
      </c>
      <c r="B57" s="149" t="s">
        <v>86</v>
      </c>
      <c r="C57" s="201">
        <v>842</v>
      </c>
      <c r="D57" s="251"/>
    </row>
    <row r="58" spans="1:3" ht="31.5">
      <c r="A58" s="147" t="s">
        <v>87</v>
      </c>
      <c r="B58" s="156" t="s">
        <v>88</v>
      </c>
      <c r="C58" s="200">
        <f aca="true" t="shared" si="13" ref="C58">SUM(C59+C61)</f>
        <v>236</v>
      </c>
    </row>
    <row r="59" spans="1:3" ht="78.75">
      <c r="A59" s="147" t="s">
        <v>89</v>
      </c>
      <c r="B59" s="156" t="s">
        <v>90</v>
      </c>
      <c r="C59" s="200">
        <f aca="true" t="shared" si="14" ref="C59">C60</f>
        <v>235</v>
      </c>
    </row>
    <row r="60" spans="1:3" ht="78.75">
      <c r="A60" s="230" t="s">
        <v>91</v>
      </c>
      <c r="B60" s="149" t="s">
        <v>717</v>
      </c>
      <c r="C60" s="201">
        <v>235</v>
      </c>
    </row>
    <row r="61" spans="1:3" ht="31.5">
      <c r="A61" s="147" t="s">
        <v>92</v>
      </c>
      <c r="B61" s="156" t="s">
        <v>93</v>
      </c>
      <c r="C61" s="200">
        <f aca="true" t="shared" si="15" ref="C61">SUM(C62)</f>
        <v>1</v>
      </c>
    </row>
    <row r="62" spans="1:3" ht="47.25">
      <c r="A62" s="230" t="s">
        <v>94</v>
      </c>
      <c r="B62" s="149" t="s">
        <v>95</v>
      </c>
      <c r="C62" s="201">
        <v>1</v>
      </c>
    </row>
    <row r="63" spans="1:3" ht="18.75">
      <c r="A63" s="147" t="s">
        <v>96</v>
      </c>
      <c r="B63" s="156" t="s">
        <v>97</v>
      </c>
      <c r="C63" s="200">
        <f>C64</f>
        <v>15</v>
      </c>
    </row>
    <row r="64" spans="1:3" ht="31.5">
      <c r="A64" s="147" t="s">
        <v>1325</v>
      </c>
      <c r="B64" s="156" t="s">
        <v>98</v>
      </c>
      <c r="C64" s="200">
        <f>C65+C67+C69</f>
        <v>15</v>
      </c>
    </row>
    <row r="65" spans="1:3" ht="47.25">
      <c r="A65" s="147" t="s">
        <v>1346</v>
      </c>
      <c r="B65" s="369" t="s">
        <v>1345</v>
      </c>
      <c r="C65" s="200">
        <f>C66</f>
        <v>5</v>
      </c>
    </row>
    <row r="66" spans="1:3" ht="63">
      <c r="A66" s="247" t="s">
        <v>1327</v>
      </c>
      <c r="B66" s="367" t="s">
        <v>1340</v>
      </c>
      <c r="C66" s="201">
        <v>5</v>
      </c>
    </row>
    <row r="67" spans="1:3" ht="78.75">
      <c r="A67" s="147" t="s">
        <v>1348</v>
      </c>
      <c r="B67" s="369" t="s">
        <v>1347</v>
      </c>
      <c r="C67" s="200">
        <f>C68</f>
        <v>5</v>
      </c>
    </row>
    <row r="68" spans="1:3" ht="94.5">
      <c r="A68" s="247" t="s">
        <v>1326</v>
      </c>
      <c r="B68" s="367" t="s">
        <v>1341</v>
      </c>
      <c r="C68" s="201">
        <v>5</v>
      </c>
    </row>
    <row r="69" spans="1:3" ht="63">
      <c r="A69" s="147" t="s">
        <v>1344</v>
      </c>
      <c r="B69" s="370" t="s">
        <v>1343</v>
      </c>
      <c r="C69" s="200">
        <f>C70</f>
        <v>5</v>
      </c>
    </row>
    <row r="70" spans="1:3" ht="78.75">
      <c r="A70" s="247" t="s">
        <v>1330</v>
      </c>
      <c r="B70" s="366" t="s">
        <v>1342</v>
      </c>
      <c r="C70" s="201">
        <v>5</v>
      </c>
    </row>
    <row r="71" spans="1:3" ht="18.75">
      <c r="A71" s="3" t="s">
        <v>1328</v>
      </c>
      <c r="B71" s="197" t="s">
        <v>792</v>
      </c>
      <c r="C71" s="200">
        <f>C72</f>
        <v>0</v>
      </c>
    </row>
    <row r="72" spans="1:3" ht="18.75">
      <c r="A72" s="3" t="s">
        <v>1329</v>
      </c>
      <c r="B72" s="197" t="s">
        <v>793</v>
      </c>
      <c r="C72" s="200">
        <f aca="true" t="shared" si="16" ref="C72">SUM(C73)</f>
        <v>0</v>
      </c>
    </row>
    <row r="73" spans="1:3" ht="18.75">
      <c r="A73" s="2" t="s">
        <v>794</v>
      </c>
      <c r="B73" s="196" t="s">
        <v>795</v>
      </c>
      <c r="C73" s="201">
        <v>0</v>
      </c>
    </row>
    <row r="74" spans="1:10" ht="18.75">
      <c r="A74" s="147" t="s">
        <v>99</v>
      </c>
      <c r="B74" s="148" t="s">
        <v>100</v>
      </c>
      <c r="C74" s="381">
        <f>SUM(C75+C127)</f>
        <v>365096.01999999996</v>
      </c>
      <c r="D74" s="233">
        <f>C74-C76</f>
        <v>193360.29999999996</v>
      </c>
      <c r="E74" s="124"/>
      <c r="F74" s="124"/>
      <c r="H74" s="226"/>
      <c r="J74" s="124"/>
    </row>
    <row r="75" spans="1:9" ht="31.5">
      <c r="A75" s="147" t="s">
        <v>101</v>
      </c>
      <c r="B75" s="148" t="s">
        <v>102</v>
      </c>
      <c r="C75" s="381">
        <f>SUM(C76+C83+C102+C121)</f>
        <v>365096.01999999996</v>
      </c>
      <c r="D75" s="233"/>
      <c r="H75" s="226"/>
      <c r="I75" s="124"/>
    </row>
    <row r="76" spans="1:3" ht="18.75">
      <c r="A76" s="147" t="s">
        <v>860</v>
      </c>
      <c r="B76" s="157" t="s">
        <v>103</v>
      </c>
      <c r="C76" s="200">
        <f>C77</f>
        <v>171735.72</v>
      </c>
    </row>
    <row r="77" spans="1:3" ht="18.75">
      <c r="A77" s="147" t="s">
        <v>1373</v>
      </c>
      <c r="B77" s="157" t="s">
        <v>1370</v>
      </c>
      <c r="C77" s="200">
        <f>C78</f>
        <v>171735.72</v>
      </c>
    </row>
    <row r="78" spans="1:6" ht="31.5">
      <c r="A78" s="147" t="s">
        <v>859</v>
      </c>
      <c r="B78" s="148" t="s">
        <v>104</v>
      </c>
      <c r="C78" s="200">
        <f aca="true" t="shared" si="17" ref="C78">SUM(C79+C80)</f>
        <v>171735.72</v>
      </c>
      <c r="F78" s="124"/>
    </row>
    <row r="79" spans="1:4" ht="94.5">
      <c r="A79" s="142" t="s">
        <v>859</v>
      </c>
      <c r="B79" s="154" t="s">
        <v>105</v>
      </c>
      <c r="C79" s="201">
        <f>134322+25293.52+7305.2+4114</f>
        <v>171034.72</v>
      </c>
      <c r="D79" s="124">
        <f>C79-134322</f>
        <v>36712.72</v>
      </c>
    </row>
    <row r="80" spans="1:3" ht="94.5">
      <c r="A80" s="142" t="s">
        <v>859</v>
      </c>
      <c r="B80" s="154" t="s">
        <v>106</v>
      </c>
      <c r="C80" s="201">
        <v>701</v>
      </c>
    </row>
    <row r="81" spans="1:3" ht="31.5" hidden="1">
      <c r="A81" s="144" t="s">
        <v>1371</v>
      </c>
      <c r="B81" s="148" t="s">
        <v>1372</v>
      </c>
      <c r="C81" s="200">
        <f>C82</f>
        <v>0</v>
      </c>
    </row>
    <row r="82" spans="1:3" ht="31.5" hidden="1">
      <c r="A82" s="142" t="s">
        <v>1305</v>
      </c>
      <c r="B82" s="154" t="s">
        <v>1306</v>
      </c>
      <c r="C82" s="201">
        <v>0</v>
      </c>
    </row>
    <row r="83" spans="1:9" ht="34.5" customHeight="1">
      <c r="A83" s="147" t="s">
        <v>858</v>
      </c>
      <c r="B83" s="148" t="s">
        <v>107</v>
      </c>
      <c r="C83" s="200">
        <f>C84+C88+C91+C86</f>
        <v>5972.599999999999</v>
      </c>
      <c r="D83" s="124"/>
      <c r="E83" s="124"/>
      <c r="F83" s="124"/>
      <c r="G83" s="124"/>
      <c r="H83" s="226"/>
      <c r="I83" s="124"/>
    </row>
    <row r="84" spans="1:7" ht="36" customHeight="1" hidden="1">
      <c r="A84" s="365" t="s">
        <v>1355</v>
      </c>
      <c r="B84" s="148" t="s">
        <v>1356</v>
      </c>
      <c r="C84" s="200">
        <f aca="true" t="shared" si="18" ref="C84">SUM(C85)</f>
        <v>0</v>
      </c>
      <c r="G84" s="159"/>
    </row>
    <row r="85" spans="1:4" s="159" customFormat="1" ht="31.5" hidden="1">
      <c r="A85" s="231" t="s">
        <v>820</v>
      </c>
      <c r="B85" s="154" t="s">
        <v>827</v>
      </c>
      <c r="C85" s="201">
        <v>0</v>
      </c>
      <c r="D85" s="249"/>
    </row>
    <row r="86" spans="1:3" s="159" customFormat="1" ht="26.25" customHeight="1" hidden="1">
      <c r="A86" s="158" t="s">
        <v>1357</v>
      </c>
      <c r="B86" s="157" t="s">
        <v>1358</v>
      </c>
      <c r="C86" s="200">
        <f>C87</f>
        <v>0</v>
      </c>
    </row>
    <row r="87" spans="1:4" s="159" customFormat="1" ht="39.75" customHeight="1" hidden="1">
      <c r="A87" s="248" t="s">
        <v>874</v>
      </c>
      <c r="B87" s="375" t="s">
        <v>875</v>
      </c>
      <c r="C87" s="201">
        <v>0</v>
      </c>
      <c r="D87" s="249"/>
    </row>
    <row r="88" spans="1:7" ht="31.5" hidden="1">
      <c r="A88" s="158" t="s">
        <v>1359</v>
      </c>
      <c r="B88" s="148" t="s">
        <v>1360</v>
      </c>
      <c r="C88" s="200">
        <f aca="true" t="shared" si="19" ref="C88">SUM(C89)</f>
        <v>0</v>
      </c>
      <c r="D88" s="124"/>
      <c r="G88" s="159"/>
    </row>
    <row r="89" spans="1:4" s="159" customFormat="1" ht="35.25" customHeight="1" hidden="1">
      <c r="A89" s="231" t="s">
        <v>857</v>
      </c>
      <c r="B89" s="375" t="s">
        <v>1361</v>
      </c>
      <c r="C89" s="201">
        <v>0</v>
      </c>
      <c r="D89" s="249"/>
    </row>
    <row r="90" spans="1:9" s="223" customFormat="1" ht="18.75">
      <c r="A90" s="365" t="s">
        <v>1363</v>
      </c>
      <c r="B90" s="148" t="s">
        <v>1362</v>
      </c>
      <c r="C90" s="363">
        <f>C91</f>
        <v>5972.599999999999</v>
      </c>
      <c r="G90" s="226"/>
      <c r="I90" s="224"/>
    </row>
    <row r="91" spans="1:9" s="223" customFormat="1" ht="18.75">
      <c r="A91" s="247" t="s">
        <v>856</v>
      </c>
      <c r="B91" s="154" t="s">
        <v>108</v>
      </c>
      <c r="C91" s="225">
        <f>SUM(C92+C93+C94+C95+C98+C99+C100+C101)</f>
        <v>5972.599999999999</v>
      </c>
      <c r="G91" s="226"/>
      <c r="I91" s="224"/>
    </row>
    <row r="92" spans="1:3" ht="126.75" customHeight="1" hidden="1">
      <c r="A92" s="396"/>
      <c r="B92" s="154" t="s">
        <v>843</v>
      </c>
      <c r="C92" s="201">
        <v>0</v>
      </c>
    </row>
    <row r="93" spans="1:3" ht="63">
      <c r="A93" s="396"/>
      <c r="B93" s="149" t="s">
        <v>844</v>
      </c>
      <c r="C93" s="201">
        <v>69.1</v>
      </c>
    </row>
    <row r="94" spans="1:9" ht="80.25" customHeight="1">
      <c r="A94" s="396"/>
      <c r="B94" s="160" t="s">
        <v>727</v>
      </c>
      <c r="C94" s="203">
        <f>2124.9+1127.4</f>
        <v>3252.3</v>
      </c>
      <c r="D94" s="251"/>
      <c r="I94" s="124"/>
    </row>
    <row r="95" spans="1:7" ht="63">
      <c r="A95" s="396"/>
      <c r="B95" s="161" t="s">
        <v>845</v>
      </c>
      <c r="C95" s="204">
        <f aca="true" t="shared" si="20" ref="C95">SUM(C96:C97)</f>
        <v>65</v>
      </c>
      <c r="G95" s="162"/>
    </row>
    <row r="96" spans="1:12" s="162" customFormat="1" ht="94.5" customHeight="1">
      <c r="A96" s="396"/>
      <c r="B96" s="332" t="s">
        <v>842</v>
      </c>
      <c r="C96" s="205">
        <v>40</v>
      </c>
      <c r="L96" s="138"/>
    </row>
    <row r="97" spans="1:12" s="162" customFormat="1" ht="110.25">
      <c r="A97" s="396"/>
      <c r="B97" s="178" t="s">
        <v>876</v>
      </c>
      <c r="C97" s="206">
        <v>25</v>
      </c>
      <c r="D97" s="250"/>
      <c r="L97" s="138"/>
    </row>
    <row r="98" spans="1:4" ht="78.75">
      <c r="A98" s="396"/>
      <c r="B98" s="149" t="s">
        <v>110</v>
      </c>
      <c r="C98" s="201">
        <f>1317.5+351.1</f>
        <v>1668.6</v>
      </c>
      <c r="D98" s="251"/>
    </row>
    <row r="99" spans="1:3" ht="78.75">
      <c r="A99" s="396"/>
      <c r="B99" s="149" t="s">
        <v>846</v>
      </c>
      <c r="C99" s="201">
        <v>255</v>
      </c>
    </row>
    <row r="100" spans="1:4" ht="94.5">
      <c r="A100" s="396"/>
      <c r="B100" s="149" t="s">
        <v>847</v>
      </c>
      <c r="C100" s="201">
        <f>488.7+8</f>
        <v>496.7</v>
      </c>
      <c r="D100" s="251"/>
    </row>
    <row r="101" spans="1:3" s="221" customFormat="1" ht="142.5" customHeight="1">
      <c r="A101" s="397"/>
      <c r="B101" s="217" t="s">
        <v>832</v>
      </c>
      <c r="C101" s="225">
        <v>165.9</v>
      </c>
    </row>
    <row r="102" spans="1:6" ht="18.75">
      <c r="A102" s="147" t="s">
        <v>855</v>
      </c>
      <c r="B102" s="156" t="s">
        <v>111</v>
      </c>
      <c r="C102" s="200">
        <f>C119+C103</f>
        <v>176061.09999999998</v>
      </c>
      <c r="F102" s="124"/>
    </row>
    <row r="103" spans="1:3" ht="31.5">
      <c r="A103" s="147" t="s">
        <v>854</v>
      </c>
      <c r="B103" s="156" t="s">
        <v>112</v>
      </c>
      <c r="C103" s="200">
        <f aca="true" t="shared" si="21" ref="C103">C104</f>
        <v>175319.69999999998</v>
      </c>
    </row>
    <row r="104" spans="1:3" ht="31.5">
      <c r="A104" s="247" t="s">
        <v>853</v>
      </c>
      <c r="B104" s="149" t="s">
        <v>113</v>
      </c>
      <c r="C104" s="201">
        <f>SUM(C105+C106+C107+C108+C109+C110+C111+C114+C115+C116+C117+C118)</f>
        <v>175319.69999999998</v>
      </c>
    </row>
    <row r="105" spans="1:4" ht="98.25" customHeight="1">
      <c r="A105" s="396"/>
      <c r="B105" s="160" t="s">
        <v>728</v>
      </c>
      <c r="C105" s="204">
        <v>91447.9</v>
      </c>
      <c r="D105" s="251"/>
    </row>
    <row r="106" spans="1:3" ht="78.75">
      <c r="A106" s="396"/>
      <c r="B106" s="149" t="s">
        <v>114</v>
      </c>
      <c r="C106" s="201">
        <v>68207.5</v>
      </c>
    </row>
    <row r="107" spans="1:3" ht="110.25">
      <c r="A107" s="396"/>
      <c r="B107" s="149" t="s">
        <v>718</v>
      </c>
      <c r="C107" s="201">
        <v>5112</v>
      </c>
    </row>
    <row r="108" spans="1:4" ht="97.5" customHeight="1">
      <c r="A108" s="396"/>
      <c r="B108" s="149" t="s">
        <v>719</v>
      </c>
      <c r="C108" s="201">
        <v>1348.6</v>
      </c>
      <c r="D108" s="251"/>
    </row>
    <row r="109" spans="1:3" ht="97.5" customHeight="1">
      <c r="A109" s="396"/>
      <c r="B109" s="149" t="s">
        <v>115</v>
      </c>
      <c r="C109" s="201">
        <v>1333.1</v>
      </c>
    </row>
    <row r="110" spans="1:3" ht="99" customHeight="1">
      <c r="A110" s="396"/>
      <c r="B110" s="149" t="s">
        <v>116</v>
      </c>
      <c r="C110" s="201">
        <v>605</v>
      </c>
    </row>
    <row r="111" spans="1:3" ht="47.25">
      <c r="A111" s="396"/>
      <c r="B111" s="149" t="s">
        <v>117</v>
      </c>
      <c r="C111" s="201">
        <f aca="true" t="shared" si="22" ref="C111">SUM(C112:C113)</f>
        <v>3263.9</v>
      </c>
    </row>
    <row r="112" spans="1:3" ht="31.5">
      <c r="A112" s="396"/>
      <c r="B112" s="163" t="s">
        <v>720</v>
      </c>
      <c r="C112" s="206">
        <v>2545.3</v>
      </c>
    </row>
    <row r="113" spans="1:3" ht="31.5">
      <c r="A113" s="396"/>
      <c r="B113" s="163" t="s">
        <v>721</v>
      </c>
      <c r="C113" s="206">
        <v>718.6</v>
      </c>
    </row>
    <row r="114" spans="1:3" ht="126">
      <c r="A114" s="396"/>
      <c r="B114" s="149" t="s">
        <v>848</v>
      </c>
      <c r="C114" s="201">
        <v>273.7</v>
      </c>
    </row>
    <row r="115" spans="1:3" ht="110.25" customHeight="1">
      <c r="A115" s="396"/>
      <c r="B115" s="149" t="s">
        <v>118</v>
      </c>
      <c r="C115" s="201">
        <v>946.8</v>
      </c>
    </row>
    <row r="116" spans="1:3" ht="47.25">
      <c r="A116" s="396"/>
      <c r="B116" s="149" t="s">
        <v>119</v>
      </c>
      <c r="C116" s="201">
        <f>1106.2+11.1</f>
        <v>1117.3</v>
      </c>
    </row>
    <row r="117" spans="1:9" ht="32.25" customHeight="1">
      <c r="A117" s="396"/>
      <c r="B117" s="149" t="s">
        <v>722</v>
      </c>
      <c r="C117" s="201">
        <f>976-732</f>
        <v>244</v>
      </c>
      <c r="D117" s="242"/>
      <c r="E117" s="242"/>
      <c r="F117" s="242"/>
      <c r="G117" s="242"/>
      <c r="H117" s="242"/>
      <c r="I117" s="351"/>
    </row>
    <row r="118" spans="1:9" ht="32.25" customHeight="1">
      <c r="A118" s="397"/>
      <c r="B118" s="149" t="s">
        <v>1331</v>
      </c>
      <c r="C118" s="201">
        <v>1419.9</v>
      </c>
      <c r="D118" s="351"/>
      <c r="E118" s="351"/>
      <c r="F118" s="351"/>
      <c r="G118" s="351"/>
      <c r="H118" s="351"/>
      <c r="I118" s="351"/>
    </row>
    <row r="119" spans="1:3" ht="31.5">
      <c r="A119" s="147" t="s">
        <v>852</v>
      </c>
      <c r="B119" s="156" t="s">
        <v>120</v>
      </c>
      <c r="C119" s="200">
        <f aca="true" t="shared" si="23" ref="C119">C120</f>
        <v>741.4</v>
      </c>
    </row>
    <row r="120" spans="1:3" ht="31.5">
      <c r="A120" s="230" t="s">
        <v>851</v>
      </c>
      <c r="B120" s="149" t="s">
        <v>121</v>
      </c>
      <c r="C120" s="201">
        <f>715.9+25.5</f>
        <v>741.4</v>
      </c>
    </row>
    <row r="121" spans="1:3" ht="18.75">
      <c r="A121" s="147" t="s">
        <v>850</v>
      </c>
      <c r="B121" s="156" t="s">
        <v>122</v>
      </c>
      <c r="C121" s="200">
        <f>C122</f>
        <v>11326.6</v>
      </c>
    </row>
    <row r="122" spans="1:3" ht="18.75">
      <c r="A122" s="147" t="s">
        <v>849</v>
      </c>
      <c r="B122" s="156" t="s">
        <v>123</v>
      </c>
      <c r="C122" s="200">
        <f>C123</f>
        <v>11326.6</v>
      </c>
    </row>
    <row r="123" spans="1:3" ht="31.5">
      <c r="A123" s="247" t="s">
        <v>861</v>
      </c>
      <c r="B123" s="149" t="s">
        <v>1364</v>
      </c>
      <c r="C123" s="207">
        <f>SUM(C124:C126)</f>
        <v>11326.6</v>
      </c>
    </row>
    <row r="124" spans="1:4" ht="110.25">
      <c r="A124" s="398"/>
      <c r="B124" s="164" t="s">
        <v>813</v>
      </c>
      <c r="C124" s="207">
        <f>9652.9-813.5</f>
        <v>8839.4</v>
      </c>
      <c r="D124" s="251"/>
    </row>
    <row r="125" spans="1:3" ht="126">
      <c r="A125" s="399"/>
      <c r="B125" s="164" t="s">
        <v>814</v>
      </c>
      <c r="C125" s="207">
        <v>1673.7</v>
      </c>
    </row>
    <row r="126" spans="1:4" ht="110.25">
      <c r="A126" s="400"/>
      <c r="B126" s="164" t="s">
        <v>879</v>
      </c>
      <c r="C126" s="207">
        <v>813.5</v>
      </c>
      <c r="D126" s="251"/>
    </row>
    <row r="127" spans="1:3" ht="18.75" hidden="1">
      <c r="A127" s="19" t="s">
        <v>809</v>
      </c>
      <c r="B127" s="218" t="s">
        <v>810</v>
      </c>
      <c r="C127" s="219">
        <f>SUM(C128)</f>
        <v>0</v>
      </c>
    </row>
    <row r="128" spans="1:3" ht="18.75" hidden="1">
      <c r="A128" s="19" t="s">
        <v>811</v>
      </c>
      <c r="B128" s="218" t="s">
        <v>812</v>
      </c>
      <c r="C128" s="219">
        <f>SUM(C129)</f>
        <v>0</v>
      </c>
    </row>
    <row r="129" spans="1:3" ht="18.75" hidden="1">
      <c r="A129" s="393" t="s">
        <v>884</v>
      </c>
      <c r="B129" s="222" t="s">
        <v>812</v>
      </c>
      <c r="C129" s="219">
        <f>SUM(C131:C132)</f>
        <v>0</v>
      </c>
    </row>
    <row r="130" spans="1:3" ht="18.75" hidden="1">
      <c r="A130" s="394"/>
      <c r="B130" s="222" t="s">
        <v>109</v>
      </c>
      <c r="C130" s="219"/>
    </row>
    <row r="131" spans="1:3" ht="84.75" customHeight="1" hidden="1">
      <c r="A131" s="394"/>
      <c r="B131" s="220" t="s">
        <v>881</v>
      </c>
      <c r="C131" s="207">
        <v>0</v>
      </c>
    </row>
    <row r="132" spans="1:3" ht="78.75" hidden="1">
      <c r="A132" s="394"/>
      <c r="B132" s="220" t="s">
        <v>882</v>
      </c>
      <c r="C132" s="207">
        <v>0</v>
      </c>
    </row>
    <row r="133" spans="1:12" ht="18.75">
      <c r="A133" s="230"/>
      <c r="B133" s="214" t="s">
        <v>124</v>
      </c>
      <c r="C133" s="381">
        <f>SUM(C9+C74)</f>
        <v>678671.1199999999</v>
      </c>
      <c r="D133" s="159"/>
      <c r="G133" s="226"/>
      <c r="H133" s="124"/>
      <c r="L133" s="124"/>
    </row>
    <row r="135" ht="15">
      <c r="C135" s="124"/>
    </row>
  </sheetData>
  <mergeCells count="7">
    <mergeCell ref="A129:A132"/>
    <mergeCell ref="A4:C4"/>
    <mergeCell ref="A5:C5"/>
    <mergeCell ref="A6:C6"/>
    <mergeCell ref="A105:A118"/>
    <mergeCell ref="A92:A101"/>
    <mergeCell ref="A124:A126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rintOptions/>
  <pageMargins left="0.2362204724409449" right="0.03937007874015748" top="0.5511811023622047" bottom="0.5511811023622047" header="0.31496062992125984" footer="0.31496062992125984"/>
  <pageSetup fitToHeight="6" horizontalDpi="600" verticalDpi="600" orientation="portrait" paperSize="9" scale="82" r:id="rId7"/>
  <ignoredErrors>
    <ignoredError sqref="C43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6"/>
  <sheetViews>
    <sheetView workbookViewId="0" topLeftCell="A1">
      <selection activeCell="A21" sqref="A21"/>
    </sheetView>
  </sheetViews>
  <sheetFormatPr defaultColWidth="9.140625" defaultRowHeight="15"/>
  <cols>
    <col min="1" max="1" width="56.281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6" max="6" width="9.140625" style="1" customWidth="1"/>
    <col min="7" max="7" width="15.8515625" style="253" customWidth="1"/>
  </cols>
  <sheetData>
    <row r="1" spans="4:7" ht="15.75">
      <c r="D1" s="1"/>
      <c r="G1" s="235" t="s">
        <v>838</v>
      </c>
    </row>
    <row r="2" spans="4:7" ht="15.75">
      <c r="D2" s="1"/>
      <c r="G2" s="235" t="s">
        <v>609</v>
      </c>
    </row>
    <row r="3" spans="4:7" ht="18.75">
      <c r="D3" s="1"/>
      <c r="E3" s="1"/>
      <c r="F3" s="65"/>
      <c r="G3" s="216"/>
    </row>
    <row r="4" spans="1:7" ht="38.25" customHeight="1">
      <c r="A4" s="406" t="s">
        <v>1390</v>
      </c>
      <c r="B4" s="406"/>
      <c r="C4" s="406"/>
      <c r="D4" s="406"/>
      <c r="E4" s="406"/>
      <c r="F4" s="406"/>
      <c r="G4" s="406"/>
    </row>
    <row r="5" spans="1:6" ht="16.5">
      <c r="A5" s="227"/>
      <c r="B5" s="130"/>
      <c r="C5" s="130"/>
      <c r="D5" s="67"/>
      <c r="E5" s="67"/>
      <c r="F5" s="227"/>
    </row>
    <row r="6" spans="1:7" ht="15.75">
      <c r="A6" s="65"/>
      <c r="B6" s="65"/>
      <c r="C6" s="65"/>
      <c r="D6" s="65"/>
      <c r="E6" s="68"/>
      <c r="F6" s="68"/>
      <c r="G6" s="212" t="s">
        <v>2</v>
      </c>
    </row>
    <row r="7" spans="1:7" ht="31.5">
      <c r="A7" s="70" t="s">
        <v>610</v>
      </c>
      <c r="B7" s="70" t="s">
        <v>635</v>
      </c>
      <c r="C7" s="70" t="s">
        <v>636</v>
      </c>
      <c r="D7" s="70" t="s">
        <v>637</v>
      </c>
      <c r="E7" s="70" t="s">
        <v>638</v>
      </c>
      <c r="F7" s="70" t="s">
        <v>639</v>
      </c>
      <c r="G7" s="190" t="s">
        <v>1207</v>
      </c>
    </row>
    <row r="8" spans="1:7" ht="47.25">
      <c r="A8" s="60" t="s">
        <v>1190</v>
      </c>
      <c r="B8" s="7" t="s">
        <v>527</v>
      </c>
      <c r="C8" s="7"/>
      <c r="D8" s="7"/>
      <c r="E8" s="7"/>
      <c r="F8" s="7"/>
      <c r="G8" s="4">
        <f>G9+G16</f>
        <v>4562.3</v>
      </c>
    </row>
    <row r="9" spans="1:7" s="252" customFormat="1" ht="31.5" hidden="1">
      <c r="A9" s="35" t="s">
        <v>1159</v>
      </c>
      <c r="B9" s="7" t="s">
        <v>1102</v>
      </c>
      <c r="C9" s="41"/>
      <c r="D9" s="41"/>
      <c r="E9" s="41"/>
      <c r="F9" s="41"/>
      <c r="G9" s="6">
        <f>G12</f>
        <v>0</v>
      </c>
    </row>
    <row r="10" spans="1:7" ht="15.75" hidden="1">
      <c r="A10" s="30" t="s">
        <v>249</v>
      </c>
      <c r="B10" s="41" t="s">
        <v>1102</v>
      </c>
      <c r="C10" s="41" t="s">
        <v>167</v>
      </c>
      <c r="D10" s="41"/>
      <c r="E10" s="41"/>
      <c r="F10" s="41"/>
      <c r="G10" s="6">
        <f aca="true" t="shared" si="0" ref="G10">G11</f>
        <v>0</v>
      </c>
    </row>
    <row r="11" spans="1:7" ht="15.75" hidden="1">
      <c r="A11" s="30" t="s">
        <v>525</v>
      </c>
      <c r="B11" s="41" t="s">
        <v>1102</v>
      </c>
      <c r="C11" s="41" t="s">
        <v>167</v>
      </c>
      <c r="D11" s="41" t="s">
        <v>236</v>
      </c>
      <c r="E11" s="41"/>
      <c r="F11" s="41"/>
      <c r="G11" s="6">
        <f>G12</f>
        <v>0</v>
      </c>
    </row>
    <row r="12" spans="1:7" s="252" customFormat="1" ht="15.75" hidden="1">
      <c r="A12" s="30" t="s">
        <v>1161</v>
      </c>
      <c r="B12" s="41" t="s">
        <v>1160</v>
      </c>
      <c r="C12" s="41" t="s">
        <v>167</v>
      </c>
      <c r="D12" s="41" t="s">
        <v>236</v>
      </c>
      <c r="E12" s="41"/>
      <c r="F12" s="41"/>
      <c r="G12" s="6">
        <f>G13</f>
        <v>0</v>
      </c>
    </row>
    <row r="13" spans="1:7" s="252" customFormat="1" ht="31.5" hidden="1">
      <c r="A13" s="25" t="s">
        <v>148</v>
      </c>
      <c r="B13" s="41" t="s">
        <v>1160</v>
      </c>
      <c r="C13" s="41" t="s">
        <v>167</v>
      </c>
      <c r="D13" s="41" t="s">
        <v>236</v>
      </c>
      <c r="E13" s="41" t="s">
        <v>149</v>
      </c>
      <c r="F13" s="41"/>
      <c r="G13" s="6">
        <f>G14</f>
        <v>0</v>
      </c>
    </row>
    <row r="14" spans="1:7" s="252" customFormat="1" ht="31.5" hidden="1">
      <c r="A14" s="25" t="s">
        <v>150</v>
      </c>
      <c r="B14" s="41" t="s">
        <v>1160</v>
      </c>
      <c r="C14" s="41" t="s">
        <v>167</v>
      </c>
      <c r="D14" s="41" t="s">
        <v>236</v>
      </c>
      <c r="E14" s="41" t="s">
        <v>151</v>
      </c>
      <c r="F14" s="41"/>
      <c r="G14" s="6">
        <f>'Пр.6 ведом.20'!G816</f>
        <v>0</v>
      </c>
    </row>
    <row r="15" spans="1:7" s="252" customFormat="1" ht="31.5" hidden="1">
      <c r="A15" s="46" t="s">
        <v>641</v>
      </c>
      <c r="B15" s="41" t="s">
        <v>1160</v>
      </c>
      <c r="C15" s="41" t="s">
        <v>167</v>
      </c>
      <c r="D15" s="41" t="s">
        <v>236</v>
      </c>
      <c r="E15" s="41" t="s">
        <v>151</v>
      </c>
      <c r="F15" s="41" t="s">
        <v>642</v>
      </c>
      <c r="G15" s="6">
        <f>G14</f>
        <v>0</v>
      </c>
    </row>
    <row r="16" spans="1:7" s="252" customFormat="1" ht="31.5">
      <c r="A16" s="35" t="s">
        <v>1254</v>
      </c>
      <c r="B16" s="24" t="s">
        <v>1103</v>
      </c>
      <c r="C16" s="41"/>
      <c r="D16" s="41"/>
      <c r="E16" s="41"/>
      <c r="F16" s="41"/>
      <c r="G16" s="6">
        <f>G17</f>
        <v>4562.3</v>
      </c>
    </row>
    <row r="17" spans="1:7" s="252" customFormat="1" ht="15.75">
      <c r="A17" s="30" t="s">
        <v>249</v>
      </c>
      <c r="B17" s="41" t="s">
        <v>1103</v>
      </c>
      <c r="C17" s="41" t="s">
        <v>167</v>
      </c>
      <c r="D17" s="41"/>
      <c r="E17" s="41"/>
      <c r="F17" s="41"/>
      <c r="G17" s="6">
        <f>G18</f>
        <v>4562.3</v>
      </c>
    </row>
    <row r="18" spans="1:7" s="252" customFormat="1" ht="15.75">
      <c r="A18" s="30" t="s">
        <v>525</v>
      </c>
      <c r="B18" s="41" t="s">
        <v>1103</v>
      </c>
      <c r="C18" s="41" t="s">
        <v>167</v>
      </c>
      <c r="D18" s="41" t="s">
        <v>236</v>
      </c>
      <c r="E18" s="41"/>
      <c r="F18" s="41"/>
      <c r="G18" s="6">
        <f>G19</f>
        <v>4562.3</v>
      </c>
    </row>
    <row r="19" spans="1:7" ht="15.75">
      <c r="A19" s="30" t="s">
        <v>528</v>
      </c>
      <c r="B19" s="41" t="s">
        <v>1162</v>
      </c>
      <c r="C19" s="41" t="s">
        <v>167</v>
      </c>
      <c r="D19" s="41" t="s">
        <v>236</v>
      </c>
      <c r="E19" s="41"/>
      <c r="F19" s="41"/>
      <c r="G19" s="6">
        <f>G20+G23</f>
        <v>4562.3</v>
      </c>
    </row>
    <row r="20" spans="1:7" ht="31.5">
      <c r="A20" s="30" t="s">
        <v>148</v>
      </c>
      <c r="B20" s="41" t="s">
        <v>1162</v>
      </c>
      <c r="C20" s="41" t="s">
        <v>167</v>
      </c>
      <c r="D20" s="41" t="s">
        <v>236</v>
      </c>
      <c r="E20" s="41" t="s">
        <v>149</v>
      </c>
      <c r="F20" s="41"/>
      <c r="G20" s="6">
        <f aca="true" t="shared" si="1" ref="G20">G21</f>
        <v>4562.3</v>
      </c>
    </row>
    <row r="21" spans="1:7" ht="31.5">
      <c r="A21" s="30" t="s">
        <v>150</v>
      </c>
      <c r="B21" s="41" t="s">
        <v>1162</v>
      </c>
      <c r="C21" s="41" t="s">
        <v>167</v>
      </c>
      <c r="D21" s="41" t="s">
        <v>236</v>
      </c>
      <c r="E21" s="41" t="s">
        <v>151</v>
      </c>
      <c r="F21" s="41"/>
      <c r="G21" s="6">
        <f>'Пр.6 ведом.20'!G820</f>
        <v>4562.3</v>
      </c>
    </row>
    <row r="22" spans="1:7" s="252" customFormat="1" ht="31.5">
      <c r="A22" s="46" t="s">
        <v>641</v>
      </c>
      <c r="B22" s="41" t="s">
        <v>1162</v>
      </c>
      <c r="C22" s="41" t="s">
        <v>167</v>
      </c>
      <c r="D22" s="41" t="s">
        <v>236</v>
      </c>
      <c r="E22" s="41" t="s">
        <v>151</v>
      </c>
      <c r="F22" s="41" t="s">
        <v>642</v>
      </c>
      <c r="G22" s="6">
        <f>G21</f>
        <v>4562.3</v>
      </c>
    </row>
    <row r="23" spans="1:7" ht="15.75" hidden="1">
      <c r="A23" s="25" t="s">
        <v>152</v>
      </c>
      <c r="B23" s="41" t="s">
        <v>1162</v>
      </c>
      <c r="C23" s="41" t="s">
        <v>167</v>
      </c>
      <c r="D23" s="41" t="s">
        <v>236</v>
      </c>
      <c r="E23" s="41" t="s">
        <v>162</v>
      </c>
      <c r="F23" s="41"/>
      <c r="G23" s="6">
        <f aca="true" t="shared" si="2" ref="G23">G24</f>
        <v>0</v>
      </c>
    </row>
    <row r="24" spans="1:7" ht="15.75" hidden="1">
      <c r="A24" s="25" t="s">
        <v>154</v>
      </c>
      <c r="B24" s="41" t="s">
        <v>1162</v>
      </c>
      <c r="C24" s="41" t="s">
        <v>167</v>
      </c>
      <c r="D24" s="41" t="s">
        <v>236</v>
      </c>
      <c r="E24" s="41" t="s">
        <v>155</v>
      </c>
      <c r="F24" s="41"/>
      <c r="G24" s="6">
        <f>'Пр.6 ведом.20'!G822</f>
        <v>0</v>
      </c>
    </row>
    <row r="25" spans="1:7" ht="31.5" hidden="1">
      <c r="A25" s="46" t="s">
        <v>641</v>
      </c>
      <c r="B25" s="41" t="s">
        <v>1162</v>
      </c>
      <c r="C25" s="41" t="s">
        <v>167</v>
      </c>
      <c r="D25" s="41" t="s">
        <v>236</v>
      </c>
      <c r="E25" s="41" t="s">
        <v>155</v>
      </c>
      <c r="F25" s="41" t="s">
        <v>642</v>
      </c>
      <c r="G25" s="6">
        <f>G24</f>
        <v>0</v>
      </c>
    </row>
    <row r="26" spans="1:7" ht="47.25">
      <c r="A26" s="60" t="s">
        <v>360</v>
      </c>
      <c r="B26" s="7" t="s">
        <v>361</v>
      </c>
      <c r="C26" s="7"/>
      <c r="D26" s="7"/>
      <c r="E26" s="7"/>
      <c r="F26" s="7"/>
      <c r="G26" s="62">
        <f>G27+G56+G64+G72+G90+G98+G106+G147</f>
        <v>3645</v>
      </c>
    </row>
    <row r="27" spans="1:7" ht="31.5">
      <c r="A27" s="60" t="s">
        <v>643</v>
      </c>
      <c r="B27" s="7" t="s">
        <v>363</v>
      </c>
      <c r="C27" s="7"/>
      <c r="D27" s="7"/>
      <c r="E27" s="7"/>
      <c r="F27" s="7"/>
      <c r="G27" s="62">
        <f>G29+G39+G49</f>
        <v>1035</v>
      </c>
    </row>
    <row r="28" spans="1:7" s="252" customFormat="1" ht="47.25">
      <c r="A28" s="311" t="s">
        <v>1213</v>
      </c>
      <c r="B28" s="24" t="s">
        <v>957</v>
      </c>
      <c r="C28" s="7"/>
      <c r="D28" s="7"/>
      <c r="E28" s="41"/>
      <c r="F28" s="41"/>
      <c r="G28" s="62">
        <f>G29</f>
        <v>30</v>
      </c>
    </row>
    <row r="29" spans="1:7" ht="15.75">
      <c r="A29" s="46" t="s">
        <v>280</v>
      </c>
      <c r="B29" s="41" t="s">
        <v>957</v>
      </c>
      <c r="C29" s="41" t="s">
        <v>281</v>
      </c>
      <c r="D29" s="41"/>
      <c r="E29" s="41"/>
      <c r="F29" s="41"/>
      <c r="G29" s="10">
        <f aca="true" t="shared" si="3" ref="G29">G30</f>
        <v>30</v>
      </c>
    </row>
    <row r="30" spans="1:7" ht="15.75">
      <c r="A30" s="46" t="s">
        <v>483</v>
      </c>
      <c r="B30" s="41" t="s">
        <v>957</v>
      </c>
      <c r="C30" s="41" t="s">
        <v>281</v>
      </c>
      <c r="D30" s="41" t="s">
        <v>281</v>
      </c>
      <c r="E30" s="41"/>
      <c r="F30" s="41"/>
      <c r="G30" s="10">
        <f>G31+G35</f>
        <v>30</v>
      </c>
    </row>
    <row r="31" spans="1:7" s="252" customFormat="1" ht="31.5">
      <c r="A31" s="107" t="s">
        <v>1219</v>
      </c>
      <c r="B31" s="20" t="s">
        <v>958</v>
      </c>
      <c r="C31" s="41" t="s">
        <v>281</v>
      </c>
      <c r="D31" s="41" t="s">
        <v>281</v>
      </c>
      <c r="E31" s="41"/>
      <c r="F31" s="41"/>
      <c r="G31" s="10">
        <f>G32</f>
        <v>30</v>
      </c>
    </row>
    <row r="32" spans="1:7" s="252" customFormat="1" ht="78.75">
      <c r="A32" s="25" t="s">
        <v>144</v>
      </c>
      <c r="B32" s="20" t="s">
        <v>958</v>
      </c>
      <c r="C32" s="41" t="s">
        <v>281</v>
      </c>
      <c r="D32" s="41" t="s">
        <v>281</v>
      </c>
      <c r="E32" s="41" t="s">
        <v>145</v>
      </c>
      <c r="F32" s="41"/>
      <c r="G32" s="10">
        <f>G33</f>
        <v>30</v>
      </c>
    </row>
    <row r="33" spans="1:7" s="252" customFormat="1" ht="15.75">
      <c r="A33" s="25" t="s">
        <v>359</v>
      </c>
      <c r="B33" s="20" t="s">
        <v>958</v>
      </c>
      <c r="C33" s="41" t="s">
        <v>281</v>
      </c>
      <c r="D33" s="41" t="s">
        <v>281</v>
      </c>
      <c r="E33" s="41" t="s">
        <v>226</v>
      </c>
      <c r="F33" s="41"/>
      <c r="G33" s="10">
        <f>'Пр.5 Рд,пр, ЦС,ВР 20'!F676</f>
        <v>30</v>
      </c>
    </row>
    <row r="34" spans="1:7" s="252" customFormat="1" ht="47.25">
      <c r="A34" s="46" t="s">
        <v>278</v>
      </c>
      <c r="B34" s="20" t="s">
        <v>958</v>
      </c>
      <c r="C34" s="41" t="s">
        <v>281</v>
      </c>
      <c r="D34" s="41" t="s">
        <v>281</v>
      </c>
      <c r="E34" s="41" t="s">
        <v>226</v>
      </c>
      <c r="F34" s="41" t="s">
        <v>645</v>
      </c>
      <c r="G34" s="6">
        <f>G33</f>
        <v>30</v>
      </c>
    </row>
    <row r="35" spans="1:7" s="252" customFormat="1" ht="15.75" hidden="1">
      <c r="A35" s="25" t="s">
        <v>1214</v>
      </c>
      <c r="B35" s="20" t="s">
        <v>1238</v>
      </c>
      <c r="C35" s="41" t="s">
        <v>281</v>
      </c>
      <c r="D35" s="41" t="s">
        <v>281</v>
      </c>
      <c r="E35" s="41"/>
      <c r="F35" s="41"/>
      <c r="G35" s="10">
        <f>G36</f>
        <v>0</v>
      </c>
    </row>
    <row r="36" spans="1:7" s="252" customFormat="1" ht="31.5" hidden="1">
      <c r="A36" s="25" t="s">
        <v>148</v>
      </c>
      <c r="B36" s="20" t="s">
        <v>1238</v>
      </c>
      <c r="C36" s="41" t="s">
        <v>281</v>
      </c>
      <c r="D36" s="41" t="s">
        <v>281</v>
      </c>
      <c r="E36" s="41" t="s">
        <v>149</v>
      </c>
      <c r="F36" s="41"/>
      <c r="G36" s="10">
        <f>G37</f>
        <v>0</v>
      </c>
    </row>
    <row r="37" spans="1:7" s="252" customFormat="1" ht="31.5" hidden="1">
      <c r="A37" s="25" t="s">
        <v>150</v>
      </c>
      <c r="B37" s="20" t="s">
        <v>1238</v>
      </c>
      <c r="C37" s="41" t="s">
        <v>281</v>
      </c>
      <c r="D37" s="41" t="s">
        <v>281</v>
      </c>
      <c r="E37" s="41" t="s">
        <v>151</v>
      </c>
      <c r="F37" s="41"/>
      <c r="G37" s="10">
        <f>'Пр.5 Рд,пр, ЦС,ВР 20'!F679</f>
        <v>0</v>
      </c>
    </row>
    <row r="38" spans="1:7" s="252" customFormat="1" ht="47.25" hidden="1">
      <c r="A38" s="46" t="s">
        <v>278</v>
      </c>
      <c r="B38" s="20" t="s">
        <v>1238</v>
      </c>
      <c r="C38" s="41" t="s">
        <v>281</v>
      </c>
      <c r="D38" s="41" t="s">
        <v>281</v>
      </c>
      <c r="E38" s="41" t="s">
        <v>151</v>
      </c>
      <c r="F38" s="41" t="s">
        <v>645</v>
      </c>
      <c r="G38" s="6">
        <f>G37</f>
        <v>0</v>
      </c>
    </row>
    <row r="39" spans="1:7" s="252" customFormat="1" ht="63">
      <c r="A39" s="23" t="s">
        <v>1215</v>
      </c>
      <c r="B39" s="24" t="s">
        <v>959</v>
      </c>
      <c r="C39" s="41"/>
      <c r="D39" s="41"/>
      <c r="E39" s="41"/>
      <c r="F39" s="41"/>
      <c r="G39" s="62">
        <f>G40</f>
        <v>955</v>
      </c>
    </row>
    <row r="40" spans="1:7" s="252" customFormat="1" ht="15.75">
      <c r="A40" s="46" t="s">
        <v>280</v>
      </c>
      <c r="B40" s="41" t="s">
        <v>959</v>
      </c>
      <c r="C40" s="41" t="s">
        <v>281</v>
      </c>
      <c r="D40" s="41"/>
      <c r="E40" s="41"/>
      <c r="F40" s="41"/>
      <c r="G40" s="10">
        <f>G41</f>
        <v>955</v>
      </c>
    </row>
    <row r="41" spans="1:7" s="252" customFormat="1" ht="15.75">
      <c r="A41" s="46" t="s">
        <v>483</v>
      </c>
      <c r="B41" s="41" t="s">
        <v>959</v>
      </c>
      <c r="C41" s="41" t="s">
        <v>281</v>
      </c>
      <c r="D41" s="41" t="s">
        <v>281</v>
      </c>
      <c r="E41" s="41"/>
      <c r="F41" s="41"/>
      <c r="G41" s="10">
        <f>G42+G46</f>
        <v>955</v>
      </c>
    </row>
    <row r="42" spans="1:7" ht="15.75">
      <c r="A42" s="25" t="s">
        <v>1216</v>
      </c>
      <c r="B42" s="20" t="s">
        <v>977</v>
      </c>
      <c r="C42" s="41" t="s">
        <v>281</v>
      </c>
      <c r="D42" s="41" t="s">
        <v>281</v>
      </c>
      <c r="E42" s="41"/>
      <c r="F42" s="41"/>
      <c r="G42" s="10">
        <f>G43</f>
        <v>40</v>
      </c>
    </row>
    <row r="43" spans="1:7" ht="78.75">
      <c r="A43" s="25" t="s">
        <v>144</v>
      </c>
      <c r="B43" s="20" t="s">
        <v>977</v>
      </c>
      <c r="C43" s="41" t="s">
        <v>281</v>
      </c>
      <c r="D43" s="41" t="s">
        <v>281</v>
      </c>
      <c r="E43" s="41" t="s">
        <v>145</v>
      </c>
      <c r="F43" s="41"/>
      <c r="G43" s="10">
        <f aca="true" t="shared" si="4" ref="G43">G44</f>
        <v>40</v>
      </c>
    </row>
    <row r="44" spans="1:7" ht="15.75">
      <c r="A44" s="25" t="s">
        <v>359</v>
      </c>
      <c r="B44" s="20" t="s">
        <v>977</v>
      </c>
      <c r="C44" s="41" t="s">
        <v>281</v>
      </c>
      <c r="D44" s="41" t="s">
        <v>281</v>
      </c>
      <c r="E44" s="41" t="s">
        <v>226</v>
      </c>
      <c r="F44" s="41"/>
      <c r="G44" s="10">
        <f>'Пр.5 Рд,пр, ЦС,ВР 20'!F683</f>
        <v>40</v>
      </c>
    </row>
    <row r="45" spans="1:7" s="252" customFormat="1" ht="47.25">
      <c r="A45" s="46" t="s">
        <v>278</v>
      </c>
      <c r="B45" s="20" t="s">
        <v>977</v>
      </c>
      <c r="C45" s="41" t="s">
        <v>281</v>
      </c>
      <c r="D45" s="41" t="s">
        <v>281</v>
      </c>
      <c r="E45" s="41" t="s">
        <v>226</v>
      </c>
      <c r="F45" s="41" t="s">
        <v>645</v>
      </c>
      <c r="G45" s="6">
        <f>G44</f>
        <v>40</v>
      </c>
    </row>
    <row r="46" spans="1:7" ht="31.5">
      <c r="A46" s="25" t="s">
        <v>148</v>
      </c>
      <c r="B46" s="20" t="s">
        <v>977</v>
      </c>
      <c r="C46" s="41" t="s">
        <v>281</v>
      </c>
      <c r="D46" s="41" t="s">
        <v>281</v>
      </c>
      <c r="E46" s="41" t="s">
        <v>149</v>
      </c>
      <c r="F46" s="41"/>
      <c r="G46" s="10">
        <f aca="true" t="shared" si="5" ref="G46">G47</f>
        <v>915</v>
      </c>
    </row>
    <row r="47" spans="1:7" ht="31.5">
      <c r="A47" s="25" t="s">
        <v>150</v>
      </c>
      <c r="B47" s="20" t="s">
        <v>977</v>
      </c>
      <c r="C47" s="41" t="s">
        <v>281</v>
      </c>
      <c r="D47" s="41" t="s">
        <v>281</v>
      </c>
      <c r="E47" s="41" t="s">
        <v>151</v>
      </c>
      <c r="F47" s="41"/>
      <c r="G47" s="6">
        <f>'Пр.5 Рд,пр, ЦС,ВР 20'!F685</f>
        <v>915</v>
      </c>
    </row>
    <row r="48" spans="1:7" s="252" customFormat="1" ht="47.25">
      <c r="A48" s="46" t="s">
        <v>278</v>
      </c>
      <c r="B48" s="20" t="s">
        <v>977</v>
      </c>
      <c r="C48" s="41" t="s">
        <v>281</v>
      </c>
      <c r="D48" s="41" t="s">
        <v>281</v>
      </c>
      <c r="E48" s="41" t="s">
        <v>151</v>
      </c>
      <c r="F48" s="41" t="s">
        <v>645</v>
      </c>
      <c r="G48" s="6">
        <f>G47</f>
        <v>915</v>
      </c>
    </row>
    <row r="49" spans="1:7" ht="33" customHeight="1">
      <c r="A49" s="23" t="s">
        <v>1221</v>
      </c>
      <c r="B49" s="24" t="s">
        <v>1217</v>
      </c>
      <c r="C49" s="41"/>
      <c r="D49" s="41"/>
      <c r="E49" s="41"/>
      <c r="F49" s="41"/>
      <c r="G49" s="4">
        <f>G52</f>
        <v>50</v>
      </c>
    </row>
    <row r="50" spans="1:7" s="252" customFormat="1" ht="16.5" customHeight="1">
      <c r="A50" s="46" t="s">
        <v>280</v>
      </c>
      <c r="B50" s="41" t="s">
        <v>1217</v>
      </c>
      <c r="C50" s="41" t="s">
        <v>281</v>
      </c>
      <c r="D50" s="41"/>
      <c r="E50" s="41"/>
      <c r="F50" s="41"/>
      <c r="G50" s="10">
        <f>G51</f>
        <v>50</v>
      </c>
    </row>
    <row r="51" spans="1:7" s="252" customFormat="1" ht="18.75" customHeight="1">
      <c r="A51" s="46" t="s">
        <v>483</v>
      </c>
      <c r="B51" s="41" t="s">
        <v>1217</v>
      </c>
      <c r="C51" s="41" t="s">
        <v>281</v>
      </c>
      <c r="D51" s="41" t="s">
        <v>281</v>
      </c>
      <c r="E51" s="41"/>
      <c r="F51" s="41"/>
      <c r="G51" s="10">
        <f>G52</f>
        <v>50</v>
      </c>
    </row>
    <row r="52" spans="1:7" ht="47.25">
      <c r="A52" s="352" t="s">
        <v>1218</v>
      </c>
      <c r="B52" s="20" t="s">
        <v>1239</v>
      </c>
      <c r="C52" s="41" t="s">
        <v>281</v>
      </c>
      <c r="D52" s="41" t="s">
        <v>281</v>
      </c>
      <c r="E52" s="20"/>
      <c r="F52" s="41"/>
      <c r="G52" s="6">
        <f aca="true" t="shared" si="6" ref="G52">G53</f>
        <v>50</v>
      </c>
    </row>
    <row r="53" spans="1:7" ht="15.75">
      <c r="A53" s="25" t="s">
        <v>265</v>
      </c>
      <c r="B53" s="20" t="s">
        <v>1239</v>
      </c>
      <c r="C53" s="41" t="s">
        <v>281</v>
      </c>
      <c r="D53" s="41" t="s">
        <v>281</v>
      </c>
      <c r="E53" s="20" t="s">
        <v>266</v>
      </c>
      <c r="F53" s="41"/>
      <c r="G53" s="6">
        <f>G54</f>
        <v>50</v>
      </c>
    </row>
    <row r="54" spans="1:7" ht="31.5">
      <c r="A54" s="25" t="s">
        <v>365</v>
      </c>
      <c r="B54" s="20" t="s">
        <v>1239</v>
      </c>
      <c r="C54" s="41" t="s">
        <v>281</v>
      </c>
      <c r="D54" s="41" t="s">
        <v>281</v>
      </c>
      <c r="E54" s="20" t="s">
        <v>366</v>
      </c>
      <c r="F54" s="41"/>
      <c r="G54" s="10">
        <f>'Пр.5 Рд,пр, ЦС,ВР 20'!F689</f>
        <v>50</v>
      </c>
    </row>
    <row r="55" spans="1:7" s="252" customFormat="1" ht="47.25">
      <c r="A55" s="46" t="s">
        <v>278</v>
      </c>
      <c r="B55" s="20" t="s">
        <v>1239</v>
      </c>
      <c r="C55" s="41" t="s">
        <v>281</v>
      </c>
      <c r="D55" s="41" t="s">
        <v>281</v>
      </c>
      <c r="E55" s="41" t="s">
        <v>366</v>
      </c>
      <c r="F55" s="41" t="s">
        <v>645</v>
      </c>
      <c r="G55" s="6">
        <f>G54</f>
        <v>50</v>
      </c>
    </row>
    <row r="56" spans="1:7" ht="31.5">
      <c r="A56" s="60" t="s">
        <v>646</v>
      </c>
      <c r="B56" s="7" t="s">
        <v>370</v>
      </c>
      <c r="C56" s="7"/>
      <c r="D56" s="7"/>
      <c r="E56" s="7"/>
      <c r="F56" s="7"/>
      <c r="G56" s="62">
        <f>G57</f>
        <v>150</v>
      </c>
    </row>
    <row r="57" spans="1:7" s="252" customFormat="1" ht="31.5">
      <c r="A57" s="23" t="s">
        <v>981</v>
      </c>
      <c r="B57" s="24" t="s">
        <v>980</v>
      </c>
      <c r="C57" s="7"/>
      <c r="D57" s="7"/>
      <c r="E57" s="7"/>
      <c r="F57" s="7"/>
      <c r="G57" s="62">
        <f>G58</f>
        <v>150</v>
      </c>
    </row>
    <row r="58" spans="1:7" ht="15.75">
      <c r="A58" s="46" t="s">
        <v>260</v>
      </c>
      <c r="B58" s="41" t="s">
        <v>980</v>
      </c>
      <c r="C58" s="41" t="s">
        <v>261</v>
      </c>
      <c r="D58" s="41"/>
      <c r="E58" s="41"/>
      <c r="F58" s="41"/>
      <c r="G58" s="10">
        <f aca="true" t="shared" si="7" ref="G58:G61">G59</f>
        <v>150</v>
      </c>
    </row>
    <row r="59" spans="1:7" ht="15.75">
      <c r="A59" s="46" t="s">
        <v>269</v>
      </c>
      <c r="B59" s="41" t="s">
        <v>980</v>
      </c>
      <c r="C59" s="41" t="s">
        <v>261</v>
      </c>
      <c r="D59" s="41" t="s">
        <v>232</v>
      </c>
      <c r="E59" s="41"/>
      <c r="F59" s="41"/>
      <c r="G59" s="10">
        <f>G60</f>
        <v>150</v>
      </c>
    </row>
    <row r="60" spans="1:7" ht="31.5">
      <c r="A60" s="25" t="s">
        <v>873</v>
      </c>
      <c r="B60" s="20" t="s">
        <v>982</v>
      </c>
      <c r="C60" s="41" t="s">
        <v>261</v>
      </c>
      <c r="D60" s="41" t="s">
        <v>232</v>
      </c>
      <c r="E60" s="41"/>
      <c r="F60" s="41"/>
      <c r="G60" s="10">
        <f t="shared" si="7"/>
        <v>150</v>
      </c>
    </row>
    <row r="61" spans="1:7" ht="15.75">
      <c r="A61" s="30" t="s">
        <v>265</v>
      </c>
      <c r="B61" s="20" t="s">
        <v>982</v>
      </c>
      <c r="C61" s="41" t="s">
        <v>261</v>
      </c>
      <c r="D61" s="41" t="s">
        <v>232</v>
      </c>
      <c r="E61" s="41" t="s">
        <v>266</v>
      </c>
      <c r="F61" s="41"/>
      <c r="G61" s="10">
        <f t="shared" si="7"/>
        <v>150</v>
      </c>
    </row>
    <row r="62" spans="1:7" ht="31.5">
      <c r="A62" s="30" t="s">
        <v>267</v>
      </c>
      <c r="B62" s="20" t="s">
        <v>982</v>
      </c>
      <c r="C62" s="41" t="s">
        <v>261</v>
      </c>
      <c r="D62" s="41" t="s">
        <v>232</v>
      </c>
      <c r="E62" s="41" t="s">
        <v>268</v>
      </c>
      <c r="F62" s="41"/>
      <c r="G62" s="10">
        <f>'Пр.6 ведом.20'!G425</f>
        <v>150</v>
      </c>
    </row>
    <row r="63" spans="1:7" ht="47.25">
      <c r="A63" s="46" t="s">
        <v>278</v>
      </c>
      <c r="B63" s="20" t="s">
        <v>982</v>
      </c>
      <c r="C63" s="41" t="s">
        <v>261</v>
      </c>
      <c r="D63" s="41" t="s">
        <v>232</v>
      </c>
      <c r="E63" s="41" t="s">
        <v>268</v>
      </c>
      <c r="F63" s="41" t="s">
        <v>645</v>
      </c>
      <c r="G63" s="10">
        <f aca="true" t="shared" si="8" ref="G63">G56</f>
        <v>150</v>
      </c>
    </row>
    <row r="64" spans="1:7" ht="31.5">
      <c r="A64" s="60" t="s">
        <v>647</v>
      </c>
      <c r="B64" s="7" t="s">
        <v>373</v>
      </c>
      <c r="C64" s="7"/>
      <c r="D64" s="7"/>
      <c r="E64" s="7"/>
      <c r="F64" s="7"/>
      <c r="G64" s="62">
        <f aca="true" t="shared" si="9" ref="G64">G66</f>
        <v>420</v>
      </c>
    </row>
    <row r="65" spans="1:7" s="252" customFormat="1" ht="31.5">
      <c r="A65" s="23" t="s">
        <v>1156</v>
      </c>
      <c r="B65" s="24" t="s">
        <v>983</v>
      </c>
      <c r="C65" s="41"/>
      <c r="D65" s="41"/>
      <c r="E65" s="41"/>
      <c r="F65" s="41"/>
      <c r="G65" s="10">
        <f>G66</f>
        <v>420</v>
      </c>
    </row>
    <row r="66" spans="1:7" ht="15.75">
      <c r="A66" s="46" t="s">
        <v>260</v>
      </c>
      <c r="B66" s="41" t="s">
        <v>983</v>
      </c>
      <c r="C66" s="41" t="s">
        <v>261</v>
      </c>
      <c r="D66" s="41"/>
      <c r="E66" s="41"/>
      <c r="F66" s="41"/>
      <c r="G66" s="10">
        <f aca="true" t="shared" si="10" ref="G66:G69">G67</f>
        <v>420</v>
      </c>
    </row>
    <row r="67" spans="1:7" ht="15.75">
      <c r="A67" s="46" t="s">
        <v>269</v>
      </c>
      <c r="B67" s="41" t="s">
        <v>983</v>
      </c>
      <c r="C67" s="41" t="s">
        <v>261</v>
      </c>
      <c r="D67" s="41" t="s">
        <v>232</v>
      </c>
      <c r="E67" s="41"/>
      <c r="F67" s="41"/>
      <c r="G67" s="10">
        <f>G68</f>
        <v>420</v>
      </c>
    </row>
    <row r="68" spans="1:7" ht="31.5">
      <c r="A68" s="30" t="s">
        <v>174</v>
      </c>
      <c r="B68" s="20" t="s">
        <v>984</v>
      </c>
      <c r="C68" s="41" t="s">
        <v>261</v>
      </c>
      <c r="D68" s="41" t="s">
        <v>232</v>
      </c>
      <c r="E68" s="41"/>
      <c r="F68" s="41"/>
      <c r="G68" s="10">
        <f t="shared" si="10"/>
        <v>420</v>
      </c>
    </row>
    <row r="69" spans="1:7" ht="15.75">
      <c r="A69" s="30" t="s">
        <v>265</v>
      </c>
      <c r="B69" s="20" t="s">
        <v>984</v>
      </c>
      <c r="C69" s="41" t="s">
        <v>261</v>
      </c>
      <c r="D69" s="41" t="s">
        <v>232</v>
      </c>
      <c r="E69" s="41" t="s">
        <v>266</v>
      </c>
      <c r="F69" s="41"/>
      <c r="G69" s="10">
        <f t="shared" si="10"/>
        <v>420</v>
      </c>
    </row>
    <row r="70" spans="1:7" ht="31.5">
      <c r="A70" s="30" t="s">
        <v>365</v>
      </c>
      <c r="B70" s="20" t="s">
        <v>984</v>
      </c>
      <c r="C70" s="41" t="s">
        <v>261</v>
      </c>
      <c r="D70" s="41" t="s">
        <v>232</v>
      </c>
      <c r="E70" s="41" t="s">
        <v>366</v>
      </c>
      <c r="F70" s="41"/>
      <c r="G70" s="10">
        <f>'Пр.6 ведом.20'!G430</f>
        <v>420</v>
      </c>
    </row>
    <row r="71" spans="1:7" ht="47.25">
      <c r="A71" s="46" t="s">
        <v>278</v>
      </c>
      <c r="B71" s="20" t="s">
        <v>984</v>
      </c>
      <c r="C71" s="41" t="s">
        <v>261</v>
      </c>
      <c r="D71" s="41" t="s">
        <v>232</v>
      </c>
      <c r="E71" s="41" t="s">
        <v>366</v>
      </c>
      <c r="F71" s="41" t="s">
        <v>645</v>
      </c>
      <c r="G71" s="10">
        <f aca="true" t="shared" si="11" ref="G71">G64</f>
        <v>420</v>
      </c>
    </row>
    <row r="72" spans="1:7" ht="15.75">
      <c r="A72" s="60" t="s">
        <v>649</v>
      </c>
      <c r="B72" s="7" t="s">
        <v>376</v>
      </c>
      <c r="C72" s="7"/>
      <c r="D72" s="7"/>
      <c r="E72" s="7"/>
      <c r="F72" s="7"/>
      <c r="G72" s="62">
        <f>G74+G80</f>
        <v>1400</v>
      </c>
    </row>
    <row r="73" spans="1:7" s="252" customFormat="1" ht="31.5">
      <c r="A73" s="23" t="s">
        <v>1222</v>
      </c>
      <c r="B73" s="24" t="s">
        <v>986</v>
      </c>
      <c r="C73" s="41"/>
      <c r="D73" s="41"/>
      <c r="E73" s="41"/>
      <c r="F73" s="41"/>
      <c r="G73" s="10">
        <f>G74</f>
        <v>920</v>
      </c>
    </row>
    <row r="74" spans="1:7" ht="15.75">
      <c r="A74" s="46" t="s">
        <v>260</v>
      </c>
      <c r="B74" s="41" t="s">
        <v>986</v>
      </c>
      <c r="C74" s="41" t="s">
        <v>261</v>
      </c>
      <c r="D74" s="41"/>
      <c r="E74" s="41"/>
      <c r="F74" s="41"/>
      <c r="G74" s="10">
        <f aca="true" t="shared" si="12" ref="G74">G75</f>
        <v>920</v>
      </c>
    </row>
    <row r="75" spans="1:7" ht="15.75">
      <c r="A75" s="46" t="s">
        <v>269</v>
      </c>
      <c r="B75" s="41" t="s">
        <v>986</v>
      </c>
      <c r="C75" s="41" t="s">
        <v>261</v>
      </c>
      <c r="D75" s="41" t="s">
        <v>232</v>
      </c>
      <c r="E75" s="41"/>
      <c r="F75" s="41"/>
      <c r="G75" s="10">
        <f>G76</f>
        <v>920</v>
      </c>
    </row>
    <row r="76" spans="1:7" ht="47.25">
      <c r="A76" s="107" t="s">
        <v>1223</v>
      </c>
      <c r="B76" s="20" t="s">
        <v>987</v>
      </c>
      <c r="C76" s="41" t="s">
        <v>261</v>
      </c>
      <c r="D76" s="41" t="s">
        <v>232</v>
      </c>
      <c r="E76" s="41"/>
      <c r="F76" s="41"/>
      <c r="G76" s="10">
        <f>G77</f>
        <v>920</v>
      </c>
    </row>
    <row r="77" spans="1:7" ht="15.75">
      <c r="A77" s="25" t="s">
        <v>265</v>
      </c>
      <c r="B77" s="20" t="s">
        <v>987</v>
      </c>
      <c r="C77" s="41" t="s">
        <v>261</v>
      </c>
      <c r="D77" s="41" t="s">
        <v>232</v>
      </c>
      <c r="E77" s="41" t="s">
        <v>266</v>
      </c>
      <c r="F77" s="41"/>
      <c r="G77" s="10">
        <f aca="true" t="shared" si="13" ref="G77">G78</f>
        <v>920</v>
      </c>
    </row>
    <row r="78" spans="1:7" ht="31.5">
      <c r="A78" s="25" t="s">
        <v>365</v>
      </c>
      <c r="B78" s="20" t="s">
        <v>987</v>
      </c>
      <c r="C78" s="41" t="s">
        <v>261</v>
      </c>
      <c r="D78" s="41" t="s">
        <v>232</v>
      </c>
      <c r="E78" s="41" t="s">
        <v>366</v>
      </c>
      <c r="F78" s="41"/>
      <c r="G78" s="10">
        <f>'Пр.5 Рд,пр, ЦС,ВР 20'!F845</f>
        <v>920</v>
      </c>
    </row>
    <row r="79" spans="1:7" s="252" customFormat="1" ht="47.25">
      <c r="A79" s="46" t="s">
        <v>278</v>
      </c>
      <c r="B79" s="20" t="s">
        <v>987</v>
      </c>
      <c r="C79" s="41" t="s">
        <v>261</v>
      </c>
      <c r="D79" s="41" t="s">
        <v>232</v>
      </c>
      <c r="E79" s="41" t="s">
        <v>366</v>
      </c>
      <c r="F79" s="41" t="s">
        <v>645</v>
      </c>
      <c r="G79" s="10">
        <f>G78</f>
        <v>920</v>
      </c>
    </row>
    <row r="80" spans="1:7" ht="31.5">
      <c r="A80" s="23" t="s">
        <v>985</v>
      </c>
      <c r="B80" s="24" t="s">
        <v>988</v>
      </c>
      <c r="C80" s="7"/>
      <c r="D80" s="7"/>
      <c r="E80" s="7"/>
      <c r="F80" s="7"/>
      <c r="G80" s="62">
        <f>G83+G87</f>
        <v>480</v>
      </c>
    </row>
    <row r="81" spans="1:7" s="252" customFormat="1" ht="15.75">
      <c r="A81" s="46" t="s">
        <v>260</v>
      </c>
      <c r="B81" s="41" t="s">
        <v>988</v>
      </c>
      <c r="C81" s="41" t="s">
        <v>261</v>
      </c>
      <c r="D81" s="41"/>
      <c r="E81" s="41"/>
      <c r="F81" s="41"/>
      <c r="G81" s="10">
        <f aca="true" t="shared" si="14" ref="G81">G82</f>
        <v>270</v>
      </c>
    </row>
    <row r="82" spans="1:7" s="252" customFormat="1" ht="15.75">
      <c r="A82" s="46" t="s">
        <v>269</v>
      </c>
      <c r="B82" s="41" t="s">
        <v>988</v>
      </c>
      <c r="C82" s="41" t="s">
        <v>261</v>
      </c>
      <c r="D82" s="41" t="s">
        <v>232</v>
      </c>
      <c r="E82" s="41"/>
      <c r="F82" s="41"/>
      <c r="G82" s="10">
        <f>G83</f>
        <v>270</v>
      </c>
    </row>
    <row r="83" spans="1:7" ht="31.5">
      <c r="A83" s="25" t="s">
        <v>1157</v>
      </c>
      <c r="B83" s="20" t="s">
        <v>989</v>
      </c>
      <c r="C83" s="41" t="s">
        <v>261</v>
      </c>
      <c r="D83" s="41" t="s">
        <v>232</v>
      </c>
      <c r="E83" s="41"/>
      <c r="F83" s="41"/>
      <c r="G83" s="10">
        <f>G84</f>
        <v>270</v>
      </c>
    </row>
    <row r="84" spans="1:7" s="252" customFormat="1" ht="31.5">
      <c r="A84" s="25" t="s">
        <v>148</v>
      </c>
      <c r="B84" s="20" t="s">
        <v>989</v>
      </c>
      <c r="C84" s="41" t="s">
        <v>261</v>
      </c>
      <c r="D84" s="41" t="s">
        <v>232</v>
      </c>
      <c r="E84" s="41" t="s">
        <v>149</v>
      </c>
      <c r="F84" s="41"/>
      <c r="G84" s="10">
        <f>G85</f>
        <v>270</v>
      </c>
    </row>
    <row r="85" spans="1:7" s="252" customFormat="1" ht="31.5">
      <c r="A85" s="25" t="s">
        <v>150</v>
      </c>
      <c r="B85" s="20" t="s">
        <v>989</v>
      </c>
      <c r="C85" s="41" t="s">
        <v>261</v>
      </c>
      <c r="D85" s="41" t="s">
        <v>232</v>
      </c>
      <c r="E85" s="41" t="s">
        <v>151</v>
      </c>
      <c r="F85" s="41"/>
      <c r="G85" s="10">
        <f>'Пр.5 Рд,пр, ЦС,ВР 20'!F849</f>
        <v>270</v>
      </c>
    </row>
    <row r="86" spans="1:7" ht="47.25">
      <c r="A86" s="46" t="s">
        <v>278</v>
      </c>
      <c r="B86" s="20" t="s">
        <v>989</v>
      </c>
      <c r="C86" s="41" t="s">
        <v>261</v>
      </c>
      <c r="D86" s="41" t="s">
        <v>232</v>
      </c>
      <c r="E86" s="41" t="s">
        <v>151</v>
      </c>
      <c r="F86" s="41" t="s">
        <v>645</v>
      </c>
      <c r="G86" s="10">
        <f>G85</f>
        <v>270</v>
      </c>
    </row>
    <row r="87" spans="1:7" s="252" customFormat="1" ht="15.75">
      <c r="A87" s="25" t="s">
        <v>265</v>
      </c>
      <c r="B87" s="20" t="s">
        <v>989</v>
      </c>
      <c r="C87" s="41" t="s">
        <v>261</v>
      </c>
      <c r="D87" s="41" t="s">
        <v>232</v>
      </c>
      <c r="E87" s="41" t="s">
        <v>266</v>
      </c>
      <c r="F87" s="41"/>
      <c r="G87" s="10">
        <f>G88</f>
        <v>210</v>
      </c>
    </row>
    <row r="88" spans="1:7" s="252" customFormat="1" ht="31.5">
      <c r="A88" s="25" t="s">
        <v>365</v>
      </c>
      <c r="B88" s="20" t="s">
        <v>989</v>
      </c>
      <c r="C88" s="41" t="s">
        <v>261</v>
      </c>
      <c r="D88" s="41" t="s">
        <v>232</v>
      </c>
      <c r="E88" s="41" t="s">
        <v>366</v>
      </c>
      <c r="F88" s="41"/>
      <c r="G88" s="10">
        <f>G89</f>
        <v>210</v>
      </c>
    </row>
    <row r="89" spans="1:7" s="252" customFormat="1" ht="47.25">
      <c r="A89" s="46" t="s">
        <v>278</v>
      </c>
      <c r="B89" s="20" t="s">
        <v>989</v>
      </c>
      <c r="C89" s="41" t="s">
        <v>261</v>
      </c>
      <c r="D89" s="41" t="s">
        <v>232</v>
      </c>
      <c r="E89" s="41" t="s">
        <v>366</v>
      </c>
      <c r="F89" s="41" t="s">
        <v>645</v>
      </c>
      <c r="G89" s="10">
        <f>'Пр.6 ведом.20'!G441</f>
        <v>210</v>
      </c>
    </row>
    <row r="90" spans="1:7" ht="31.5">
      <c r="A90" s="60" t="s">
        <v>651</v>
      </c>
      <c r="B90" s="7" t="s">
        <v>379</v>
      </c>
      <c r="C90" s="7"/>
      <c r="D90" s="7"/>
      <c r="E90" s="7"/>
      <c r="F90" s="7"/>
      <c r="G90" s="62">
        <f aca="true" t="shared" si="15" ref="G90">G92</f>
        <v>250</v>
      </c>
    </row>
    <row r="91" spans="1:7" s="252" customFormat="1" ht="47.25">
      <c r="A91" s="23" t="s">
        <v>1225</v>
      </c>
      <c r="B91" s="24" t="s">
        <v>991</v>
      </c>
      <c r="C91" s="7"/>
      <c r="D91" s="7"/>
      <c r="E91" s="7"/>
      <c r="F91" s="7"/>
      <c r="G91" s="62">
        <f>G92</f>
        <v>250</v>
      </c>
    </row>
    <row r="92" spans="1:7" ht="15.75">
      <c r="A92" s="46" t="s">
        <v>260</v>
      </c>
      <c r="B92" s="41" t="s">
        <v>991</v>
      </c>
      <c r="C92" s="41" t="s">
        <v>261</v>
      </c>
      <c r="D92" s="41"/>
      <c r="E92" s="41"/>
      <c r="F92" s="41"/>
      <c r="G92" s="10">
        <f aca="true" t="shared" si="16" ref="G92:G95">G93</f>
        <v>250</v>
      </c>
    </row>
    <row r="93" spans="1:7" ht="21.75" customHeight="1">
      <c r="A93" s="46" t="s">
        <v>269</v>
      </c>
      <c r="B93" s="41" t="s">
        <v>991</v>
      </c>
      <c r="C93" s="41" t="s">
        <v>261</v>
      </c>
      <c r="D93" s="41" t="s">
        <v>232</v>
      </c>
      <c r="E93" s="41"/>
      <c r="F93" s="41"/>
      <c r="G93" s="10">
        <f>G94</f>
        <v>250</v>
      </c>
    </row>
    <row r="94" spans="1:7" ht="47.25">
      <c r="A94" s="25" t="s">
        <v>1224</v>
      </c>
      <c r="B94" s="20" t="s">
        <v>990</v>
      </c>
      <c r="C94" s="41" t="s">
        <v>261</v>
      </c>
      <c r="D94" s="41" t="s">
        <v>232</v>
      </c>
      <c r="E94" s="41"/>
      <c r="F94" s="41"/>
      <c r="G94" s="10">
        <f t="shared" si="16"/>
        <v>250</v>
      </c>
    </row>
    <row r="95" spans="1:7" ht="15.75">
      <c r="A95" s="25" t="s">
        <v>265</v>
      </c>
      <c r="B95" s="20" t="s">
        <v>990</v>
      </c>
      <c r="C95" s="41" t="s">
        <v>261</v>
      </c>
      <c r="D95" s="41" t="s">
        <v>232</v>
      </c>
      <c r="E95" s="41" t="s">
        <v>266</v>
      </c>
      <c r="F95" s="41"/>
      <c r="G95" s="10">
        <f t="shared" si="16"/>
        <v>250</v>
      </c>
    </row>
    <row r="96" spans="1:7" ht="31.5">
      <c r="A96" s="25" t="s">
        <v>365</v>
      </c>
      <c r="B96" s="20" t="s">
        <v>990</v>
      </c>
      <c r="C96" s="41" t="s">
        <v>261</v>
      </c>
      <c r="D96" s="41" t="s">
        <v>232</v>
      </c>
      <c r="E96" s="41" t="s">
        <v>366</v>
      </c>
      <c r="F96" s="41"/>
      <c r="G96" s="10">
        <f>'Пр.6 ведом.20'!G446</f>
        <v>250</v>
      </c>
    </row>
    <row r="97" spans="1:7" ht="47.25">
      <c r="A97" s="46" t="s">
        <v>278</v>
      </c>
      <c r="B97" s="20" t="s">
        <v>990</v>
      </c>
      <c r="C97" s="41" t="s">
        <v>261</v>
      </c>
      <c r="D97" s="41" t="s">
        <v>232</v>
      </c>
      <c r="E97" s="41" t="s">
        <v>366</v>
      </c>
      <c r="F97" s="41" t="s">
        <v>645</v>
      </c>
      <c r="G97" s="10">
        <f aca="true" t="shared" si="17" ref="G97">G90</f>
        <v>250</v>
      </c>
    </row>
    <row r="98" spans="1:7" ht="47.25">
      <c r="A98" s="60" t="s">
        <v>381</v>
      </c>
      <c r="B98" s="7" t="s">
        <v>382</v>
      </c>
      <c r="C98" s="7"/>
      <c r="D98" s="7"/>
      <c r="E98" s="7"/>
      <c r="F98" s="7"/>
      <c r="G98" s="62">
        <f aca="true" t="shared" si="18" ref="G98">G100</f>
        <v>260</v>
      </c>
    </row>
    <row r="99" spans="1:7" s="252" customFormat="1" ht="31.5">
      <c r="A99" s="23" t="s">
        <v>1155</v>
      </c>
      <c r="B99" s="24" t="s">
        <v>971</v>
      </c>
      <c r="C99" s="7"/>
      <c r="D99" s="7"/>
      <c r="E99" s="7"/>
      <c r="F99" s="7"/>
      <c r="G99" s="62">
        <f>G100</f>
        <v>260</v>
      </c>
    </row>
    <row r="100" spans="1:7" ht="15.75">
      <c r="A100" s="46" t="s">
        <v>315</v>
      </c>
      <c r="B100" s="41" t="s">
        <v>971</v>
      </c>
      <c r="C100" s="41" t="s">
        <v>316</v>
      </c>
      <c r="D100" s="41"/>
      <c r="E100" s="41"/>
      <c r="F100" s="41"/>
      <c r="G100" s="10">
        <f>G101</f>
        <v>260</v>
      </c>
    </row>
    <row r="101" spans="1:7" ht="15.75">
      <c r="A101" s="46" t="s">
        <v>350</v>
      </c>
      <c r="B101" s="41" t="s">
        <v>971</v>
      </c>
      <c r="C101" s="41" t="s">
        <v>316</v>
      </c>
      <c r="D101" s="41" t="s">
        <v>167</v>
      </c>
      <c r="E101" s="41"/>
      <c r="F101" s="41"/>
      <c r="G101" s="10">
        <f>G102</f>
        <v>260</v>
      </c>
    </row>
    <row r="102" spans="1:7" ht="37.5" customHeight="1">
      <c r="A102" s="30" t="s">
        <v>174</v>
      </c>
      <c r="B102" s="20" t="s">
        <v>1240</v>
      </c>
      <c r="C102" s="41" t="s">
        <v>316</v>
      </c>
      <c r="D102" s="41" t="s">
        <v>167</v>
      </c>
      <c r="E102" s="41"/>
      <c r="F102" s="41"/>
      <c r="G102" s="10">
        <f aca="true" t="shared" si="19" ref="G102:G103">G103</f>
        <v>260</v>
      </c>
    </row>
    <row r="103" spans="1:7" ht="31.5">
      <c r="A103" s="30" t="s">
        <v>148</v>
      </c>
      <c r="B103" s="20" t="s">
        <v>1240</v>
      </c>
      <c r="C103" s="41" t="s">
        <v>316</v>
      </c>
      <c r="D103" s="41" t="s">
        <v>167</v>
      </c>
      <c r="E103" s="41" t="s">
        <v>149</v>
      </c>
      <c r="F103" s="41"/>
      <c r="G103" s="10">
        <f t="shared" si="19"/>
        <v>260</v>
      </c>
    </row>
    <row r="104" spans="1:7" ht="31.5">
      <c r="A104" s="30" t="s">
        <v>150</v>
      </c>
      <c r="B104" s="20" t="s">
        <v>1240</v>
      </c>
      <c r="C104" s="41" t="s">
        <v>316</v>
      </c>
      <c r="D104" s="41" t="s">
        <v>167</v>
      </c>
      <c r="E104" s="41" t="s">
        <v>151</v>
      </c>
      <c r="F104" s="41"/>
      <c r="G104" s="10">
        <f>'Пр.6 ведом.20'!G417</f>
        <v>260</v>
      </c>
    </row>
    <row r="105" spans="1:7" ht="47.25">
      <c r="A105" s="46" t="s">
        <v>278</v>
      </c>
      <c r="B105" s="20" t="s">
        <v>1240</v>
      </c>
      <c r="C105" s="41" t="s">
        <v>316</v>
      </c>
      <c r="D105" s="41" t="s">
        <v>167</v>
      </c>
      <c r="E105" s="41" t="s">
        <v>151</v>
      </c>
      <c r="F105" s="41" t="s">
        <v>645</v>
      </c>
      <c r="G105" s="10">
        <f aca="true" t="shared" si="20" ref="G105">G98</f>
        <v>260</v>
      </c>
    </row>
    <row r="106" spans="1:7" ht="47.25">
      <c r="A106" s="42" t="s">
        <v>384</v>
      </c>
      <c r="B106" s="7" t="s">
        <v>385</v>
      </c>
      <c r="C106" s="7"/>
      <c r="D106" s="7"/>
      <c r="E106" s="7"/>
      <c r="F106" s="7"/>
      <c r="G106" s="62">
        <f>G107+G118+G129+G140</f>
        <v>70</v>
      </c>
    </row>
    <row r="107" spans="1:7" s="252" customFormat="1" ht="47.25" hidden="1">
      <c r="A107" s="315" t="s">
        <v>1228</v>
      </c>
      <c r="B107" s="24" t="s">
        <v>942</v>
      </c>
      <c r="C107" s="7"/>
      <c r="D107" s="7"/>
      <c r="E107" s="7"/>
      <c r="F107" s="7"/>
      <c r="G107" s="62">
        <f>G108</f>
        <v>0</v>
      </c>
    </row>
    <row r="108" spans="1:7" ht="15.75" hidden="1">
      <c r="A108" s="46" t="s">
        <v>249</v>
      </c>
      <c r="B108" s="41" t="s">
        <v>942</v>
      </c>
      <c r="C108" s="41" t="s">
        <v>167</v>
      </c>
      <c r="D108" s="41"/>
      <c r="E108" s="41"/>
      <c r="F108" s="41"/>
      <c r="G108" s="10">
        <f aca="true" t="shared" si="21" ref="G108">G109</f>
        <v>0</v>
      </c>
    </row>
    <row r="109" spans="1:7" ht="18" customHeight="1" hidden="1">
      <c r="A109" s="46" t="s">
        <v>254</v>
      </c>
      <c r="B109" s="41" t="s">
        <v>942</v>
      </c>
      <c r="C109" s="41" t="s">
        <v>167</v>
      </c>
      <c r="D109" s="41" t="s">
        <v>255</v>
      </c>
      <c r="E109" s="41"/>
      <c r="F109" s="41"/>
      <c r="G109" s="10">
        <f>G110+G114</f>
        <v>0</v>
      </c>
    </row>
    <row r="110" spans="1:7" ht="31.5" customHeight="1" hidden="1">
      <c r="A110" s="25" t="s">
        <v>392</v>
      </c>
      <c r="B110" s="20" t="s">
        <v>1229</v>
      </c>
      <c r="C110" s="41" t="s">
        <v>167</v>
      </c>
      <c r="D110" s="41" t="s">
        <v>255</v>
      </c>
      <c r="E110" s="41"/>
      <c r="F110" s="41"/>
      <c r="G110" s="10">
        <f aca="true" t="shared" si="22" ref="G110">G111</f>
        <v>0</v>
      </c>
    </row>
    <row r="111" spans="1:7" ht="22.5" customHeight="1" hidden="1">
      <c r="A111" s="25" t="s">
        <v>265</v>
      </c>
      <c r="B111" s="20" t="s">
        <v>1229</v>
      </c>
      <c r="C111" s="41" t="s">
        <v>167</v>
      </c>
      <c r="D111" s="41" t="s">
        <v>255</v>
      </c>
      <c r="E111" s="41" t="s">
        <v>266</v>
      </c>
      <c r="F111" s="41"/>
      <c r="G111" s="10">
        <f>G112</f>
        <v>0</v>
      </c>
    </row>
    <row r="112" spans="1:7" ht="31.5" hidden="1">
      <c r="A112" s="25" t="s">
        <v>267</v>
      </c>
      <c r="B112" s="20" t="s">
        <v>1229</v>
      </c>
      <c r="C112" s="41" t="s">
        <v>167</v>
      </c>
      <c r="D112" s="41" t="s">
        <v>255</v>
      </c>
      <c r="E112" s="41" t="s">
        <v>268</v>
      </c>
      <c r="F112" s="41"/>
      <c r="G112" s="10">
        <f>'Пр.5 Рд,пр, ЦС,ВР 20'!F274</f>
        <v>0</v>
      </c>
    </row>
    <row r="113" spans="1:7" s="252" customFormat="1" ht="47.25" hidden="1">
      <c r="A113" s="46" t="s">
        <v>278</v>
      </c>
      <c r="B113" s="20" t="s">
        <v>1229</v>
      </c>
      <c r="C113" s="41" t="s">
        <v>167</v>
      </c>
      <c r="D113" s="41" t="s">
        <v>255</v>
      </c>
      <c r="E113" s="41" t="s">
        <v>268</v>
      </c>
      <c r="F113" s="41" t="s">
        <v>645</v>
      </c>
      <c r="G113" s="10">
        <f>G112</f>
        <v>0</v>
      </c>
    </row>
    <row r="114" spans="1:7" ht="54.75" customHeight="1" hidden="1">
      <c r="A114" s="25" t="s">
        <v>392</v>
      </c>
      <c r="B114" s="20" t="s">
        <v>1230</v>
      </c>
      <c r="C114" s="41" t="s">
        <v>167</v>
      </c>
      <c r="D114" s="41" t="s">
        <v>255</v>
      </c>
      <c r="E114" s="41"/>
      <c r="F114" s="41"/>
      <c r="G114" s="10">
        <f>G115</f>
        <v>0</v>
      </c>
    </row>
    <row r="115" spans="1:7" ht="15.75" hidden="1">
      <c r="A115" s="25" t="s">
        <v>265</v>
      </c>
      <c r="B115" s="20" t="s">
        <v>1230</v>
      </c>
      <c r="C115" s="41" t="s">
        <v>167</v>
      </c>
      <c r="D115" s="41" t="s">
        <v>255</v>
      </c>
      <c r="E115" s="41" t="s">
        <v>266</v>
      </c>
      <c r="F115" s="41"/>
      <c r="G115" s="10">
        <f>G116</f>
        <v>0</v>
      </c>
    </row>
    <row r="116" spans="1:7" ht="31.5" hidden="1">
      <c r="A116" s="25" t="s">
        <v>267</v>
      </c>
      <c r="B116" s="20" t="s">
        <v>1230</v>
      </c>
      <c r="C116" s="41" t="s">
        <v>167</v>
      </c>
      <c r="D116" s="41" t="s">
        <v>255</v>
      </c>
      <c r="E116" s="41" t="s">
        <v>268</v>
      </c>
      <c r="F116" s="41"/>
      <c r="G116" s="10">
        <f>'Пр.5 Рд,пр, ЦС,ВР 20'!F277</f>
        <v>0</v>
      </c>
    </row>
    <row r="117" spans="1:7" s="252" customFormat="1" ht="47.25" hidden="1">
      <c r="A117" s="46" t="s">
        <v>278</v>
      </c>
      <c r="B117" s="20" t="s">
        <v>1230</v>
      </c>
      <c r="C117" s="41" t="s">
        <v>167</v>
      </c>
      <c r="D117" s="41" t="s">
        <v>255</v>
      </c>
      <c r="E117" s="41" t="s">
        <v>268</v>
      </c>
      <c r="F117" s="41" t="s">
        <v>645</v>
      </c>
      <c r="G117" s="10">
        <f>G116</f>
        <v>0</v>
      </c>
    </row>
    <row r="118" spans="1:7" ht="31.5">
      <c r="A118" s="23" t="s">
        <v>1226</v>
      </c>
      <c r="B118" s="24" t="s">
        <v>943</v>
      </c>
      <c r="C118" s="7"/>
      <c r="D118" s="7"/>
      <c r="E118" s="7"/>
      <c r="F118" s="7"/>
      <c r="G118" s="62">
        <f>G121+G125</f>
        <v>60</v>
      </c>
    </row>
    <row r="119" spans="1:7" s="252" customFormat="1" ht="15.75">
      <c r="A119" s="46" t="s">
        <v>249</v>
      </c>
      <c r="B119" s="41" t="s">
        <v>943</v>
      </c>
      <c r="C119" s="41" t="s">
        <v>167</v>
      </c>
      <c r="D119" s="41"/>
      <c r="E119" s="41"/>
      <c r="F119" s="41"/>
      <c r="G119" s="10">
        <f aca="true" t="shared" si="23" ref="G119">G120</f>
        <v>60</v>
      </c>
    </row>
    <row r="120" spans="1:7" s="252" customFormat="1" ht="15.75">
      <c r="A120" s="46" t="s">
        <v>254</v>
      </c>
      <c r="B120" s="41" t="s">
        <v>943</v>
      </c>
      <c r="C120" s="41" t="s">
        <v>167</v>
      </c>
      <c r="D120" s="41" t="s">
        <v>255</v>
      </c>
      <c r="E120" s="41"/>
      <c r="F120" s="41"/>
      <c r="G120" s="10">
        <f>G121+G125</f>
        <v>60</v>
      </c>
    </row>
    <row r="121" spans="1:7" s="252" customFormat="1" ht="31.5">
      <c r="A121" s="25" t="s">
        <v>1227</v>
      </c>
      <c r="B121" s="20" t="s">
        <v>1231</v>
      </c>
      <c r="C121" s="41" t="s">
        <v>167</v>
      </c>
      <c r="D121" s="41" t="s">
        <v>255</v>
      </c>
      <c r="E121" s="41"/>
      <c r="F121" s="41"/>
      <c r="G121" s="10">
        <f>G122</f>
        <v>60</v>
      </c>
    </row>
    <row r="122" spans="1:7" s="252" customFormat="1" ht="31.5">
      <c r="A122" s="25" t="s">
        <v>289</v>
      </c>
      <c r="B122" s="20" t="s">
        <v>1231</v>
      </c>
      <c r="C122" s="41" t="s">
        <v>167</v>
      </c>
      <c r="D122" s="41" t="s">
        <v>255</v>
      </c>
      <c r="E122" s="41" t="s">
        <v>290</v>
      </c>
      <c r="F122" s="41"/>
      <c r="G122" s="10">
        <f>G123</f>
        <v>60</v>
      </c>
    </row>
    <row r="123" spans="1:7" s="252" customFormat="1" ht="63">
      <c r="A123" s="25" t="s">
        <v>1314</v>
      </c>
      <c r="B123" s="20" t="s">
        <v>1231</v>
      </c>
      <c r="C123" s="41" t="s">
        <v>167</v>
      </c>
      <c r="D123" s="41" t="s">
        <v>255</v>
      </c>
      <c r="E123" s="41" t="s">
        <v>389</v>
      </c>
      <c r="F123" s="41"/>
      <c r="G123" s="10">
        <f>'Пр.5 Рд,пр, ЦС,ВР 20'!F281</f>
        <v>60</v>
      </c>
    </row>
    <row r="124" spans="1:7" s="252" customFormat="1" ht="47.25">
      <c r="A124" s="46" t="s">
        <v>278</v>
      </c>
      <c r="B124" s="20" t="s">
        <v>1231</v>
      </c>
      <c r="C124" s="41" t="s">
        <v>167</v>
      </c>
      <c r="D124" s="41" t="s">
        <v>255</v>
      </c>
      <c r="E124" s="41" t="s">
        <v>389</v>
      </c>
      <c r="F124" s="41" t="s">
        <v>645</v>
      </c>
      <c r="G124" s="10">
        <f>G123</f>
        <v>60</v>
      </c>
    </row>
    <row r="125" spans="1:7" s="252" customFormat="1" ht="110.25" hidden="1">
      <c r="A125" s="25" t="s">
        <v>390</v>
      </c>
      <c r="B125" s="20" t="s">
        <v>1232</v>
      </c>
      <c r="C125" s="41" t="s">
        <v>167</v>
      </c>
      <c r="D125" s="41" t="s">
        <v>255</v>
      </c>
      <c r="E125" s="41"/>
      <c r="F125" s="41"/>
      <c r="G125" s="10">
        <f>G126</f>
        <v>0</v>
      </c>
    </row>
    <row r="126" spans="1:7" s="252" customFormat="1" ht="31.5" hidden="1">
      <c r="A126" s="25" t="s">
        <v>289</v>
      </c>
      <c r="B126" s="20" t="s">
        <v>1232</v>
      </c>
      <c r="C126" s="41" t="s">
        <v>167</v>
      </c>
      <c r="D126" s="41" t="s">
        <v>255</v>
      </c>
      <c r="E126" s="41" t="s">
        <v>290</v>
      </c>
      <c r="F126" s="41"/>
      <c r="G126" s="10">
        <f>G127</f>
        <v>0</v>
      </c>
    </row>
    <row r="127" spans="1:7" s="252" customFormat="1" ht="63" hidden="1">
      <c r="A127" s="25" t="s">
        <v>1314</v>
      </c>
      <c r="B127" s="20" t="s">
        <v>1232</v>
      </c>
      <c r="C127" s="41" t="s">
        <v>167</v>
      </c>
      <c r="D127" s="41" t="s">
        <v>255</v>
      </c>
      <c r="E127" s="41" t="s">
        <v>389</v>
      </c>
      <c r="F127" s="41"/>
      <c r="G127" s="10">
        <f>'Пр.5 Рд,пр, ЦС,ВР 20'!F284</f>
        <v>0</v>
      </c>
    </row>
    <row r="128" spans="1:7" s="252" customFormat="1" ht="47.25" hidden="1">
      <c r="A128" s="46" t="s">
        <v>278</v>
      </c>
      <c r="B128" s="20" t="s">
        <v>1232</v>
      </c>
      <c r="C128" s="41" t="s">
        <v>167</v>
      </c>
      <c r="D128" s="41" t="s">
        <v>255</v>
      </c>
      <c r="E128" s="41" t="s">
        <v>389</v>
      </c>
      <c r="F128" s="41" t="s">
        <v>645</v>
      </c>
      <c r="G128" s="10">
        <f>G127</f>
        <v>0</v>
      </c>
    </row>
    <row r="129" spans="1:7" s="252" customFormat="1" ht="31.5" hidden="1">
      <c r="A129" s="23" t="s">
        <v>1153</v>
      </c>
      <c r="B129" s="24" t="s">
        <v>944</v>
      </c>
      <c r="C129" s="7"/>
      <c r="D129" s="7"/>
      <c r="E129" s="7"/>
      <c r="F129" s="7"/>
      <c r="G129" s="62">
        <f>G132+G136</f>
        <v>0</v>
      </c>
    </row>
    <row r="130" spans="1:7" s="252" customFormat="1" ht="15.75" hidden="1">
      <c r="A130" s="46" t="s">
        <v>249</v>
      </c>
      <c r="B130" s="41" t="s">
        <v>944</v>
      </c>
      <c r="C130" s="41" t="s">
        <v>167</v>
      </c>
      <c r="D130" s="41"/>
      <c r="E130" s="41"/>
      <c r="F130" s="41"/>
      <c r="G130" s="10">
        <f aca="true" t="shared" si="24" ref="G130">G131</f>
        <v>0</v>
      </c>
    </row>
    <row r="131" spans="1:7" s="252" customFormat="1" ht="15.75" hidden="1">
      <c r="A131" s="46" t="s">
        <v>254</v>
      </c>
      <c r="B131" s="41" t="s">
        <v>944</v>
      </c>
      <c r="C131" s="41" t="s">
        <v>167</v>
      </c>
      <c r="D131" s="41" t="s">
        <v>255</v>
      </c>
      <c r="E131" s="41"/>
      <c r="F131" s="41"/>
      <c r="G131" s="10">
        <f>G132+G136</f>
        <v>0</v>
      </c>
    </row>
    <row r="132" spans="1:7" s="252" customFormat="1" ht="31.5" hidden="1">
      <c r="A132" s="384" t="s">
        <v>1235</v>
      </c>
      <c r="B132" s="20" t="s">
        <v>1233</v>
      </c>
      <c r="C132" s="41" t="s">
        <v>167</v>
      </c>
      <c r="D132" s="41" t="s">
        <v>255</v>
      </c>
      <c r="E132" s="41"/>
      <c r="F132" s="41"/>
      <c r="G132" s="10">
        <f>G133</f>
        <v>0</v>
      </c>
    </row>
    <row r="133" spans="1:7" s="252" customFormat="1" ht="31.5" hidden="1">
      <c r="A133" s="25" t="s">
        <v>148</v>
      </c>
      <c r="B133" s="20" t="s">
        <v>1233</v>
      </c>
      <c r="C133" s="41" t="s">
        <v>167</v>
      </c>
      <c r="D133" s="41" t="s">
        <v>255</v>
      </c>
      <c r="E133" s="41" t="s">
        <v>149</v>
      </c>
      <c r="F133" s="41"/>
      <c r="G133" s="10">
        <f>G134</f>
        <v>0</v>
      </c>
    </row>
    <row r="134" spans="1:7" s="252" customFormat="1" ht="31.5" hidden="1">
      <c r="A134" s="25" t="s">
        <v>150</v>
      </c>
      <c r="B134" s="20" t="s">
        <v>1233</v>
      </c>
      <c r="C134" s="41" t="s">
        <v>167</v>
      </c>
      <c r="D134" s="41" t="s">
        <v>255</v>
      </c>
      <c r="E134" s="41" t="s">
        <v>151</v>
      </c>
      <c r="F134" s="41"/>
      <c r="G134" s="10">
        <f>'Пр.5 Рд,пр, ЦС,ВР 20'!F288</f>
        <v>0</v>
      </c>
    </row>
    <row r="135" spans="1:7" s="252" customFormat="1" ht="47.25" hidden="1">
      <c r="A135" s="46" t="s">
        <v>278</v>
      </c>
      <c r="B135" s="20" t="s">
        <v>1233</v>
      </c>
      <c r="C135" s="41" t="s">
        <v>167</v>
      </c>
      <c r="D135" s="41" t="s">
        <v>255</v>
      </c>
      <c r="E135" s="41" t="s">
        <v>151</v>
      </c>
      <c r="F135" s="9" t="s">
        <v>645</v>
      </c>
      <c r="G135" s="10">
        <f>G134</f>
        <v>0</v>
      </c>
    </row>
    <row r="136" spans="1:7" s="252" customFormat="1" ht="31.5" hidden="1">
      <c r="A136" s="25" t="s">
        <v>394</v>
      </c>
      <c r="B136" s="20" t="s">
        <v>1234</v>
      </c>
      <c r="C136" s="41" t="s">
        <v>167</v>
      </c>
      <c r="D136" s="41" t="s">
        <v>255</v>
      </c>
      <c r="E136" s="41"/>
      <c r="F136" s="41"/>
      <c r="G136" s="10">
        <f>G137</f>
        <v>0</v>
      </c>
    </row>
    <row r="137" spans="1:7" s="252" customFormat="1" ht="31.5" hidden="1">
      <c r="A137" s="25" t="s">
        <v>148</v>
      </c>
      <c r="B137" s="20" t="s">
        <v>1234</v>
      </c>
      <c r="C137" s="41" t="s">
        <v>167</v>
      </c>
      <c r="D137" s="41" t="s">
        <v>255</v>
      </c>
      <c r="E137" s="41" t="s">
        <v>149</v>
      </c>
      <c r="F137" s="41"/>
      <c r="G137" s="10">
        <f>G138</f>
        <v>0</v>
      </c>
    </row>
    <row r="138" spans="1:7" s="252" customFormat="1" ht="31.5" hidden="1">
      <c r="A138" s="25" t="s">
        <v>150</v>
      </c>
      <c r="B138" s="20" t="s">
        <v>1234</v>
      </c>
      <c r="C138" s="41" t="s">
        <v>167</v>
      </c>
      <c r="D138" s="41" t="s">
        <v>255</v>
      </c>
      <c r="E138" s="41" t="s">
        <v>151</v>
      </c>
      <c r="F138" s="41"/>
      <c r="G138" s="10">
        <f>'Пр.5 Рд,пр, ЦС,ВР 20'!F291</f>
        <v>0</v>
      </c>
    </row>
    <row r="139" spans="1:7" ht="47.25" hidden="1">
      <c r="A139" s="46" t="s">
        <v>278</v>
      </c>
      <c r="B139" s="20" t="s">
        <v>1234</v>
      </c>
      <c r="C139" s="41" t="s">
        <v>167</v>
      </c>
      <c r="D139" s="41" t="s">
        <v>255</v>
      </c>
      <c r="E139" s="41" t="s">
        <v>151</v>
      </c>
      <c r="F139" s="9" t="s">
        <v>645</v>
      </c>
      <c r="G139" s="10">
        <f>G138</f>
        <v>0</v>
      </c>
    </row>
    <row r="140" spans="1:7" s="252" customFormat="1" ht="31.5">
      <c r="A140" s="312" t="s">
        <v>1334</v>
      </c>
      <c r="B140" s="24" t="s">
        <v>1333</v>
      </c>
      <c r="C140" s="7"/>
      <c r="D140" s="7"/>
      <c r="E140" s="7"/>
      <c r="F140" s="7"/>
      <c r="G140" s="62">
        <f>G141</f>
        <v>10</v>
      </c>
    </row>
    <row r="141" spans="1:7" s="252" customFormat="1" ht="15.75">
      <c r="A141" s="46" t="s">
        <v>249</v>
      </c>
      <c r="B141" s="41" t="s">
        <v>1333</v>
      </c>
      <c r="C141" s="41" t="s">
        <v>167</v>
      </c>
      <c r="D141" s="41"/>
      <c r="E141" s="41"/>
      <c r="F141" s="41"/>
      <c r="G141" s="10">
        <f aca="true" t="shared" si="25" ref="G141">G142</f>
        <v>10</v>
      </c>
    </row>
    <row r="142" spans="1:7" s="252" customFormat="1" ht="15.75">
      <c r="A142" s="46" t="s">
        <v>254</v>
      </c>
      <c r="B142" s="41" t="s">
        <v>1333</v>
      </c>
      <c r="C142" s="41" t="s">
        <v>167</v>
      </c>
      <c r="D142" s="41" t="s">
        <v>255</v>
      </c>
      <c r="E142" s="41"/>
      <c r="F142" s="41"/>
      <c r="G142" s="10">
        <f>G143</f>
        <v>10</v>
      </c>
    </row>
    <row r="143" spans="1:7" s="252" customFormat="1" ht="31.5">
      <c r="A143" s="352" t="s">
        <v>1335</v>
      </c>
      <c r="B143" s="20" t="s">
        <v>1377</v>
      </c>
      <c r="C143" s="41" t="s">
        <v>167</v>
      </c>
      <c r="D143" s="41" t="s">
        <v>255</v>
      </c>
      <c r="E143" s="41"/>
      <c r="F143" s="41"/>
      <c r="G143" s="10">
        <f>G144</f>
        <v>10</v>
      </c>
    </row>
    <row r="144" spans="1:7" s="252" customFormat="1" ht="31.5">
      <c r="A144" s="25" t="s">
        <v>148</v>
      </c>
      <c r="B144" s="20" t="s">
        <v>1377</v>
      </c>
      <c r="C144" s="41" t="s">
        <v>167</v>
      </c>
      <c r="D144" s="41" t="s">
        <v>255</v>
      </c>
      <c r="E144" s="41" t="s">
        <v>149</v>
      </c>
      <c r="F144" s="41"/>
      <c r="G144" s="10">
        <f>G145</f>
        <v>10</v>
      </c>
    </row>
    <row r="145" spans="1:7" s="252" customFormat="1" ht="31.5">
      <c r="A145" s="25" t="s">
        <v>150</v>
      </c>
      <c r="B145" s="20" t="s">
        <v>1377</v>
      </c>
      <c r="C145" s="41" t="s">
        <v>167</v>
      </c>
      <c r="D145" s="41" t="s">
        <v>255</v>
      </c>
      <c r="E145" s="41" t="s">
        <v>151</v>
      </c>
      <c r="F145" s="41"/>
      <c r="G145" s="10">
        <f>'Пр.6 ведом.20'!G260</f>
        <v>10</v>
      </c>
    </row>
    <row r="146" spans="1:7" s="252" customFormat="1" ht="47.25">
      <c r="A146" s="46" t="s">
        <v>278</v>
      </c>
      <c r="B146" s="20" t="s">
        <v>1377</v>
      </c>
      <c r="C146" s="41" t="s">
        <v>167</v>
      </c>
      <c r="D146" s="41" t="s">
        <v>255</v>
      </c>
      <c r="E146" s="41" t="s">
        <v>151</v>
      </c>
      <c r="F146" s="9" t="s">
        <v>645</v>
      </c>
      <c r="G146" s="10">
        <f>G145</f>
        <v>10</v>
      </c>
    </row>
    <row r="147" spans="1:7" ht="80.25" customHeight="1">
      <c r="A147" s="42" t="s">
        <v>397</v>
      </c>
      <c r="B147" s="7" t="s">
        <v>398</v>
      </c>
      <c r="C147" s="7"/>
      <c r="D147" s="7"/>
      <c r="E147" s="7"/>
      <c r="F147" s="8"/>
      <c r="G147" s="62">
        <f>G148</f>
        <v>60</v>
      </c>
    </row>
    <row r="148" spans="1:7" s="252" customFormat="1" ht="59.25" customHeight="1">
      <c r="A148" s="382" t="s">
        <v>1236</v>
      </c>
      <c r="B148" s="7" t="s">
        <v>938</v>
      </c>
      <c r="C148" s="7"/>
      <c r="D148" s="7"/>
      <c r="E148" s="7"/>
      <c r="F148" s="8"/>
      <c r="G148" s="62">
        <f>G149</f>
        <v>60</v>
      </c>
    </row>
    <row r="149" spans="1:7" ht="15.75">
      <c r="A149" s="46" t="s">
        <v>134</v>
      </c>
      <c r="B149" s="41" t="s">
        <v>938</v>
      </c>
      <c r="C149" s="41" t="s">
        <v>135</v>
      </c>
      <c r="D149" s="41"/>
      <c r="E149" s="41"/>
      <c r="F149" s="9"/>
      <c r="G149" s="10">
        <f aca="true" t="shared" si="26" ref="G149:G152">G150</f>
        <v>60</v>
      </c>
    </row>
    <row r="150" spans="1:7" ht="21" customHeight="1">
      <c r="A150" s="46" t="s">
        <v>156</v>
      </c>
      <c r="B150" s="41" t="s">
        <v>938</v>
      </c>
      <c r="C150" s="41" t="s">
        <v>135</v>
      </c>
      <c r="D150" s="41" t="s">
        <v>157</v>
      </c>
      <c r="E150" s="41"/>
      <c r="F150" s="9"/>
      <c r="G150" s="10">
        <f>G151+G155</f>
        <v>60</v>
      </c>
    </row>
    <row r="151" spans="1:7" ht="31.5">
      <c r="A151" s="107" t="s">
        <v>1237</v>
      </c>
      <c r="B151" s="41" t="s">
        <v>939</v>
      </c>
      <c r="C151" s="41" t="s">
        <v>135</v>
      </c>
      <c r="D151" s="41" t="s">
        <v>157</v>
      </c>
      <c r="E151" s="41"/>
      <c r="F151" s="9"/>
      <c r="G151" s="10">
        <f t="shared" si="26"/>
        <v>60</v>
      </c>
    </row>
    <row r="152" spans="1:7" ht="31.5">
      <c r="A152" s="30" t="s">
        <v>148</v>
      </c>
      <c r="B152" s="41" t="s">
        <v>939</v>
      </c>
      <c r="C152" s="41" t="s">
        <v>135</v>
      </c>
      <c r="D152" s="41" t="s">
        <v>157</v>
      </c>
      <c r="E152" s="41" t="s">
        <v>149</v>
      </c>
      <c r="F152" s="9"/>
      <c r="G152" s="10">
        <f t="shared" si="26"/>
        <v>60</v>
      </c>
    </row>
    <row r="153" spans="1:7" ht="31.5">
      <c r="A153" s="30" t="s">
        <v>150</v>
      </c>
      <c r="B153" s="41" t="s">
        <v>939</v>
      </c>
      <c r="C153" s="41" t="s">
        <v>135</v>
      </c>
      <c r="D153" s="41" t="s">
        <v>157</v>
      </c>
      <c r="E153" s="41" t="s">
        <v>151</v>
      </c>
      <c r="F153" s="9"/>
      <c r="G153" s="10">
        <f>'Пр.5 Рд,пр, ЦС,ВР 20'!F152</f>
        <v>60</v>
      </c>
    </row>
    <row r="154" spans="1:7" s="252" customFormat="1" ht="47.25">
      <c r="A154" s="46" t="s">
        <v>278</v>
      </c>
      <c r="B154" s="41" t="s">
        <v>939</v>
      </c>
      <c r="C154" s="41" t="s">
        <v>135</v>
      </c>
      <c r="D154" s="41" t="s">
        <v>157</v>
      </c>
      <c r="E154" s="41" t="s">
        <v>151</v>
      </c>
      <c r="F154" s="9" t="s">
        <v>645</v>
      </c>
      <c r="G154" s="10">
        <f>G153</f>
        <v>60</v>
      </c>
    </row>
    <row r="155" spans="1:7" s="252" customFormat="1" ht="47.25" hidden="1">
      <c r="A155" s="36" t="s">
        <v>941</v>
      </c>
      <c r="B155" s="20" t="s">
        <v>940</v>
      </c>
      <c r="C155" s="41" t="s">
        <v>135</v>
      </c>
      <c r="D155" s="41" t="s">
        <v>157</v>
      </c>
      <c r="E155" s="41"/>
      <c r="F155" s="9"/>
      <c r="G155" s="10">
        <f>G156</f>
        <v>0</v>
      </c>
    </row>
    <row r="156" spans="1:7" s="252" customFormat="1" ht="31.5" hidden="1">
      <c r="A156" s="25" t="s">
        <v>148</v>
      </c>
      <c r="B156" s="20" t="s">
        <v>940</v>
      </c>
      <c r="C156" s="41" t="s">
        <v>135</v>
      </c>
      <c r="D156" s="41" t="s">
        <v>157</v>
      </c>
      <c r="E156" s="41" t="s">
        <v>149</v>
      </c>
      <c r="F156" s="9"/>
      <c r="G156" s="10">
        <f>G157</f>
        <v>0</v>
      </c>
    </row>
    <row r="157" spans="1:7" s="252" customFormat="1" ht="31.5" hidden="1">
      <c r="A157" s="25" t="s">
        <v>150</v>
      </c>
      <c r="B157" s="20" t="s">
        <v>940</v>
      </c>
      <c r="C157" s="41" t="s">
        <v>135</v>
      </c>
      <c r="D157" s="41" t="s">
        <v>157</v>
      </c>
      <c r="E157" s="41" t="s">
        <v>151</v>
      </c>
      <c r="F157" s="9"/>
      <c r="G157" s="10">
        <f>'Пр.5 Рд,пр, ЦС,ВР 20'!F155</f>
        <v>0</v>
      </c>
    </row>
    <row r="158" spans="1:7" ht="47.25" hidden="1">
      <c r="A158" s="46" t="s">
        <v>278</v>
      </c>
      <c r="B158" s="20" t="s">
        <v>940</v>
      </c>
      <c r="C158" s="41" t="s">
        <v>135</v>
      </c>
      <c r="D158" s="41" t="s">
        <v>157</v>
      </c>
      <c r="E158" s="41" t="s">
        <v>151</v>
      </c>
      <c r="F158" s="9" t="s">
        <v>645</v>
      </c>
      <c r="G158" s="10">
        <f>G157</f>
        <v>0</v>
      </c>
    </row>
    <row r="159" spans="1:7" ht="47.25">
      <c r="A159" s="60" t="s">
        <v>443</v>
      </c>
      <c r="B159" s="7" t="s">
        <v>423</v>
      </c>
      <c r="C159" s="7"/>
      <c r="D159" s="7"/>
      <c r="E159" s="7"/>
      <c r="F159" s="7"/>
      <c r="G159" s="62">
        <f>G160+G243+G285+G345+G353</f>
        <v>277019</v>
      </c>
    </row>
    <row r="160" spans="1:7" ht="31.5">
      <c r="A160" s="42" t="s">
        <v>424</v>
      </c>
      <c r="B160" s="7" t="s">
        <v>425</v>
      </c>
      <c r="C160" s="7"/>
      <c r="D160" s="7"/>
      <c r="E160" s="7"/>
      <c r="F160" s="7"/>
      <c r="G160" s="62">
        <f>G161+G190</f>
        <v>250843.1</v>
      </c>
    </row>
    <row r="161" spans="1:7" s="252" customFormat="1" ht="31.5">
      <c r="A161" s="23" t="s">
        <v>1036</v>
      </c>
      <c r="B161" s="24" t="s">
        <v>1014</v>
      </c>
      <c r="C161" s="7"/>
      <c r="D161" s="7"/>
      <c r="E161" s="7"/>
      <c r="F161" s="7"/>
      <c r="G161" s="62">
        <f>G162</f>
        <v>75945</v>
      </c>
    </row>
    <row r="162" spans="1:7" ht="15.75">
      <c r="A162" s="30" t="s">
        <v>280</v>
      </c>
      <c r="B162" s="41" t="s">
        <v>1014</v>
      </c>
      <c r="C162" s="41" t="s">
        <v>281</v>
      </c>
      <c r="D162" s="41"/>
      <c r="E162" s="41"/>
      <c r="F162" s="41"/>
      <c r="G162" s="10">
        <f>G163+G172+G185</f>
        <v>75945</v>
      </c>
    </row>
    <row r="163" spans="1:7" ht="15.75">
      <c r="A163" s="46" t="s">
        <v>421</v>
      </c>
      <c r="B163" s="41" t="s">
        <v>1014</v>
      </c>
      <c r="C163" s="41" t="s">
        <v>281</v>
      </c>
      <c r="D163" s="41" t="s">
        <v>135</v>
      </c>
      <c r="E163" s="41"/>
      <c r="F163" s="41"/>
      <c r="G163" s="10">
        <f>G164+G168</f>
        <v>13527</v>
      </c>
    </row>
    <row r="164" spans="1:7" ht="47.25">
      <c r="A164" s="25" t="s">
        <v>1071</v>
      </c>
      <c r="B164" s="20" t="s">
        <v>1070</v>
      </c>
      <c r="C164" s="41" t="s">
        <v>281</v>
      </c>
      <c r="D164" s="41" t="s">
        <v>135</v>
      </c>
      <c r="E164" s="41"/>
      <c r="F164" s="41"/>
      <c r="G164" s="10">
        <f aca="true" t="shared" si="27" ref="G164:G165">G165</f>
        <v>8224.3</v>
      </c>
    </row>
    <row r="165" spans="1:7" ht="31.5">
      <c r="A165" s="25" t="s">
        <v>289</v>
      </c>
      <c r="B165" s="20" t="s">
        <v>1070</v>
      </c>
      <c r="C165" s="41" t="s">
        <v>281</v>
      </c>
      <c r="D165" s="41" t="s">
        <v>135</v>
      </c>
      <c r="E165" s="41" t="s">
        <v>290</v>
      </c>
      <c r="F165" s="41"/>
      <c r="G165" s="10">
        <f t="shared" si="27"/>
        <v>8224.3</v>
      </c>
    </row>
    <row r="166" spans="1:7" ht="15.75">
      <c r="A166" s="25" t="s">
        <v>291</v>
      </c>
      <c r="B166" s="20" t="s">
        <v>1070</v>
      </c>
      <c r="C166" s="41" t="s">
        <v>281</v>
      </c>
      <c r="D166" s="41" t="s">
        <v>135</v>
      </c>
      <c r="E166" s="41" t="s">
        <v>292</v>
      </c>
      <c r="F166" s="41"/>
      <c r="G166" s="6">
        <f>'Пр.5 Рд,пр, ЦС,ВР 20'!F469</f>
        <v>8224.3</v>
      </c>
    </row>
    <row r="167" spans="1:7" s="252" customFormat="1" ht="31.5">
      <c r="A167" s="30" t="s">
        <v>420</v>
      </c>
      <c r="B167" s="20" t="s">
        <v>1070</v>
      </c>
      <c r="C167" s="41" t="s">
        <v>281</v>
      </c>
      <c r="D167" s="41" t="s">
        <v>135</v>
      </c>
      <c r="E167" s="41" t="s">
        <v>292</v>
      </c>
      <c r="F167" s="41" t="s">
        <v>654</v>
      </c>
      <c r="G167" s="10">
        <f>G166</f>
        <v>8224.3</v>
      </c>
    </row>
    <row r="168" spans="1:7" s="252" customFormat="1" ht="47.25">
      <c r="A168" s="25" t="s">
        <v>1255</v>
      </c>
      <c r="B168" s="20" t="s">
        <v>1072</v>
      </c>
      <c r="C168" s="41" t="s">
        <v>281</v>
      </c>
      <c r="D168" s="41" t="s">
        <v>135</v>
      </c>
      <c r="E168" s="41"/>
      <c r="F168" s="41"/>
      <c r="G168" s="6">
        <f>G169</f>
        <v>5302.7</v>
      </c>
    </row>
    <row r="169" spans="1:7" s="252" customFormat="1" ht="31.5">
      <c r="A169" s="25" t="s">
        <v>289</v>
      </c>
      <c r="B169" s="20" t="s">
        <v>1072</v>
      </c>
      <c r="C169" s="41" t="s">
        <v>281</v>
      </c>
      <c r="D169" s="41" t="s">
        <v>135</v>
      </c>
      <c r="E169" s="41" t="s">
        <v>290</v>
      </c>
      <c r="F169" s="41"/>
      <c r="G169" s="6">
        <f>G170</f>
        <v>5302.7</v>
      </c>
    </row>
    <row r="170" spans="1:7" s="252" customFormat="1" ht="15.75">
      <c r="A170" s="25" t="s">
        <v>291</v>
      </c>
      <c r="B170" s="20" t="s">
        <v>1072</v>
      </c>
      <c r="C170" s="41" t="s">
        <v>281</v>
      </c>
      <c r="D170" s="41" t="s">
        <v>135</v>
      </c>
      <c r="E170" s="41" t="s">
        <v>292</v>
      </c>
      <c r="F170" s="41"/>
      <c r="G170" s="6">
        <f>'Пр.5 Рд,пр, ЦС,ВР 20'!F472</f>
        <v>5302.7</v>
      </c>
    </row>
    <row r="171" spans="1:7" s="252" customFormat="1" ht="31.5">
      <c r="A171" s="30" t="s">
        <v>420</v>
      </c>
      <c r="B171" s="20" t="s">
        <v>1072</v>
      </c>
      <c r="C171" s="41" t="s">
        <v>281</v>
      </c>
      <c r="D171" s="41" t="s">
        <v>135</v>
      </c>
      <c r="E171" s="41" t="s">
        <v>292</v>
      </c>
      <c r="F171" s="41" t="s">
        <v>654</v>
      </c>
      <c r="G171" s="10">
        <f>G170</f>
        <v>5302.7</v>
      </c>
    </row>
    <row r="172" spans="1:7" s="252" customFormat="1" ht="15.75">
      <c r="A172" s="30" t="s">
        <v>442</v>
      </c>
      <c r="B172" s="41" t="s">
        <v>1014</v>
      </c>
      <c r="C172" s="41" t="s">
        <v>281</v>
      </c>
      <c r="D172" s="41" t="s">
        <v>230</v>
      </c>
      <c r="E172" s="41"/>
      <c r="F172" s="41"/>
      <c r="G172" s="10">
        <f>G173+G177+G181</f>
        <v>29803</v>
      </c>
    </row>
    <row r="173" spans="1:7" s="252" customFormat="1" ht="47.25">
      <c r="A173" s="25" t="s">
        <v>1076</v>
      </c>
      <c r="B173" s="20" t="s">
        <v>1073</v>
      </c>
      <c r="C173" s="41" t="s">
        <v>281</v>
      </c>
      <c r="D173" s="41" t="s">
        <v>230</v>
      </c>
      <c r="E173" s="41"/>
      <c r="F173" s="41"/>
      <c r="G173" s="10">
        <f aca="true" t="shared" si="28" ref="G173:G174">G174</f>
        <v>9775.400000000001</v>
      </c>
    </row>
    <row r="174" spans="1:7" s="252" customFormat="1" ht="31.5">
      <c r="A174" s="25" t="s">
        <v>289</v>
      </c>
      <c r="B174" s="20" t="s">
        <v>1073</v>
      </c>
      <c r="C174" s="41" t="s">
        <v>281</v>
      </c>
      <c r="D174" s="41" t="s">
        <v>230</v>
      </c>
      <c r="E174" s="41" t="s">
        <v>290</v>
      </c>
      <c r="F174" s="41"/>
      <c r="G174" s="10">
        <f t="shared" si="28"/>
        <v>9775.400000000001</v>
      </c>
    </row>
    <row r="175" spans="1:7" s="252" customFormat="1" ht="15.75">
      <c r="A175" s="25" t="s">
        <v>291</v>
      </c>
      <c r="B175" s="20" t="s">
        <v>1073</v>
      </c>
      <c r="C175" s="41" t="s">
        <v>281</v>
      </c>
      <c r="D175" s="41" t="s">
        <v>230</v>
      </c>
      <c r="E175" s="41" t="s">
        <v>292</v>
      </c>
      <c r="F175" s="41"/>
      <c r="G175" s="6">
        <f>'Пр.5 Рд,пр, ЦС,ВР 20'!F530</f>
        <v>9775.400000000001</v>
      </c>
    </row>
    <row r="176" spans="1:7" s="252" customFormat="1" ht="31.5">
      <c r="A176" s="30" t="s">
        <v>420</v>
      </c>
      <c r="B176" s="20" t="s">
        <v>1073</v>
      </c>
      <c r="C176" s="41" t="s">
        <v>281</v>
      </c>
      <c r="D176" s="41" t="s">
        <v>230</v>
      </c>
      <c r="E176" s="41" t="s">
        <v>292</v>
      </c>
      <c r="F176" s="41" t="s">
        <v>654</v>
      </c>
      <c r="G176" s="10">
        <f>G175</f>
        <v>9775.400000000001</v>
      </c>
    </row>
    <row r="177" spans="1:7" s="252" customFormat="1" ht="47.25">
      <c r="A177" s="25" t="s">
        <v>1077</v>
      </c>
      <c r="B177" s="20" t="s">
        <v>1074</v>
      </c>
      <c r="C177" s="41" t="s">
        <v>281</v>
      </c>
      <c r="D177" s="41" t="s">
        <v>230</v>
      </c>
      <c r="E177" s="41"/>
      <c r="F177" s="41"/>
      <c r="G177" s="6">
        <f>G178</f>
        <v>13351.7</v>
      </c>
    </row>
    <row r="178" spans="1:7" s="252" customFormat="1" ht="31.5">
      <c r="A178" s="25" t="s">
        <v>289</v>
      </c>
      <c r="B178" s="20" t="s">
        <v>1074</v>
      </c>
      <c r="C178" s="41" t="s">
        <v>281</v>
      </c>
      <c r="D178" s="41" t="s">
        <v>230</v>
      </c>
      <c r="E178" s="41" t="s">
        <v>290</v>
      </c>
      <c r="F178" s="41"/>
      <c r="G178" s="6">
        <f>G179</f>
        <v>13351.7</v>
      </c>
    </row>
    <row r="179" spans="1:7" s="252" customFormat="1" ht="15.75">
      <c r="A179" s="25" t="s">
        <v>291</v>
      </c>
      <c r="B179" s="20" t="s">
        <v>1074</v>
      </c>
      <c r="C179" s="41" t="s">
        <v>281</v>
      </c>
      <c r="D179" s="41" t="s">
        <v>230</v>
      </c>
      <c r="E179" s="41" t="s">
        <v>292</v>
      </c>
      <c r="F179" s="41"/>
      <c r="G179" s="6">
        <f>'Пр.5 Рд,пр, ЦС,ВР 20'!F533</f>
        <v>13351.7</v>
      </c>
    </row>
    <row r="180" spans="1:7" s="252" customFormat="1" ht="31.5">
      <c r="A180" s="30" t="s">
        <v>420</v>
      </c>
      <c r="B180" s="20" t="s">
        <v>1074</v>
      </c>
      <c r="C180" s="41" t="s">
        <v>281</v>
      </c>
      <c r="D180" s="41" t="s">
        <v>230</v>
      </c>
      <c r="E180" s="41" t="s">
        <v>292</v>
      </c>
      <c r="F180" s="41" t="s">
        <v>654</v>
      </c>
      <c r="G180" s="10">
        <f>G179</f>
        <v>13351.7</v>
      </c>
    </row>
    <row r="181" spans="1:7" s="252" customFormat="1" ht="47.25">
      <c r="A181" s="25" t="s">
        <v>1078</v>
      </c>
      <c r="B181" s="20" t="s">
        <v>1075</v>
      </c>
      <c r="C181" s="41" t="s">
        <v>281</v>
      </c>
      <c r="D181" s="41" t="s">
        <v>230</v>
      </c>
      <c r="E181" s="41"/>
      <c r="F181" s="41"/>
      <c r="G181" s="6">
        <f>G182</f>
        <v>6675.9</v>
      </c>
    </row>
    <row r="182" spans="1:7" s="252" customFormat="1" ht="31.5">
      <c r="A182" s="25" t="s">
        <v>289</v>
      </c>
      <c r="B182" s="20" t="s">
        <v>1075</v>
      </c>
      <c r="C182" s="41" t="s">
        <v>281</v>
      </c>
      <c r="D182" s="41" t="s">
        <v>230</v>
      </c>
      <c r="E182" s="41" t="s">
        <v>290</v>
      </c>
      <c r="F182" s="41"/>
      <c r="G182" s="6">
        <f>G183</f>
        <v>6675.9</v>
      </c>
    </row>
    <row r="183" spans="1:7" s="252" customFormat="1" ht="15.75">
      <c r="A183" s="25" t="s">
        <v>291</v>
      </c>
      <c r="B183" s="20" t="s">
        <v>1075</v>
      </c>
      <c r="C183" s="41" t="s">
        <v>281</v>
      </c>
      <c r="D183" s="41" t="s">
        <v>230</v>
      </c>
      <c r="E183" s="41" t="s">
        <v>292</v>
      </c>
      <c r="F183" s="41"/>
      <c r="G183" s="6">
        <f>'Пр.5 Рд,пр, ЦС,ВР 20'!F536</f>
        <v>6675.9</v>
      </c>
    </row>
    <row r="184" spans="1:7" s="252" customFormat="1" ht="31.5">
      <c r="A184" s="30" t="s">
        <v>420</v>
      </c>
      <c r="B184" s="20" t="s">
        <v>1075</v>
      </c>
      <c r="C184" s="41" t="s">
        <v>281</v>
      </c>
      <c r="D184" s="41" t="s">
        <v>230</v>
      </c>
      <c r="E184" s="41" t="s">
        <v>292</v>
      </c>
      <c r="F184" s="41" t="s">
        <v>654</v>
      </c>
      <c r="G184" s="10">
        <f>G183</f>
        <v>6675.9</v>
      </c>
    </row>
    <row r="185" spans="1:7" s="252" customFormat="1" ht="15.75">
      <c r="A185" s="30" t="s">
        <v>282</v>
      </c>
      <c r="B185" s="41" t="s">
        <v>1014</v>
      </c>
      <c r="C185" s="41" t="s">
        <v>281</v>
      </c>
      <c r="D185" s="41" t="s">
        <v>232</v>
      </c>
      <c r="E185" s="41"/>
      <c r="F185" s="41"/>
      <c r="G185" s="6">
        <f aca="true" t="shared" si="29" ref="G185">G186</f>
        <v>32614.999999999996</v>
      </c>
    </row>
    <row r="186" spans="1:7" s="252" customFormat="1" ht="47.25">
      <c r="A186" s="30" t="s">
        <v>287</v>
      </c>
      <c r="B186" s="20" t="s">
        <v>1059</v>
      </c>
      <c r="C186" s="41" t="s">
        <v>281</v>
      </c>
      <c r="D186" s="41" t="s">
        <v>232</v>
      </c>
      <c r="E186" s="7"/>
      <c r="F186" s="7"/>
      <c r="G186" s="10">
        <f aca="true" t="shared" si="30" ref="G186:G187">G187</f>
        <v>32614.999999999996</v>
      </c>
    </row>
    <row r="187" spans="1:7" s="252" customFormat="1" ht="31.5">
      <c r="A187" s="30" t="s">
        <v>289</v>
      </c>
      <c r="B187" s="20" t="s">
        <v>1059</v>
      </c>
      <c r="C187" s="41" t="s">
        <v>281</v>
      </c>
      <c r="D187" s="41" t="s">
        <v>232</v>
      </c>
      <c r="E187" s="41" t="s">
        <v>290</v>
      </c>
      <c r="F187" s="41"/>
      <c r="G187" s="10">
        <f t="shared" si="30"/>
        <v>32614.999999999996</v>
      </c>
    </row>
    <row r="188" spans="1:7" s="252" customFormat="1" ht="15.75">
      <c r="A188" s="30" t="s">
        <v>291</v>
      </c>
      <c r="B188" s="20" t="s">
        <v>1059</v>
      </c>
      <c r="C188" s="41" t="s">
        <v>281</v>
      </c>
      <c r="D188" s="41" t="s">
        <v>232</v>
      </c>
      <c r="E188" s="41" t="s">
        <v>292</v>
      </c>
      <c r="F188" s="41"/>
      <c r="G188" s="6">
        <f>'Пр.5 Рд,пр, ЦС,ВР 20'!F608</f>
        <v>32614.999999999996</v>
      </c>
    </row>
    <row r="189" spans="1:7" s="252" customFormat="1" ht="31.5">
      <c r="A189" s="30" t="s">
        <v>420</v>
      </c>
      <c r="B189" s="20" t="s">
        <v>1059</v>
      </c>
      <c r="C189" s="41" t="s">
        <v>281</v>
      </c>
      <c r="D189" s="41" t="s">
        <v>232</v>
      </c>
      <c r="E189" s="41" t="s">
        <v>292</v>
      </c>
      <c r="F189" s="41" t="s">
        <v>654</v>
      </c>
      <c r="G189" s="10">
        <f>G188</f>
        <v>32614.999999999996</v>
      </c>
    </row>
    <row r="190" spans="1:7" s="252" customFormat="1" ht="47.25">
      <c r="A190" s="23" t="s">
        <v>976</v>
      </c>
      <c r="B190" s="24" t="s">
        <v>1029</v>
      </c>
      <c r="C190" s="7"/>
      <c r="D190" s="7"/>
      <c r="E190" s="7"/>
      <c r="F190" s="7"/>
      <c r="G190" s="4">
        <f>G191</f>
        <v>174898.1</v>
      </c>
    </row>
    <row r="191" spans="1:7" s="252" customFormat="1" ht="15.75">
      <c r="A191" s="30" t="s">
        <v>280</v>
      </c>
      <c r="B191" s="41" t="s">
        <v>1029</v>
      </c>
      <c r="C191" s="41" t="s">
        <v>281</v>
      </c>
      <c r="D191" s="41"/>
      <c r="E191" s="41"/>
      <c r="F191" s="41"/>
      <c r="G191" s="10">
        <f>G192+G209+G230</f>
        <v>174898.1</v>
      </c>
    </row>
    <row r="192" spans="1:7" s="252" customFormat="1" ht="15.75">
      <c r="A192" s="46" t="s">
        <v>421</v>
      </c>
      <c r="B192" s="41" t="s">
        <v>1029</v>
      </c>
      <c r="C192" s="41" t="s">
        <v>281</v>
      </c>
      <c r="D192" s="41" t="s">
        <v>135</v>
      </c>
      <c r="E192" s="41"/>
      <c r="F192" s="41"/>
      <c r="G192" s="10">
        <f>G193+G197+G201+G205</f>
        <v>73039.4</v>
      </c>
    </row>
    <row r="193" spans="1:7" s="252" customFormat="1" ht="63">
      <c r="A193" s="32" t="s">
        <v>306</v>
      </c>
      <c r="B193" s="20" t="s">
        <v>1028</v>
      </c>
      <c r="C193" s="41" t="s">
        <v>281</v>
      </c>
      <c r="D193" s="41" t="s">
        <v>135</v>
      </c>
      <c r="E193" s="41"/>
      <c r="F193" s="41"/>
      <c r="G193" s="6">
        <f>G194</f>
        <v>363.7</v>
      </c>
    </row>
    <row r="194" spans="1:7" s="252" customFormat="1" ht="31.5">
      <c r="A194" s="25" t="s">
        <v>289</v>
      </c>
      <c r="B194" s="20" t="s">
        <v>1028</v>
      </c>
      <c r="C194" s="41" t="s">
        <v>281</v>
      </c>
      <c r="D194" s="41" t="s">
        <v>135</v>
      </c>
      <c r="E194" s="41" t="s">
        <v>290</v>
      </c>
      <c r="F194" s="41"/>
      <c r="G194" s="6">
        <f>G195</f>
        <v>363.7</v>
      </c>
    </row>
    <row r="195" spans="1:7" s="252" customFormat="1" ht="15.75">
      <c r="A195" s="25" t="s">
        <v>291</v>
      </c>
      <c r="B195" s="20" t="s">
        <v>1028</v>
      </c>
      <c r="C195" s="41" t="s">
        <v>281</v>
      </c>
      <c r="D195" s="41" t="s">
        <v>135</v>
      </c>
      <c r="E195" s="41" t="s">
        <v>292</v>
      </c>
      <c r="F195" s="41"/>
      <c r="G195" s="6">
        <f>'Пр.5 Рд,пр, ЦС,ВР 20'!F476</f>
        <v>363.7</v>
      </c>
    </row>
    <row r="196" spans="1:7" s="252" customFormat="1" ht="31.5">
      <c r="A196" s="30" t="s">
        <v>420</v>
      </c>
      <c r="B196" s="20" t="s">
        <v>1028</v>
      </c>
      <c r="C196" s="41" t="s">
        <v>281</v>
      </c>
      <c r="D196" s="41" t="s">
        <v>135</v>
      </c>
      <c r="E196" s="41" t="s">
        <v>292</v>
      </c>
      <c r="F196" s="41" t="s">
        <v>654</v>
      </c>
      <c r="G196" s="10">
        <f>G195</f>
        <v>363.7</v>
      </c>
    </row>
    <row r="197" spans="1:7" s="252" customFormat="1" ht="63">
      <c r="A197" s="32" t="s">
        <v>437</v>
      </c>
      <c r="B197" s="20" t="s">
        <v>1031</v>
      </c>
      <c r="C197" s="41" t="s">
        <v>281</v>
      </c>
      <c r="D197" s="41" t="s">
        <v>135</v>
      </c>
      <c r="E197" s="41"/>
      <c r="F197" s="41"/>
      <c r="G197" s="6">
        <f>G198</f>
        <v>1755.8</v>
      </c>
    </row>
    <row r="198" spans="1:7" s="252" customFormat="1" ht="31.5">
      <c r="A198" s="25" t="s">
        <v>289</v>
      </c>
      <c r="B198" s="20" t="s">
        <v>1031</v>
      </c>
      <c r="C198" s="41" t="s">
        <v>281</v>
      </c>
      <c r="D198" s="41" t="s">
        <v>135</v>
      </c>
      <c r="E198" s="41" t="s">
        <v>290</v>
      </c>
      <c r="F198" s="41"/>
      <c r="G198" s="6">
        <f>G199</f>
        <v>1755.8</v>
      </c>
    </row>
    <row r="199" spans="1:7" s="252" customFormat="1" ht="15.75">
      <c r="A199" s="25" t="s">
        <v>291</v>
      </c>
      <c r="B199" s="20" t="s">
        <v>1031</v>
      </c>
      <c r="C199" s="41" t="s">
        <v>281</v>
      </c>
      <c r="D199" s="41" t="s">
        <v>135</v>
      </c>
      <c r="E199" s="41" t="s">
        <v>292</v>
      </c>
      <c r="F199" s="41"/>
      <c r="G199" s="6">
        <f>'Пр.5 Рд,пр, ЦС,ВР 20'!F479</f>
        <v>1755.8</v>
      </c>
    </row>
    <row r="200" spans="1:7" s="252" customFormat="1" ht="31.5">
      <c r="A200" s="30" t="s">
        <v>420</v>
      </c>
      <c r="B200" s="20" t="s">
        <v>1031</v>
      </c>
      <c r="C200" s="41" t="s">
        <v>281</v>
      </c>
      <c r="D200" s="41" t="s">
        <v>135</v>
      </c>
      <c r="E200" s="41" t="s">
        <v>292</v>
      </c>
      <c r="F200" s="41" t="s">
        <v>654</v>
      </c>
      <c r="G200" s="10">
        <f>G199</f>
        <v>1755.8</v>
      </c>
    </row>
    <row r="201" spans="1:7" s="252" customFormat="1" ht="94.5">
      <c r="A201" s="32" t="s">
        <v>438</v>
      </c>
      <c r="B201" s="20" t="s">
        <v>1030</v>
      </c>
      <c r="C201" s="41" t="s">
        <v>281</v>
      </c>
      <c r="D201" s="41" t="s">
        <v>135</v>
      </c>
      <c r="E201" s="41"/>
      <c r="F201" s="41"/>
      <c r="G201" s="6">
        <f>G202</f>
        <v>68207.5</v>
      </c>
    </row>
    <row r="202" spans="1:7" s="252" customFormat="1" ht="31.5">
      <c r="A202" s="25" t="s">
        <v>289</v>
      </c>
      <c r="B202" s="20" t="s">
        <v>1030</v>
      </c>
      <c r="C202" s="41" t="s">
        <v>281</v>
      </c>
      <c r="D202" s="41" t="s">
        <v>135</v>
      </c>
      <c r="E202" s="41" t="s">
        <v>290</v>
      </c>
      <c r="F202" s="41"/>
      <c r="G202" s="6">
        <f>G203</f>
        <v>68207.5</v>
      </c>
    </row>
    <row r="203" spans="1:7" s="252" customFormat="1" ht="15.75">
      <c r="A203" s="25" t="s">
        <v>291</v>
      </c>
      <c r="B203" s="20" t="s">
        <v>1030</v>
      </c>
      <c r="C203" s="41" t="s">
        <v>281</v>
      </c>
      <c r="D203" s="41" t="s">
        <v>135</v>
      </c>
      <c r="E203" s="41" t="s">
        <v>292</v>
      </c>
      <c r="F203" s="41"/>
      <c r="G203" s="6">
        <f>'Пр.5 Рд,пр, ЦС,ВР 20'!F482</f>
        <v>68207.5</v>
      </c>
    </row>
    <row r="204" spans="1:7" s="252" customFormat="1" ht="31.5">
      <c r="A204" s="30" t="s">
        <v>420</v>
      </c>
      <c r="B204" s="20" t="s">
        <v>1030</v>
      </c>
      <c r="C204" s="41" t="s">
        <v>281</v>
      </c>
      <c r="D204" s="41" t="s">
        <v>135</v>
      </c>
      <c r="E204" s="41" t="s">
        <v>292</v>
      </c>
      <c r="F204" s="41" t="s">
        <v>654</v>
      </c>
      <c r="G204" s="10">
        <f>G203</f>
        <v>68207.5</v>
      </c>
    </row>
    <row r="205" spans="1:7" s="252" customFormat="1" ht="94.5">
      <c r="A205" s="32" t="s">
        <v>310</v>
      </c>
      <c r="B205" s="20" t="s">
        <v>1032</v>
      </c>
      <c r="C205" s="41" t="s">
        <v>281</v>
      </c>
      <c r="D205" s="41" t="s">
        <v>135</v>
      </c>
      <c r="E205" s="41"/>
      <c r="F205" s="41"/>
      <c r="G205" s="6">
        <f>G206</f>
        <v>2712.4</v>
      </c>
    </row>
    <row r="206" spans="1:7" s="252" customFormat="1" ht="31.5">
      <c r="A206" s="25" t="s">
        <v>289</v>
      </c>
      <c r="B206" s="20" t="s">
        <v>1032</v>
      </c>
      <c r="C206" s="41" t="s">
        <v>281</v>
      </c>
      <c r="D206" s="41" t="s">
        <v>135</v>
      </c>
      <c r="E206" s="41" t="s">
        <v>290</v>
      </c>
      <c r="F206" s="41"/>
      <c r="G206" s="6">
        <f>G207</f>
        <v>2712.4</v>
      </c>
    </row>
    <row r="207" spans="1:7" s="252" customFormat="1" ht="15.75">
      <c r="A207" s="25" t="s">
        <v>291</v>
      </c>
      <c r="B207" s="20" t="s">
        <v>1032</v>
      </c>
      <c r="C207" s="41" t="s">
        <v>281</v>
      </c>
      <c r="D207" s="41" t="s">
        <v>135</v>
      </c>
      <c r="E207" s="41" t="s">
        <v>292</v>
      </c>
      <c r="F207" s="41"/>
      <c r="G207" s="6">
        <f>'Пр.5 Рд,пр, ЦС,ВР 20'!F485</f>
        <v>2712.4</v>
      </c>
    </row>
    <row r="208" spans="1:7" s="252" customFormat="1" ht="31.5">
      <c r="A208" s="30" t="s">
        <v>420</v>
      </c>
      <c r="B208" s="20" t="s">
        <v>1030</v>
      </c>
      <c r="C208" s="41" t="s">
        <v>281</v>
      </c>
      <c r="D208" s="41" t="s">
        <v>135</v>
      </c>
      <c r="E208" s="41" t="s">
        <v>292</v>
      </c>
      <c r="F208" s="41" t="s">
        <v>654</v>
      </c>
      <c r="G208" s="10">
        <f>G207</f>
        <v>2712.4</v>
      </c>
    </row>
    <row r="209" spans="1:7" ht="15.75">
      <c r="A209" s="30" t="s">
        <v>442</v>
      </c>
      <c r="B209" s="41" t="s">
        <v>1029</v>
      </c>
      <c r="C209" s="41" t="s">
        <v>281</v>
      </c>
      <c r="D209" s="41" t="s">
        <v>230</v>
      </c>
      <c r="E209" s="41"/>
      <c r="F209" s="41"/>
      <c r="G209" s="10">
        <f>G210+G214+G218+G222+G226</f>
        <v>100316.3</v>
      </c>
    </row>
    <row r="210" spans="1:7" s="252" customFormat="1" ht="78.75">
      <c r="A210" s="32" t="s">
        <v>477</v>
      </c>
      <c r="B210" s="20" t="s">
        <v>1057</v>
      </c>
      <c r="C210" s="41" t="s">
        <v>281</v>
      </c>
      <c r="D210" s="41" t="s">
        <v>230</v>
      </c>
      <c r="E210" s="41"/>
      <c r="F210" s="41"/>
      <c r="G210" s="6">
        <f>G211</f>
        <v>91447.9</v>
      </c>
    </row>
    <row r="211" spans="1:7" s="252" customFormat="1" ht="31.5">
      <c r="A211" s="25" t="s">
        <v>289</v>
      </c>
      <c r="B211" s="20" t="s">
        <v>1057</v>
      </c>
      <c r="C211" s="41" t="s">
        <v>281</v>
      </c>
      <c r="D211" s="41" t="s">
        <v>230</v>
      </c>
      <c r="E211" s="41" t="s">
        <v>290</v>
      </c>
      <c r="F211" s="41"/>
      <c r="G211" s="6">
        <f>G212</f>
        <v>91447.9</v>
      </c>
    </row>
    <row r="212" spans="1:7" s="252" customFormat="1" ht="15.75">
      <c r="A212" s="25" t="s">
        <v>291</v>
      </c>
      <c r="B212" s="20" t="s">
        <v>1057</v>
      </c>
      <c r="C212" s="41" t="s">
        <v>281</v>
      </c>
      <c r="D212" s="41" t="s">
        <v>230</v>
      </c>
      <c r="E212" s="41" t="s">
        <v>292</v>
      </c>
      <c r="F212" s="41"/>
      <c r="G212" s="6">
        <f>'Пр.5 Рд,пр, ЦС,ВР 20'!F540</f>
        <v>91447.9</v>
      </c>
    </row>
    <row r="213" spans="1:7" s="252" customFormat="1" ht="31.5">
      <c r="A213" s="30" t="s">
        <v>420</v>
      </c>
      <c r="B213" s="20" t="s">
        <v>1057</v>
      </c>
      <c r="C213" s="41" t="s">
        <v>281</v>
      </c>
      <c r="D213" s="41" t="s">
        <v>230</v>
      </c>
      <c r="E213" s="41" t="s">
        <v>292</v>
      </c>
      <c r="F213" s="41" t="s">
        <v>654</v>
      </c>
      <c r="G213" s="10">
        <f>G212</f>
        <v>91447.9</v>
      </c>
    </row>
    <row r="214" spans="1:7" s="252" customFormat="1" ht="63">
      <c r="A214" s="32" t="s">
        <v>306</v>
      </c>
      <c r="B214" s="20" t="s">
        <v>1028</v>
      </c>
      <c r="C214" s="41" t="s">
        <v>281</v>
      </c>
      <c r="D214" s="41" t="s">
        <v>230</v>
      </c>
      <c r="E214" s="41"/>
      <c r="F214" s="41"/>
      <c r="G214" s="6">
        <f>G215</f>
        <v>809.4</v>
      </c>
    </row>
    <row r="215" spans="1:7" s="252" customFormat="1" ht="31.5">
      <c r="A215" s="25" t="s">
        <v>289</v>
      </c>
      <c r="B215" s="20" t="s">
        <v>1028</v>
      </c>
      <c r="C215" s="41" t="s">
        <v>281</v>
      </c>
      <c r="D215" s="41" t="s">
        <v>230</v>
      </c>
      <c r="E215" s="41" t="s">
        <v>290</v>
      </c>
      <c r="F215" s="41"/>
      <c r="G215" s="6">
        <f>G216</f>
        <v>809.4</v>
      </c>
    </row>
    <row r="216" spans="1:7" s="252" customFormat="1" ht="15.75">
      <c r="A216" s="25" t="s">
        <v>291</v>
      </c>
      <c r="B216" s="20" t="s">
        <v>1028</v>
      </c>
      <c r="C216" s="41" t="s">
        <v>281</v>
      </c>
      <c r="D216" s="41" t="s">
        <v>230</v>
      </c>
      <c r="E216" s="41" t="s">
        <v>292</v>
      </c>
      <c r="F216" s="41"/>
      <c r="G216" s="6">
        <f>'Пр.5 Рд,пр, ЦС,ВР 20'!F543</f>
        <v>809.4</v>
      </c>
    </row>
    <row r="217" spans="1:7" s="252" customFormat="1" ht="31.5">
      <c r="A217" s="30" t="s">
        <v>420</v>
      </c>
      <c r="B217" s="20" t="s">
        <v>1028</v>
      </c>
      <c r="C217" s="41" t="s">
        <v>281</v>
      </c>
      <c r="D217" s="41" t="s">
        <v>230</v>
      </c>
      <c r="E217" s="41" t="s">
        <v>292</v>
      </c>
      <c r="F217" s="41" t="s">
        <v>654</v>
      </c>
      <c r="G217" s="10">
        <f>G216</f>
        <v>809.4</v>
      </c>
    </row>
    <row r="218" spans="1:7" s="252" customFormat="1" ht="63">
      <c r="A218" s="32" t="s">
        <v>308</v>
      </c>
      <c r="B218" s="20" t="s">
        <v>1031</v>
      </c>
      <c r="C218" s="41" t="s">
        <v>281</v>
      </c>
      <c r="D218" s="41" t="s">
        <v>230</v>
      </c>
      <c r="E218" s="41"/>
      <c r="F218" s="41"/>
      <c r="G218" s="6">
        <f>G219</f>
        <v>2442.6</v>
      </c>
    </row>
    <row r="219" spans="1:7" s="252" customFormat="1" ht="31.5">
      <c r="A219" s="25" t="s">
        <v>289</v>
      </c>
      <c r="B219" s="20" t="s">
        <v>1031</v>
      </c>
      <c r="C219" s="41" t="s">
        <v>281</v>
      </c>
      <c r="D219" s="41" t="s">
        <v>230</v>
      </c>
      <c r="E219" s="41" t="s">
        <v>290</v>
      </c>
      <c r="F219" s="41"/>
      <c r="G219" s="6">
        <f>G220</f>
        <v>2442.6</v>
      </c>
    </row>
    <row r="220" spans="1:7" s="252" customFormat="1" ht="15.75">
      <c r="A220" s="25" t="s">
        <v>291</v>
      </c>
      <c r="B220" s="20" t="s">
        <v>1031</v>
      </c>
      <c r="C220" s="41" t="s">
        <v>281</v>
      </c>
      <c r="D220" s="41" t="s">
        <v>230</v>
      </c>
      <c r="E220" s="41" t="s">
        <v>292</v>
      </c>
      <c r="F220" s="41"/>
      <c r="G220" s="6">
        <f>'Пр.5 Рд,пр, ЦС,ВР 20'!F546</f>
        <v>2442.6</v>
      </c>
    </row>
    <row r="221" spans="1:7" s="252" customFormat="1" ht="31.5">
      <c r="A221" s="30" t="s">
        <v>420</v>
      </c>
      <c r="B221" s="20" t="s">
        <v>1031</v>
      </c>
      <c r="C221" s="41" t="s">
        <v>281</v>
      </c>
      <c r="D221" s="41" t="s">
        <v>230</v>
      </c>
      <c r="E221" s="41" t="s">
        <v>292</v>
      </c>
      <c r="F221" s="41" t="s">
        <v>654</v>
      </c>
      <c r="G221" s="10">
        <f>G220</f>
        <v>2442.6</v>
      </c>
    </row>
    <row r="222" spans="1:7" s="252" customFormat="1" ht="47.25">
      <c r="A222" s="32" t="s">
        <v>479</v>
      </c>
      <c r="B222" s="20" t="s">
        <v>1058</v>
      </c>
      <c r="C222" s="41" t="s">
        <v>281</v>
      </c>
      <c r="D222" s="41" t="s">
        <v>230</v>
      </c>
      <c r="E222" s="41"/>
      <c r="F222" s="41"/>
      <c r="G222" s="6">
        <f>G223</f>
        <v>946.8</v>
      </c>
    </row>
    <row r="223" spans="1:7" s="252" customFormat="1" ht="31.5">
      <c r="A223" s="25" t="s">
        <v>289</v>
      </c>
      <c r="B223" s="20" t="s">
        <v>1058</v>
      </c>
      <c r="C223" s="41" t="s">
        <v>281</v>
      </c>
      <c r="D223" s="41" t="s">
        <v>230</v>
      </c>
      <c r="E223" s="41" t="s">
        <v>290</v>
      </c>
      <c r="F223" s="41"/>
      <c r="G223" s="6">
        <f>G224</f>
        <v>946.8</v>
      </c>
    </row>
    <row r="224" spans="1:7" s="252" customFormat="1" ht="15.75">
      <c r="A224" s="25" t="s">
        <v>291</v>
      </c>
      <c r="B224" s="20" t="s">
        <v>1058</v>
      </c>
      <c r="C224" s="41" t="s">
        <v>281</v>
      </c>
      <c r="D224" s="41" t="s">
        <v>230</v>
      </c>
      <c r="E224" s="41" t="s">
        <v>292</v>
      </c>
      <c r="F224" s="41"/>
      <c r="G224" s="6">
        <f>'Пр.5 Рд,пр, ЦС,ВР 20'!F549</f>
        <v>946.8</v>
      </c>
    </row>
    <row r="225" spans="1:7" s="252" customFormat="1" ht="31.5">
      <c r="A225" s="30" t="s">
        <v>420</v>
      </c>
      <c r="B225" s="20" t="s">
        <v>1058</v>
      </c>
      <c r="C225" s="41" t="s">
        <v>281</v>
      </c>
      <c r="D225" s="41" t="s">
        <v>230</v>
      </c>
      <c r="E225" s="41" t="s">
        <v>292</v>
      </c>
      <c r="F225" s="41" t="s">
        <v>654</v>
      </c>
      <c r="G225" s="10">
        <f>G224</f>
        <v>946.8</v>
      </c>
    </row>
    <row r="226" spans="1:7" s="252" customFormat="1" ht="94.5">
      <c r="A226" s="32" t="s">
        <v>481</v>
      </c>
      <c r="B226" s="20" t="s">
        <v>1032</v>
      </c>
      <c r="C226" s="41" t="s">
        <v>281</v>
      </c>
      <c r="D226" s="41" t="s">
        <v>230</v>
      </c>
      <c r="E226" s="41"/>
      <c r="F226" s="41"/>
      <c r="G226" s="6">
        <f>G227</f>
        <v>4669.6</v>
      </c>
    </row>
    <row r="227" spans="1:7" s="252" customFormat="1" ht="31.5">
      <c r="A227" s="25" t="s">
        <v>289</v>
      </c>
      <c r="B227" s="20" t="s">
        <v>1032</v>
      </c>
      <c r="C227" s="41" t="s">
        <v>281</v>
      </c>
      <c r="D227" s="41" t="s">
        <v>230</v>
      </c>
      <c r="E227" s="41" t="s">
        <v>290</v>
      </c>
      <c r="F227" s="41"/>
      <c r="G227" s="6">
        <f>G228</f>
        <v>4669.6</v>
      </c>
    </row>
    <row r="228" spans="1:7" s="252" customFormat="1" ht="15.75">
      <c r="A228" s="25" t="s">
        <v>291</v>
      </c>
      <c r="B228" s="20" t="s">
        <v>1032</v>
      </c>
      <c r="C228" s="41" t="s">
        <v>281</v>
      </c>
      <c r="D228" s="41" t="s">
        <v>230</v>
      </c>
      <c r="E228" s="41" t="s">
        <v>292</v>
      </c>
      <c r="F228" s="41"/>
      <c r="G228" s="6">
        <f>'Пр.5 Рд,пр, ЦС,ВР 20'!F552</f>
        <v>4669.6</v>
      </c>
    </row>
    <row r="229" spans="1:7" s="252" customFormat="1" ht="31.5">
      <c r="A229" s="30" t="s">
        <v>420</v>
      </c>
      <c r="B229" s="20" t="s">
        <v>1032</v>
      </c>
      <c r="C229" s="41" t="s">
        <v>281</v>
      </c>
      <c r="D229" s="41" t="s">
        <v>230</v>
      </c>
      <c r="E229" s="41" t="s">
        <v>292</v>
      </c>
      <c r="F229" s="41" t="s">
        <v>654</v>
      </c>
      <c r="G229" s="10">
        <f>G228</f>
        <v>4669.6</v>
      </c>
    </row>
    <row r="230" spans="1:7" ht="15.75">
      <c r="A230" s="30" t="s">
        <v>282</v>
      </c>
      <c r="B230" s="41" t="s">
        <v>1029</v>
      </c>
      <c r="C230" s="41" t="s">
        <v>281</v>
      </c>
      <c r="D230" s="41" t="s">
        <v>232</v>
      </c>
      <c r="E230" s="41"/>
      <c r="F230" s="41"/>
      <c r="G230" s="6">
        <f>G231+G235+G239</f>
        <v>1542.4</v>
      </c>
    </row>
    <row r="231" spans="1:7" s="252" customFormat="1" ht="63">
      <c r="A231" s="32" t="s">
        <v>306</v>
      </c>
      <c r="B231" s="20" t="s">
        <v>1028</v>
      </c>
      <c r="C231" s="41" t="s">
        <v>281</v>
      </c>
      <c r="D231" s="41" t="s">
        <v>232</v>
      </c>
      <c r="E231" s="41"/>
      <c r="F231" s="41"/>
      <c r="G231" s="6">
        <f>G232</f>
        <v>110</v>
      </c>
    </row>
    <row r="232" spans="1:7" s="252" customFormat="1" ht="31.5">
      <c r="A232" s="25" t="s">
        <v>289</v>
      </c>
      <c r="B232" s="20" t="s">
        <v>1028</v>
      </c>
      <c r="C232" s="41" t="s">
        <v>281</v>
      </c>
      <c r="D232" s="41" t="s">
        <v>232</v>
      </c>
      <c r="E232" s="41" t="s">
        <v>290</v>
      </c>
      <c r="F232" s="41"/>
      <c r="G232" s="6">
        <f>G233</f>
        <v>110</v>
      </c>
    </row>
    <row r="233" spans="1:7" s="252" customFormat="1" ht="15.75">
      <c r="A233" s="25" t="s">
        <v>291</v>
      </c>
      <c r="B233" s="20" t="s">
        <v>1028</v>
      </c>
      <c r="C233" s="41" t="s">
        <v>281</v>
      </c>
      <c r="D233" s="41" t="s">
        <v>232</v>
      </c>
      <c r="E233" s="41" t="s">
        <v>292</v>
      </c>
      <c r="F233" s="41"/>
      <c r="G233" s="6">
        <f>'Пр.6 ведом.20'!G647</f>
        <v>110</v>
      </c>
    </row>
    <row r="234" spans="1:7" s="252" customFormat="1" ht="31.5">
      <c r="A234" s="30" t="s">
        <v>420</v>
      </c>
      <c r="B234" s="20" t="s">
        <v>1028</v>
      </c>
      <c r="C234" s="41" t="s">
        <v>281</v>
      </c>
      <c r="D234" s="41" t="s">
        <v>232</v>
      </c>
      <c r="E234" s="41" t="s">
        <v>292</v>
      </c>
      <c r="F234" s="41" t="s">
        <v>654</v>
      </c>
      <c r="G234" s="10">
        <f>G233</f>
        <v>110</v>
      </c>
    </row>
    <row r="235" spans="1:7" s="252" customFormat="1" ht="63">
      <c r="A235" s="32" t="s">
        <v>308</v>
      </c>
      <c r="B235" s="20" t="s">
        <v>1031</v>
      </c>
      <c r="C235" s="41" t="s">
        <v>281</v>
      </c>
      <c r="D235" s="41" t="s">
        <v>232</v>
      </c>
      <c r="E235" s="41"/>
      <c r="F235" s="41"/>
      <c r="G235" s="6">
        <f>G236</f>
        <v>592.1</v>
      </c>
    </row>
    <row r="236" spans="1:7" s="252" customFormat="1" ht="31.5">
      <c r="A236" s="25" t="s">
        <v>289</v>
      </c>
      <c r="B236" s="20" t="s">
        <v>1031</v>
      </c>
      <c r="C236" s="41" t="s">
        <v>281</v>
      </c>
      <c r="D236" s="41" t="s">
        <v>232</v>
      </c>
      <c r="E236" s="41" t="s">
        <v>290</v>
      </c>
      <c r="F236" s="41"/>
      <c r="G236" s="6">
        <f>G237</f>
        <v>592.1</v>
      </c>
    </row>
    <row r="237" spans="1:7" s="252" customFormat="1" ht="15.75">
      <c r="A237" s="25" t="s">
        <v>291</v>
      </c>
      <c r="B237" s="20" t="s">
        <v>1031</v>
      </c>
      <c r="C237" s="41" t="s">
        <v>281</v>
      </c>
      <c r="D237" s="41" t="s">
        <v>232</v>
      </c>
      <c r="E237" s="41" t="s">
        <v>292</v>
      </c>
      <c r="F237" s="41"/>
      <c r="G237" s="6">
        <f>'Пр.6 ведом.20'!G650</f>
        <v>592.1</v>
      </c>
    </row>
    <row r="238" spans="1:7" s="252" customFormat="1" ht="31.5">
      <c r="A238" s="30" t="s">
        <v>420</v>
      </c>
      <c r="B238" s="20" t="s">
        <v>1031</v>
      </c>
      <c r="C238" s="41" t="s">
        <v>281</v>
      </c>
      <c r="D238" s="41" t="s">
        <v>232</v>
      </c>
      <c r="E238" s="41" t="s">
        <v>292</v>
      </c>
      <c r="F238" s="41" t="s">
        <v>654</v>
      </c>
      <c r="G238" s="10">
        <f>G237</f>
        <v>592.1</v>
      </c>
    </row>
    <row r="239" spans="1:7" s="252" customFormat="1" ht="94.5">
      <c r="A239" s="32" t="s">
        <v>310</v>
      </c>
      <c r="B239" s="20" t="s">
        <v>1032</v>
      </c>
      <c r="C239" s="41" t="s">
        <v>281</v>
      </c>
      <c r="D239" s="41" t="s">
        <v>232</v>
      </c>
      <c r="E239" s="41"/>
      <c r="F239" s="41"/>
      <c r="G239" s="6">
        <f>G240</f>
        <v>840.3</v>
      </c>
    </row>
    <row r="240" spans="1:7" s="252" customFormat="1" ht="31.5">
      <c r="A240" s="25" t="s">
        <v>289</v>
      </c>
      <c r="B240" s="20" t="s">
        <v>1032</v>
      </c>
      <c r="C240" s="41" t="s">
        <v>281</v>
      </c>
      <c r="D240" s="41" t="s">
        <v>232</v>
      </c>
      <c r="E240" s="41" t="s">
        <v>290</v>
      </c>
      <c r="F240" s="41"/>
      <c r="G240" s="6">
        <f>G241</f>
        <v>840.3</v>
      </c>
    </row>
    <row r="241" spans="1:7" s="252" customFormat="1" ht="15.75">
      <c r="A241" s="25" t="s">
        <v>291</v>
      </c>
      <c r="B241" s="20" t="s">
        <v>1032</v>
      </c>
      <c r="C241" s="41" t="s">
        <v>281</v>
      </c>
      <c r="D241" s="41" t="s">
        <v>232</v>
      </c>
      <c r="E241" s="41" t="s">
        <v>292</v>
      </c>
      <c r="F241" s="41"/>
      <c r="G241" s="6">
        <f>'Пр.6 ведом.20'!G652</f>
        <v>840.3</v>
      </c>
    </row>
    <row r="242" spans="1:7" s="252" customFormat="1" ht="31.5">
      <c r="A242" s="30" t="s">
        <v>420</v>
      </c>
      <c r="B242" s="20" t="s">
        <v>1032</v>
      </c>
      <c r="C242" s="41" t="s">
        <v>281</v>
      </c>
      <c r="D242" s="41" t="s">
        <v>232</v>
      </c>
      <c r="E242" s="41" t="s">
        <v>292</v>
      </c>
      <c r="F242" s="41" t="s">
        <v>654</v>
      </c>
      <c r="G242" s="10">
        <f>G241</f>
        <v>840.3</v>
      </c>
    </row>
    <row r="243" spans="1:7" ht="31.5">
      <c r="A243" s="42" t="s">
        <v>428</v>
      </c>
      <c r="B243" s="7" t="s">
        <v>429</v>
      </c>
      <c r="C243" s="7"/>
      <c r="D243" s="7"/>
      <c r="E243" s="7"/>
      <c r="F243" s="7"/>
      <c r="G243" s="62">
        <f>G244+G259+G274</f>
        <v>9675.3</v>
      </c>
    </row>
    <row r="244" spans="1:7" s="252" customFormat="1" ht="31.5">
      <c r="A244" s="23" t="s">
        <v>1015</v>
      </c>
      <c r="B244" s="24" t="s">
        <v>1016</v>
      </c>
      <c r="C244" s="7"/>
      <c r="D244" s="7"/>
      <c r="E244" s="7"/>
      <c r="F244" s="7"/>
      <c r="G244" s="62">
        <f>G245</f>
        <v>5170</v>
      </c>
    </row>
    <row r="245" spans="1:7" ht="15.75">
      <c r="A245" s="30" t="s">
        <v>280</v>
      </c>
      <c r="B245" s="41" t="s">
        <v>1016</v>
      </c>
      <c r="C245" s="41" t="s">
        <v>281</v>
      </c>
      <c r="D245" s="41"/>
      <c r="E245" s="41"/>
      <c r="F245" s="41"/>
      <c r="G245" s="10">
        <f aca="true" t="shared" si="31" ref="G245">G246</f>
        <v>5170</v>
      </c>
    </row>
    <row r="246" spans="1:7" ht="15.75">
      <c r="A246" s="46" t="s">
        <v>421</v>
      </c>
      <c r="B246" s="41" t="s">
        <v>1016</v>
      </c>
      <c r="C246" s="41" t="s">
        <v>281</v>
      </c>
      <c r="D246" s="41" t="s">
        <v>135</v>
      </c>
      <c r="E246" s="41"/>
      <c r="F246" s="41"/>
      <c r="G246" s="10">
        <f>G247+G251+G255</f>
        <v>5170</v>
      </c>
    </row>
    <row r="247" spans="1:7" ht="31.5" hidden="1">
      <c r="A247" s="30" t="s">
        <v>295</v>
      </c>
      <c r="B247" s="20" t="s">
        <v>1017</v>
      </c>
      <c r="C247" s="41" t="s">
        <v>281</v>
      </c>
      <c r="D247" s="41" t="s">
        <v>135</v>
      </c>
      <c r="E247" s="41"/>
      <c r="F247" s="41"/>
      <c r="G247" s="10">
        <f aca="true" t="shared" si="32" ref="G247:G248">G248</f>
        <v>0</v>
      </c>
    </row>
    <row r="248" spans="1:7" ht="31.5" hidden="1">
      <c r="A248" s="30" t="s">
        <v>289</v>
      </c>
      <c r="B248" s="20" t="s">
        <v>1017</v>
      </c>
      <c r="C248" s="41" t="s">
        <v>281</v>
      </c>
      <c r="D248" s="41" t="s">
        <v>135</v>
      </c>
      <c r="E248" s="41" t="s">
        <v>290</v>
      </c>
      <c r="F248" s="41"/>
      <c r="G248" s="10">
        <f t="shared" si="32"/>
        <v>0</v>
      </c>
    </row>
    <row r="249" spans="1:7" ht="15.75" hidden="1">
      <c r="A249" s="30" t="s">
        <v>291</v>
      </c>
      <c r="B249" s="20" t="s">
        <v>1017</v>
      </c>
      <c r="C249" s="41" t="s">
        <v>281</v>
      </c>
      <c r="D249" s="41" t="s">
        <v>135</v>
      </c>
      <c r="E249" s="41" t="s">
        <v>292</v>
      </c>
      <c r="F249" s="41"/>
      <c r="G249" s="10">
        <f>'Пр.6 ведом.20'!G525</f>
        <v>0</v>
      </c>
    </row>
    <row r="250" spans="1:7" s="252" customFormat="1" ht="31.5" hidden="1">
      <c r="A250" s="30" t="s">
        <v>420</v>
      </c>
      <c r="B250" s="20" t="s">
        <v>1017</v>
      </c>
      <c r="C250" s="41" t="s">
        <v>281</v>
      </c>
      <c r="D250" s="41" t="s">
        <v>135</v>
      </c>
      <c r="E250" s="41" t="s">
        <v>292</v>
      </c>
      <c r="F250" s="41" t="s">
        <v>654</v>
      </c>
      <c r="G250" s="10">
        <f>G249</f>
        <v>0</v>
      </c>
    </row>
    <row r="251" spans="1:7" ht="31.5" customHeight="1" hidden="1">
      <c r="A251" s="30" t="s">
        <v>297</v>
      </c>
      <c r="B251" s="20" t="s">
        <v>1018</v>
      </c>
      <c r="C251" s="41" t="s">
        <v>281</v>
      </c>
      <c r="D251" s="41" t="s">
        <v>135</v>
      </c>
      <c r="E251" s="41"/>
      <c r="F251" s="41"/>
      <c r="G251" s="10">
        <f aca="true" t="shared" si="33" ref="G251:G252">G252</f>
        <v>0</v>
      </c>
    </row>
    <row r="252" spans="1:7" ht="31.5" customHeight="1" hidden="1">
      <c r="A252" s="30" t="s">
        <v>289</v>
      </c>
      <c r="B252" s="20" t="s">
        <v>1018</v>
      </c>
      <c r="C252" s="41" t="s">
        <v>281</v>
      </c>
      <c r="D252" s="41" t="s">
        <v>135</v>
      </c>
      <c r="E252" s="41" t="s">
        <v>290</v>
      </c>
      <c r="F252" s="41"/>
      <c r="G252" s="10">
        <f t="shared" si="33"/>
        <v>0</v>
      </c>
    </row>
    <row r="253" spans="1:7" ht="15.75" customHeight="1" hidden="1">
      <c r="A253" s="30" t="s">
        <v>291</v>
      </c>
      <c r="B253" s="20" t="s">
        <v>1018</v>
      </c>
      <c r="C253" s="41" t="s">
        <v>281</v>
      </c>
      <c r="D253" s="41" t="s">
        <v>135</v>
      </c>
      <c r="E253" s="41" t="s">
        <v>292</v>
      </c>
      <c r="F253" s="41"/>
      <c r="G253" s="10">
        <f>'Пр.6 ведом.20'!G528</f>
        <v>0</v>
      </c>
    </row>
    <row r="254" spans="1:7" s="252" customFormat="1" ht="15.75" customHeight="1" hidden="1">
      <c r="A254" s="30" t="s">
        <v>420</v>
      </c>
      <c r="B254" s="20" t="s">
        <v>1018</v>
      </c>
      <c r="C254" s="41" t="s">
        <v>281</v>
      </c>
      <c r="D254" s="41" t="s">
        <v>135</v>
      </c>
      <c r="E254" s="41" t="s">
        <v>292</v>
      </c>
      <c r="F254" s="41" t="s">
        <v>654</v>
      </c>
      <c r="G254" s="10">
        <f>G253</f>
        <v>0</v>
      </c>
    </row>
    <row r="255" spans="1:7" ht="31.5">
      <c r="A255" s="30" t="s">
        <v>432</v>
      </c>
      <c r="B255" s="20" t="s">
        <v>1019</v>
      </c>
      <c r="C255" s="41" t="s">
        <v>281</v>
      </c>
      <c r="D255" s="41" t="s">
        <v>135</v>
      </c>
      <c r="E255" s="41"/>
      <c r="F255" s="41"/>
      <c r="G255" s="10">
        <f aca="true" t="shared" si="34" ref="G255:G256">G256</f>
        <v>5170</v>
      </c>
    </row>
    <row r="256" spans="1:7" ht="33.75" customHeight="1">
      <c r="A256" s="30" t="s">
        <v>289</v>
      </c>
      <c r="B256" s="20" t="s">
        <v>1019</v>
      </c>
      <c r="C256" s="41" t="s">
        <v>281</v>
      </c>
      <c r="D256" s="41" t="s">
        <v>135</v>
      </c>
      <c r="E256" s="41" t="s">
        <v>290</v>
      </c>
      <c r="F256" s="41"/>
      <c r="G256" s="10">
        <f t="shared" si="34"/>
        <v>5170</v>
      </c>
    </row>
    <row r="257" spans="1:7" ht="15.75">
      <c r="A257" s="30" t="s">
        <v>291</v>
      </c>
      <c r="B257" s="20" t="s">
        <v>1019</v>
      </c>
      <c r="C257" s="41" t="s">
        <v>281</v>
      </c>
      <c r="D257" s="41" t="s">
        <v>135</v>
      </c>
      <c r="E257" s="41" t="s">
        <v>292</v>
      </c>
      <c r="F257" s="41"/>
      <c r="G257" s="6">
        <f>'Пр.6 ведом.20'!G531</f>
        <v>5170</v>
      </c>
    </row>
    <row r="258" spans="1:7" s="252" customFormat="1" ht="31.5">
      <c r="A258" s="30" t="s">
        <v>420</v>
      </c>
      <c r="B258" s="20" t="s">
        <v>1019</v>
      </c>
      <c r="C258" s="41" t="s">
        <v>281</v>
      </c>
      <c r="D258" s="41" t="s">
        <v>135</v>
      </c>
      <c r="E258" s="41" t="s">
        <v>292</v>
      </c>
      <c r="F258" s="41" t="s">
        <v>654</v>
      </c>
      <c r="G258" s="10">
        <f>G257</f>
        <v>5170</v>
      </c>
    </row>
    <row r="259" spans="1:7" s="252" customFormat="1" ht="31.5">
      <c r="A259" s="319" t="s">
        <v>1085</v>
      </c>
      <c r="B259" s="24" t="s">
        <v>1020</v>
      </c>
      <c r="C259" s="7"/>
      <c r="D259" s="7"/>
      <c r="E259" s="7"/>
      <c r="F259" s="7"/>
      <c r="G259" s="4">
        <f>G260</f>
        <v>4215</v>
      </c>
    </row>
    <row r="260" spans="1:7" s="252" customFormat="1" ht="15.75">
      <c r="A260" s="30" t="s">
        <v>280</v>
      </c>
      <c r="B260" s="41" t="s">
        <v>1020</v>
      </c>
      <c r="C260" s="41" t="s">
        <v>281</v>
      </c>
      <c r="D260" s="41"/>
      <c r="E260" s="41"/>
      <c r="F260" s="41"/>
      <c r="G260" s="10">
        <f aca="true" t="shared" si="35" ref="G260">G261</f>
        <v>4215</v>
      </c>
    </row>
    <row r="261" spans="1:7" s="252" customFormat="1" ht="15.75">
      <c r="A261" s="46" t="s">
        <v>421</v>
      </c>
      <c r="B261" s="41" t="s">
        <v>1020</v>
      </c>
      <c r="C261" s="41" t="s">
        <v>281</v>
      </c>
      <c r="D261" s="41" t="s">
        <v>135</v>
      </c>
      <c r="E261" s="41"/>
      <c r="F261" s="41"/>
      <c r="G261" s="10">
        <f>G262+G266+G270</f>
        <v>4215</v>
      </c>
    </row>
    <row r="262" spans="1:7" ht="31.5" customHeight="1" hidden="1">
      <c r="A262" s="30" t="s">
        <v>301</v>
      </c>
      <c r="B262" s="20" t="s">
        <v>1021</v>
      </c>
      <c r="C262" s="41" t="s">
        <v>281</v>
      </c>
      <c r="D262" s="41" t="s">
        <v>135</v>
      </c>
      <c r="E262" s="41"/>
      <c r="F262" s="41"/>
      <c r="G262" s="10">
        <f aca="true" t="shared" si="36" ref="G262:G263">G263</f>
        <v>0</v>
      </c>
    </row>
    <row r="263" spans="1:7" ht="31.5" customHeight="1" hidden="1">
      <c r="A263" s="30" t="s">
        <v>289</v>
      </c>
      <c r="B263" s="20" t="s">
        <v>1021</v>
      </c>
      <c r="C263" s="41" t="s">
        <v>281</v>
      </c>
      <c r="D263" s="41" t="s">
        <v>135</v>
      </c>
      <c r="E263" s="41" t="s">
        <v>290</v>
      </c>
      <c r="F263" s="41"/>
      <c r="G263" s="10">
        <f t="shared" si="36"/>
        <v>0</v>
      </c>
    </row>
    <row r="264" spans="1:7" ht="15.75" customHeight="1" hidden="1">
      <c r="A264" s="30" t="s">
        <v>291</v>
      </c>
      <c r="B264" s="20" t="s">
        <v>1021</v>
      </c>
      <c r="C264" s="41" t="s">
        <v>281</v>
      </c>
      <c r="D264" s="41" t="s">
        <v>135</v>
      </c>
      <c r="E264" s="41" t="s">
        <v>292</v>
      </c>
      <c r="F264" s="41"/>
      <c r="G264" s="10">
        <f>'Пр.6 ведом.20'!G535</f>
        <v>0</v>
      </c>
    </row>
    <row r="265" spans="1:7" s="252" customFormat="1" ht="15.75" customHeight="1" hidden="1">
      <c r="A265" s="30" t="s">
        <v>420</v>
      </c>
      <c r="B265" s="20" t="s">
        <v>1021</v>
      </c>
      <c r="C265" s="41" t="s">
        <v>281</v>
      </c>
      <c r="D265" s="41" t="s">
        <v>135</v>
      </c>
      <c r="E265" s="41" t="s">
        <v>292</v>
      </c>
      <c r="F265" s="41" t="s">
        <v>654</v>
      </c>
      <c r="G265" s="10">
        <f>G264</f>
        <v>0</v>
      </c>
    </row>
    <row r="266" spans="1:7" ht="31.5">
      <c r="A266" s="63" t="s">
        <v>789</v>
      </c>
      <c r="B266" s="20" t="s">
        <v>1022</v>
      </c>
      <c r="C266" s="20" t="s">
        <v>281</v>
      </c>
      <c r="D266" s="20" t="s">
        <v>135</v>
      </c>
      <c r="E266" s="20"/>
      <c r="F266" s="20"/>
      <c r="G266" s="10">
        <f aca="true" t="shared" si="37" ref="G266:G267">G267</f>
        <v>2850</v>
      </c>
    </row>
    <row r="267" spans="1:7" ht="31.5">
      <c r="A267" s="30" t="s">
        <v>289</v>
      </c>
      <c r="B267" s="20" t="s">
        <v>1022</v>
      </c>
      <c r="C267" s="20" t="s">
        <v>281</v>
      </c>
      <c r="D267" s="20" t="s">
        <v>135</v>
      </c>
      <c r="E267" s="20" t="s">
        <v>290</v>
      </c>
      <c r="F267" s="20"/>
      <c r="G267" s="10">
        <f t="shared" si="37"/>
        <v>2850</v>
      </c>
    </row>
    <row r="268" spans="1:7" ht="15.75">
      <c r="A268" s="208" t="s">
        <v>291</v>
      </c>
      <c r="B268" s="20" t="s">
        <v>1022</v>
      </c>
      <c r="C268" s="20" t="s">
        <v>281</v>
      </c>
      <c r="D268" s="20" t="s">
        <v>135</v>
      </c>
      <c r="E268" s="20" t="s">
        <v>292</v>
      </c>
      <c r="F268" s="20"/>
      <c r="G268" s="10">
        <f>'Пр.6 ведом.20'!G538</f>
        <v>2850</v>
      </c>
    </row>
    <row r="269" spans="1:7" s="252" customFormat="1" ht="31.5">
      <c r="A269" s="30" t="s">
        <v>420</v>
      </c>
      <c r="B269" s="20" t="s">
        <v>1022</v>
      </c>
      <c r="C269" s="41" t="s">
        <v>281</v>
      </c>
      <c r="D269" s="41" t="s">
        <v>135</v>
      </c>
      <c r="E269" s="41" t="s">
        <v>292</v>
      </c>
      <c r="F269" s="41" t="s">
        <v>654</v>
      </c>
      <c r="G269" s="10">
        <f>G268</f>
        <v>2850</v>
      </c>
    </row>
    <row r="270" spans="1:7" ht="47.25">
      <c r="A270" s="63" t="s">
        <v>790</v>
      </c>
      <c r="B270" s="20" t="s">
        <v>1023</v>
      </c>
      <c r="C270" s="20" t="s">
        <v>281</v>
      </c>
      <c r="D270" s="20" t="s">
        <v>135</v>
      </c>
      <c r="E270" s="20"/>
      <c r="F270" s="20"/>
      <c r="G270" s="10">
        <f aca="true" t="shared" si="38" ref="G270:G271">G271</f>
        <v>1364.9999999999998</v>
      </c>
    </row>
    <row r="271" spans="1:7" ht="31.5">
      <c r="A271" s="30" t="s">
        <v>289</v>
      </c>
      <c r="B271" s="20" t="s">
        <v>1023</v>
      </c>
      <c r="C271" s="20" t="s">
        <v>281</v>
      </c>
      <c r="D271" s="20" t="s">
        <v>135</v>
      </c>
      <c r="E271" s="20" t="s">
        <v>290</v>
      </c>
      <c r="F271" s="20"/>
      <c r="G271" s="10">
        <f t="shared" si="38"/>
        <v>1364.9999999999998</v>
      </c>
    </row>
    <row r="272" spans="1:7" ht="15.75">
      <c r="A272" s="208" t="s">
        <v>291</v>
      </c>
      <c r="B272" s="20" t="s">
        <v>1023</v>
      </c>
      <c r="C272" s="20" t="s">
        <v>281</v>
      </c>
      <c r="D272" s="20" t="s">
        <v>135</v>
      </c>
      <c r="E272" s="20" t="s">
        <v>292</v>
      </c>
      <c r="F272" s="20"/>
      <c r="G272" s="10">
        <f>'Пр.6 ведом.20'!G541</f>
        <v>1364.9999999999998</v>
      </c>
    </row>
    <row r="273" spans="1:7" s="252" customFormat="1" ht="31.5">
      <c r="A273" s="30" t="s">
        <v>420</v>
      </c>
      <c r="B273" s="20" t="s">
        <v>1023</v>
      </c>
      <c r="C273" s="41" t="s">
        <v>281</v>
      </c>
      <c r="D273" s="41" t="s">
        <v>135</v>
      </c>
      <c r="E273" s="41" t="s">
        <v>292</v>
      </c>
      <c r="F273" s="41" t="s">
        <v>654</v>
      </c>
      <c r="G273" s="10">
        <f>G272</f>
        <v>1364.9999999999998</v>
      </c>
    </row>
    <row r="274" spans="1:7" s="252" customFormat="1" ht="63">
      <c r="A274" s="23" t="s">
        <v>1024</v>
      </c>
      <c r="B274" s="24" t="s">
        <v>1025</v>
      </c>
      <c r="C274" s="24"/>
      <c r="D274" s="24"/>
      <c r="E274" s="24"/>
      <c r="F274" s="24"/>
      <c r="G274" s="62">
        <f>G275</f>
        <v>290.3</v>
      </c>
    </row>
    <row r="275" spans="1:7" s="252" customFormat="1" ht="15.75">
      <c r="A275" s="30" t="s">
        <v>280</v>
      </c>
      <c r="B275" s="41" t="s">
        <v>1025</v>
      </c>
      <c r="C275" s="41" t="s">
        <v>281</v>
      </c>
      <c r="D275" s="41"/>
      <c r="E275" s="41"/>
      <c r="F275" s="41"/>
      <c r="G275" s="10">
        <f aca="true" t="shared" si="39" ref="G275">G276</f>
        <v>290.3</v>
      </c>
    </row>
    <row r="276" spans="1:7" s="252" customFormat="1" ht="15.75">
      <c r="A276" s="46" t="s">
        <v>421</v>
      </c>
      <c r="B276" s="41" t="s">
        <v>1025</v>
      </c>
      <c r="C276" s="41" t="s">
        <v>281</v>
      </c>
      <c r="D276" s="41" t="s">
        <v>135</v>
      </c>
      <c r="E276" s="41"/>
      <c r="F276" s="41"/>
      <c r="G276" s="10">
        <f>G277+G281</f>
        <v>290.3</v>
      </c>
    </row>
    <row r="277" spans="1:7" ht="126">
      <c r="A277" s="25" t="s">
        <v>440</v>
      </c>
      <c r="B277" s="20" t="s">
        <v>1026</v>
      </c>
      <c r="C277" s="20" t="s">
        <v>281</v>
      </c>
      <c r="D277" s="20" t="s">
        <v>135</v>
      </c>
      <c r="E277" s="20"/>
      <c r="F277" s="20"/>
      <c r="G277" s="10">
        <f>G278</f>
        <v>124.4</v>
      </c>
    </row>
    <row r="278" spans="1:7" ht="31.5">
      <c r="A278" s="25" t="s">
        <v>289</v>
      </c>
      <c r="B278" s="20" t="s">
        <v>1026</v>
      </c>
      <c r="C278" s="20" t="s">
        <v>281</v>
      </c>
      <c r="D278" s="20" t="s">
        <v>135</v>
      </c>
      <c r="E278" s="20" t="s">
        <v>290</v>
      </c>
      <c r="F278" s="20"/>
      <c r="G278" s="10">
        <f>G279</f>
        <v>124.4</v>
      </c>
    </row>
    <row r="279" spans="1:7" ht="15.75">
      <c r="A279" s="25" t="s">
        <v>291</v>
      </c>
      <c r="B279" s="20" t="s">
        <v>1026</v>
      </c>
      <c r="C279" s="20" t="s">
        <v>281</v>
      </c>
      <c r="D279" s="20" t="s">
        <v>135</v>
      </c>
      <c r="E279" s="20" t="s">
        <v>292</v>
      </c>
      <c r="F279" s="20"/>
      <c r="G279" s="10">
        <f>'Пр.6 ведом.20'!G545</f>
        <v>124.4</v>
      </c>
    </row>
    <row r="280" spans="1:7" s="252" customFormat="1" ht="31.5">
      <c r="A280" s="30" t="s">
        <v>420</v>
      </c>
      <c r="B280" s="20" t="s">
        <v>1026</v>
      </c>
      <c r="C280" s="41" t="s">
        <v>281</v>
      </c>
      <c r="D280" s="41" t="s">
        <v>135</v>
      </c>
      <c r="E280" s="41" t="s">
        <v>292</v>
      </c>
      <c r="F280" s="41" t="s">
        <v>654</v>
      </c>
      <c r="G280" s="10">
        <f>G279</f>
        <v>124.4</v>
      </c>
    </row>
    <row r="281" spans="1:7" s="252" customFormat="1" ht="126">
      <c r="A281" s="25" t="s">
        <v>440</v>
      </c>
      <c r="B281" s="20" t="s">
        <v>1027</v>
      </c>
      <c r="C281" s="20" t="s">
        <v>281</v>
      </c>
      <c r="D281" s="20" t="s">
        <v>135</v>
      </c>
      <c r="E281" s="20"/>
      <c r="F281" s="20"/>
      <c r="G281" s="10">
        <f>G282</f>
        <v>165.9</v>
      </c>
    </row>
    <row r="282" spans="1:7" s="252" customFormat="1" ht="31.5">
      <c r="A282" s="25" t="s">
        <v>289</v>
      </c>
      <c r="B282" s="20" t="s">
        <v>1027</v>
      </c>
      <c r="C282" s="20" t="s">
        <v>281</v>
      </c>
      <c r="D282" s="20" t="s">
        <v>135</v>
      </c>
      <c r="E282" s="20" t="s">
        <v>290</v>
      </c>
      <c r="F282" s="20"/>
      <c r="G282" s="10">
        <f>G283</f>
        <v>165.9</v>
      </c>
    </row>
    <row r="283" spans="1:7" s="252" customFormat="1" ht="15.75">
      <c r="A283" s="25" t="s">
        <v>291</v>
      </c>
      <c r="B283" s="20" t="s">
        <v>1027</v>
      </c>
      <c r="C283" s="20" t="s">
        <v>281</v>
      </c>
      <c r="D283" s="20" t="s">
        <v>135</v>
      </c>
      <c r="E283" s="20" t="s">
        <v>292</v>
      </c>
      <c r="F283" s="20"/>
      <c r="G283" s="10">
        <f>'Пр.5 Рд,пр, ЦС,ВР 20'!F513</f>
        <v>165.9</v>
      </c>
    </row>
    <row r="284" spans="1:7" s="252" customFormat="1" ht="31.5">
      <c r="A284" s="30" t="s">
        <v>420</v>
      </c>
      <c r="B284" s="20" t="s">
        <v>1027</v>
      </c>
      <c r="C284" s="41" t="s">
        <v>281</v>
      </c>
      <c r="D284" s="41" t="s">
        <v>135</v>
      </c>
      <c r="E284" s="41" t="s">
        <v>292</v>
      </c>
      <c r="F284" s="41" t="s">
        <v>654</v>
      </c>
      <c r="G284" s="10">
        <f>G283</f>
        <v>165.9</v>
      </c>
    </row>
    <row r="285" spans="1:7" ht="31.5">
      <c r="A285" s="42" t="s">
        <v>447</v>
      </c>
      <c r="B285" s="7" t="s">
        <v>448</v>
      </c>
      <c r="C285" s="7"/>
      <c r="D285" s="7"/>
      <c r="E285" s="7"/>
      <c r="F285" s="7"/>
      <c r="G285" s="4">
        <f>G286+G305+G316+G327+G338</f>
        <v>8975.3</v>
      </c>
    </row>
    <row r="286" spans="1:7" s="252" customFormat="1" ht="31.5">
      <c r="A286" s="23" t="s">
        <v>1037</v>
      </c>
      <c r="B286" s="24" t="s">
        <v>1038</v>
      </c>
      <c r="C286" s="7"/>
      <c r="D286" s="7"/>
      <c r="E286" s="7"/>
      <c r="F286" s="7"/>
      <c r="G286" s="4">
        <f>G287</f>
        <v>224</v>
      </c>
    </row>
    <row r="287" spans="1:7" ht="15.75">
      <c r="A287" s="30" t="s">
        <v>280</v>
      </c>
      <c r="B287" s="41" t="s">
        <v>1038</v>
      </c>
      <c r="C287" s="41" t="s">
        <v>281</v>
      </c>
      <c r="D287" s="41"/>
      <c r="E287" s="41"/>
      <c r="F287" s="41"/>
      <c r="G287" s="10">
        <f aca="true" t="shared" si="40" ref="G287">G288</f>
        <v>224</v>
      </c>
    </row>
    <row r="288" spans="1:7" ht="15.75">
      <c r="A288" s="30" t="s">
        <v>442</v>
      </c>
      <c r="B288" s="41" t="s">
        <v>1038</v>
      </c>
      <c r="C288" s="41" t="s">
        <v>281</v>
      </c>
      <c r="D288" s="41" t="s">
        <v>230</v>
      </c>
      <c r="E288" s="41"/>
      <c r="F288" s="41"/>
      <c r="G288" s="10">
        <f>G289+G293+G297+G301</f>
        <v>224</v>
      </c>
    </row>
    <row r="289" spans="1:7" ht="47.25" hidden="1">
      <c r="A289" s="25" t="s">
        <v>815</v>
      </c>
      <c r="B289" s="20" t="s">
        <v>1042</v>
      </c>
      <c r="C289" s="41" t="s">
        <v>281</v>
      </c>
      <c r="D289" s="41" t="s">
        <v>230</v>
      </c>
      <c r="E289" s="41"/>
      <c r="F289" s="41"/>
      <c r="G289" s="6">
        <f>G290</f>
        <v>0</v>
      </c>
    </row>
    <row r="290" spans="1:7" ht="31.5" hidden="1">
      <c r="A290" s="25" t="s">
        <v>289</v>
      </c>
      <c r="B290" s="20" t="s">
        <v>1042</v>
      </c>
      <c r="C290" s="41" t="s">
        <v>281</v>
      </c>
      <c r="D290" s="41" t="s">
        <v>230</v>
      </c>
      <c r="E290" s="41" t="s">
        <v>290</v>
      </c>
      <c r="F290" s="41"/>
      <c r="G290" s="6">
        <f>G291</f>
        <v>0</v>
      </c>
    </row>
    <row r="291" spans="1:7" ht="15.75" hidden="1">
      <c r="A291" s="25" t="s">
        <v>291</v>
      </c>
      <c r="B291" s="20" t="s">
        <v>1042</v>
      </c>
      <c r="C291" s="41" t="s">
        <v>281</v>
      </c>
      <c r="D291" s="41" t="s">
        <v>230</v>
      </c>
      <c r="E291" s="41" t="s">
        <v>292</v>
      </c>
      <c r="F291" s="41"/>
      <c r="G291" s="6">
        <f>'Пр.6 ведом.20'!G592</f>
        <v>0</v>
      </c>
    </row>
    <row r="292" spans="1:7" s="252" customFormat="1" ht="31.5" hidden="1">
      <c r="A292" s="30" t="s">
        <v>420</v>
      </c>
      <c r="B292" s="20" t="s">
        <v>1042</v>
      </c>
      <c r="C292" s="41" t="s">
        <v>281</v>
      </c>
      <c r="D292" s="41" t="s">
        <v>230</v>
      </c>
      <c r="E292" s="41" t="s">
        <v>292</v>
      </c>
      <c r="F292" s="41" t="s">
        <v>654</v>
      </c>
      <c r="G292" s="10">
        <f>G291</f>
        <v>0</v>
      </c>
    </row>
    <row r="293" spans="1:7" ht="31.5" hidden="1">
      <c r="A293" s="25" t="s">
        <v>295</v>
      </c>
      <c r="B293" s="20" t="s">
        <v>1043</v>
      </c>
      <c r="C293" s="41" t="s">
        <v>281</v>
      </c>
      <c r="D293" s="41" t="s">
        <v>230</v>
      </c>
      <c r="E293" s="41"/>
      <c r="F293" s="41"/>
      <c r="G293" s="6">
        <f aca="true" t="shared" si="41" ref="G293:G294">G294</f>
        <v>0</v>
      </c>
    </row>
    <row r="294" spans="1:7" ht="31.5" hidden="1">
      <c r="A294" s="25" t="s">
        <v>289</v>
      </c>
      <c r="B294" s="20" t="s">
        <v>1043</v>
      </c>
      <c r="C294" s="41" t="s">
        <v>281</v>
      </c>
      <c r="D294" s="41" t="s">
        <v>230</v>
      </c>
      <c r="E294" s="41" t="s">
        <v>290</v>
      </c>
      <c r="F294" s="41"/>
      <c r="G294" s="6">
        <f t="shared" si="41"/>
        <v>0</v>
      </c>
    </row>
    <row r="295" spans="1:7" ht="15.75" hidden="1">
      <c r="A295" s="25" t="s">
        <v>291</v>
      </c>
      <c r="B295" s="20" t="s">
        <v>1043</v>
      </c>
      <c r="C295" s="41" t="s">
        <v>281</v>
      </c>
      <c r="D295" s="41" t="s">
        <v>230</v>
      </c>
      <c r="E295" s="41" t="s">
        <v>292</v>
      </c>
      <c r="F295" s="41"/>
      <c r="G295" s="6">
        <f>'Пр.6 ведом.20'!G595</f>
        <v>0</v>
      </c>
    </row>
    <row r="296" spans="1:7" s="252" customFormat="1" ht="31.5" hidden="1">
      <c r="A296" s="30" t="s">
        <v>420</v>
      </c>
      <c r="B296" s="20" t="s">
        <v>1043</v>
      </c>
      <c r="C296" s="41" t="s">
        <v>281</v>
      </c>
      <c r="D296" s="41" t="s">
        <v>230</v>
      </c>
      <c r="E296" s="41" t="s">
        <v>292</v>
      </c>
      <c r="F296" s="41" t="s">
        <v>654</v>
      </c>
      <c r="G296" s="10">
        <f>G295</f>
        <v>0</v>
      </c>
    </row>
    <row r="297" spans="1:7" ht="31.5" customHeight="1" hidden="1">
      <c r="A297" s="25" t="s">
        <v>297</v>
      </c>
      <c r="B297" s="20" t="s">
        <v>1044</v>
      </c>
      <c r="C297" s="41" t="s">
        <v>281</v>
      </c>
      <c r="D297" s="41" t="s">
        <v>230</v>
      </c>
      <c r="E297" s="41"/>
      <c r="F297" s="41"/>
      <c r="G297" s="6">
        <f aca="true" t="shared" si="42" ref="G297:G298">G298</f>
        <v>0</v>
      </c>
    </row>
    <row r="298" spans="1:7" ht="31.5" customHeight="1" hidden="1">
      <c r="A298" s="25" t="s">
        <v>289</v>
      </c>
      <c r="B298" s="20" t="s">
        <v>1044</v>
      </c>
      <c r="C298" s="41" t="s">
        <v>281</v>
      </c>
      <c r="D298" s="41" t="s">
        <v>230</v>
      </c>
      <c r="E298" s="41" t="s">
        <v>290</v>
      </c>
      <c r="F298" s="41"/>
      <c r="G298" s="6">
        <f t="shared" si="42"/>
        <v>0</v>
      </c>
    </row>
    <row r="299" spans="1:7" ht="15.75" customHeight="1" hidden="1">
      <c r="A299" s="25" t="s">
        <v>291</v>
      </c>
      <c r="B299" s="20" t="s">
        <v>1044</v>
      </c>
      <c r="C299" s="41" t="s">
        <v>281</v>
      </c>
      <c r="D299" s="41" t="s">
        <v>230</v>
      </c>
      <c r="E299" s="41" t="s">
        <v>292</v>
      </c>
      <c r="F299" s="41"/>
      <c r="G299" s="6">
        <f>'Пр.6 ведом.20'!G598</f>
        <v>0</v>
      </c>
    </row>
    <row r="300" spans="1:7" s="252" customFormat="1" ht="15.75" customHeight="1" hidden="1">
      <c r="A300" s="30" t="s">
        <v>420</v>
      </c>
      <c r="B300" s="20" t="s">
        <v>1044</v>
      </c>
      <c r="C300" s="41" t="s">
        <v>281</v>
      </c>
      <c r="D300" s="41" t="s">
        <v>230</v>
      </c>
      <c r="E300" s="41" t="s">
        <v>292</v>
      </c>
      <c r="F300" s="41" t="s">
        <v>654</v>
      </c>
      <c r="G300" s="10">
        <f>G299</f>
        <v>0</v>
      </c>
    </row>
    <row r="301" spans="1:7" ht="31.5">
      <c r="A301" s="30" t="s">
        <v>299</v>
      </c>
      <c r="B301" s="20" t="s">
        <v>1045</v>
      </c>
      <c r="C301" s="41" t="s">
        <v>281</v>
      </c>
      <c r="D301" s="41" t="s">
        <v>230</v>
      </c>
      <c r="E301" s="41"/>
      <c r="F301" s="41"/>
      <c r="G301" s="10">
        <f aca="true" t="shared" si="43" ref="G301:G302">G302</f>
        <v>224</v>
      </c>
    </row>
    <row r="302" spans="1:7" ht="31.5">
      <c r="A302" s="30" t="s">
        <v>289</v>
      </c>
      <c r="B302" s="20" t="s">
        <v>1045</v>
      </c>
      <c r="C302" s="41" t="s">
        <v>281</v>
      </c>
      <c r="D302" s="41" t="s">
        <v>230</v>
      </c>
      <c r="E302" s="41" t="s">
        <v>290</v>
      </c>
      <c r="F302" s="41"/>
      <c r="G302" s="10">
        <f t="shared" si="43"/>
        <v>224</v>
      </c>
    </row>
    <row r="303" spans="1:7" ht="21.75" customHeight="1">
      <c r="A303" s="30" t="s">
        <v>291</v>
      </c>
      <c r="B303" s="20" t="s">
        <v>1045</v>
      </c>
      <c r="C303" s="41" t="s">
        <v>281</v>
      </c>
      <c r="D303" s="41" t="s">
        <v>230</v>
      </c>
      <c r="E303" s="41" t="s">
        <v>292</v>
      </c>
      <c r="F303" s="41"/>
      <c r="G303" s="10">
        <f>'Пр.6 ведом.20'!G601</f>
        <v>224</v>
      </c>
    </row>
    <row r="304" spans="1:7" s="252" customFormat="1" ht="33" customHeight="1">
      <c r="A304" s="30" t="s">
        <v>420</v>
      </c>
      <c r="B304" s="20" t="s">
        <v>1045</v>
      </c>
      <c r="C304" s="41" t="s">
        <v>281</v>
      </c>
      <c r="D304" s="41" t="s">
        <v>230</v>
      </c>
      <c r="E304" s="41" t="s">
        <v>292</v>
      </c>
      <c r="F304" s="41" t="s">
        <v>654</v>
      </c>
      <c r="G304" s="10">
        <f>G303</f>
        <v>224</v>
      </c>
    </row>
    <row r="305" spans="1:7" s="252" customFormat="1" ht="33" customHeight="1">
      <c r="A305" s="23" t="s">
        <v>1039</v>
      </c>
      <c r="B305" s="24" t="s">
        <v>1040</v>
      </c>
      <c r="C305" s="7"/>
      <c r="D305" s="7"/>
      <c r="E305" s="7"/>
      <c r="F305" s="7"/>
      <c r="G305" s="62">
        <f>G308+G312</f>
        <v>4582.6</v>
      </c>
    </row>
    <row r="306" spans="1:7" s="252" customFormat="1" ht="17.25" customHeight="1">
      <c r="A306" s="30" t="s">
        <v>280</v>
      </c>
      <c r="B306" s="41" t="s">
        <v>1040</v>
      </c>
      <c r="C306" s="41" t="s">
        <v>281</v>
      </c>
      <c r="D306" s="41"/>
      <c r="E306" s="41"/>
      <c r="F306" s="41"/>
      <c r="G306" s="10">
        <f aca="true" t="shared" si="44" ref="G306">G307</f>
        <v>4582.6</v>
      </c>
    </row>
    <row r="307" spans="1:7" s="252" customFormat="1" ht="15.75" customHeight="1">
      <c r="A307" s="30" t="s">
        <v>442</v>
      </c>
      <c r="B307" s="41" t="s">
        <v>1040</v>
      </c>
      <c r="C307" s="41" t="s">
        <v>281</v>
      </c>
      <c r="D307" s="41" t="s">
        <v>230</v>
      </c>
      <c r="E307" s="41"/>
      <c r="F307" s="41"/>
      <c r="G307" s="10">
        <f>G308+G312</f>
        <v>4582.6</v>
      </c>
    </row>
    <row r="308" spans="1:7" s="252" customFormat="1" ht="47.25" customHeight="1">
      <c r="A308" s="30" t="s">
        <v>620</v>
      </c>
      <c r="B308" s="20" t="s">
        <v>1046</v>
      </c>
      <c r="C308" s="41" t="s">
        <v>281</v>
      </c>
      <c r="D308" s="41" t="s">
        <v>230</v>
      </c>
      <c r="E308" s="41"/>
      <c r="F308" s="41"/>
      <c r="G308" s="10">
        <f aca="true" t="shared" si="45" ref="G308:G309">G309</f>
        <v>2914.0000000000005</v>
      </c>
    </row>
    <row r="309" spans="1:7" s="252" customFormat="1" ht="36.75" customHeight="1">
      <c r="A309" s="30" t="s">
        <v>289</v>
      </c>
      <c r="B309" s="20" t="s">
        <v>1046</v>
      </c>
      <c r="C309" s="41" t="s">
        <v>281</v>
      </c>
      <c r="D309" s="41" t="s">
        <v>230</v>
      </c>
      <c r="E309" s="41" t="s">
        <v>290</v>
      </c>
      <c r="F309" s="41"/>
      <c r="G309" s="10">
        <f t="shared" si="45"/>
        <v>2914.0000000000005</v>
      </c>
    </row>
    <row r="310" spans="1:7" s="252" customFormat="1" ht="18" customHeight="1">
      <c r="A310" s="30" t="s">
        <v>291</v>
      </c>
      <c r="B310" s="20" t="s">
        <v>1046</v>
      </c>
      <c r="C310" s="41" t="s">
        <v>281</v>
      </c>
      <c r="D310" s="41" t="s">
        <v>230</v>
      </c>
      <c r="E310" s="41" t="s">
        <v>292</v>
      </c>
      <c r="F310" s="41"/>
      <c r="G310" s="6">
        <f>'Пр.6 ведом.20'!G605</f>
        <v>2914.0000000000005</v>
      </c>
    </row>
    <row r="311" spans="1:7" s="252" customFormat="1" ht="36.75" customHeight="1">
      <c r="A311" s="30" t="s">
        <v>420</v>
      </c>
      <c r="B311" s="20" t="s">
        <v>1046</v>
      </c>
      <c r="C311" s="41" t="s">
        <v>281</v>
      </c>
      <c r="D311" s="41" t="s">
        <v>230</v>
      </c>
      <c r="E311" s="41" t="s">
        <v>292</v>
      </c>
      <c r="F311" s="41" t="s">
        <v>654</v>
      </c>
      <c r="G311" s="10">
        <f>G310</f>
        <v>2914.0000000000005</v>
      </c>
    </row>
    <row r="312" spans="1:7" s="252" customFormat="1" ht="36" customHeight="1">
      <c r="A312" s="25" t="s">
        <v>473</v>
      </c>
      <c r="B312" s="20" t="s">
        <v>1047</v>
      </c>
      <c r="C312" s="41" t="s">
        <v>281</v>
      </c>
      <c r="D312" s="41" t="s">
        <v>230</v>
      </c>
      <c r="E312" s="41"/>
      <c r="F312" s="41"/>
      <c r="G312" s="10">
        <f>G313</f>
        <v>1668.6</v>
      </c>
    </row>
    <row r="313" spans="1:7" s="252" customFormat="1" ht="36.75" customHeight="1">
      <c r="A313" s="25" t="s">
        <v>289</v>
      </c>
      <c r="B313" s="20" t="s">
        <v>1047</v>
      </c>
      <c r="C313" s="41" t="s">
        <v>281</v>
      </c>
      <c r="D313" s="41" t="s">
        <v>230</v>
      </c>
      <c r="E313" s="41" t="s">
        <v>290</v>
      </c>
      <c r="F313" s="41"/>
      <c r="G313" s="10">
        <f>G314</f>
        <v>1668.6</v>
      </c>
    </row>
    <row r="314" spans="1:7" s="252" customFormat="1" ht="15.75" customHeight="1">
      <c r="A314" s="25" t="s">
        <v>291</v>
      </c>
      <c r="B314" s="20" t="s">
        <v>1047</v>
      </c>
      <c r="C314" s="41" t="s">
        <v>281</v>
      </c>
      <c r="D314" s="41" t="s">
        <v>230</v>
      </c>
      <c r="E314" s="41" t="s">
        <v>292</v>
      </c>
      <c r="F314" s="41"/>
      <c r="G314" s="10">
        <f>'Пр.6 ведом.20'!G608</f>
        <v>1668.6</v>
      </c>
    </row>
    <row r="315" spans="1:7" s="252" customFormat="1" ht="38.25" customHeight="1">
      <c r="A315" s="30" t="s">
        <v>420</v>
      </c>
      <c r="B315" s="20" t="s">
        <v>1047</v>
      </c>
      <c r="C315" s="41" t="s">
        <v>281</v>
      </c>
      <c r="D315" s="41" t="s">
        <v>230</v>
      </c>
      <c r="E315" s="41" t="s">
        <v>292</v>
      </c>
      <c r="F315" s="41" t="s">
        <v>654</v>
      </c>
      <c r="G315" s="10">
        <f>G314</f>
        <v>1668.6</v>
      </c>
    </row>
    <row r="316" spans="1:7" s="252" customFormat="1" ht="31.5" customHeight="1">
      <c r="A316" s="23" t="s">
        <v>1041</v>
      </c>
      <c r="B316" s="24" t="s">
        <v>1048</v>
      </c>
      <c r="C316" s="7"/>
      <c r="D316" s="7"/>
      <c r="E316" s="7"/>
      <c r="F316" s="7"/>
      <c r="G316" s="62">
        <f>G319+G323</f>
        <v>912.7</v>
      </c>
    </row>
    <row r="317" spans="1:7" s="252" customFormat="1" ht="18" customHeight="1">
      <c r="A317" s="30" t="s">
        <v>280</v>
      </c>
      <c r="B317" s="41" t="s">
        <v>1048</v>
      </c>
      <c r="C317" s="41" t="s">
        <v>281</v>
      </c>
      <c r="D317" s="41"/>
      <c r="E317" s="41"/>
      <c r="F317" s="41"/>
      <c r="G317" s="10">
        <f aca="true" t="shared" si="46" ref="G317">G318</f>
        <v>912.7</v>
      </c>
    </row>
    <row r="318" spans="1:7" s="252" customFormat="1" ht="15" customHeight="1">
      <c r="A318" s="30" t="s">
        <v>442</v>
      </c>
      <c r="B318" s="41" t="s">
        <v>1048</v>
      </c>
      <c r="C318" s="41" t="s">
        <v>281</v>
      </c>
      <c r="D318" s="41" t="s">
        <v>230</v>
      </c>
      <c r="E318" s="41"/>
      <c r="F318" s="41"/>
      <c r="G318" s="10">
        <f>G319+G323</f>
        <v>912.7</v>
      </c>
    </row>
    <row r="319" spans="1:7" s="252" customFormat="1" ht="47.25" customHeight="1">
      <c r="A319" s="25" t="s">
        <v>455</v>
      </c>
      <c r="B319" s="20" t="s">
        <v>1049</v>
      </c>
      <c r="C319" s="41" t="s">
        <v>281</v>
      </c>
      <c r="D319" s="41" t="s">
        <v>230</v>
      </c>
      <c r="E319" s="41"/>
      <c r="F319" s="41"/>
      <c r="G319" s="10">
        <f>G320</f>
        <v>416</v>
      </c>
    </row>
    <row r="320" spans="1:7" s="252" customFormat="1" ht="37.5" customHeight="1">
      <c r="A320" s="25" t="s">
        <v>289</v>
      </c>
      <c r="B320" s="20" t="s">
        <v>1049</v>
      </c>
      <c r="C320" s="41" t="s">
        <v>281</v>
      </c>
      <c r="D320" s="41" t="s">
        <v>230</v>
      </c>
      <c r="E320" s="41" t="s">
        <v>290</v>
      </c>
      <c r="F320" s="41"/>
      <c r="G320" s="10">
        <f>G321</f>
        <v>416</v>
      </c>
    </row>
    <row r="321" spans="1:7" s="252" customFormat="1" ht="15.75" customHeight="1">
      <c r="A321" s="25" t="s">
        <v>291</v>
      </c>
      <c r="B321" s="20" t="s">
        <v>1049</v>
      </c>
      <c r="C321" s="41" t="s">
        <v>281</v>
      </c>
      <c r="D321" s="41" t="s">
        <v>230</v>
      </c>
      <c r="E321" s="41" t="s">
        <v>292</v>
      </c>
      <c r="F321" s="41"/>
      <c r="G321" s="10">
        <f>'Пр.5 Рд,пр, ЦС,ВР 20'!F577</f>
        <v>416</v>
      </c>
    </row>
    <row r="322" spans="1:7" s="252" customFormat="1" ht="37.5" customHeight="1">
      <c r="A322" s="30" t="s">
        <v>420</v>
      </c>
      <c r="B322" s="20" t="s">
        <v>1049</v>
      </c>
      <c r="C322" s="41" t="s">
        <v>281</v>
      </c>
      <c r="D322" s="41" t="s">
        <v>230</v>
      </c>
      <c r="E322" s="41" t="s">
        <v>292</v>
      </c>
      <c r="F322" s="41" t="s">
        <v>654</v>
      </c>
      <c r="G322" s="10">
        <f>G321</f>
        <v>416</v>
      </c>
    </row>
    <row r="323" spans="1:7" s="252" customFormat="1" ht="48.75" customHeight="1">
      <c r="A323" s="25" t="s">
        <v>475</v>
      </c>
      <c r="B323" s="20" t="s">
        <v>1050</v>
      </c>
      <c r="C323" s="41" t="s">
        <v>281</v>
      </c>
      <c r="D323" s="41" t="s">
        <v>230</v>
      </c>
      <c r="E323" s="41"/>
      <c r="F323" s="41"/>
      <c r="G323" s="10">
        <f>G324</f>
        <v>496.7</v>
      </c>
    </row>
    <row r="324" spans="1:7" s="252" customFormat="1" ht="36" customHeight="1">
      <c r="A324" s="387" t="s">
        <v>289</v>
      </c>
      <c r="B324" s="20" t="s">
        <v>1050</v>
      </c>
      <c r="C324" s="41" t="s">
        <v>281</v>
      </c>
      <c r="D324" s="41" t="s">
        <v>230</v>
      </c>
      <c r="E324" s="41" t="s">
        <v>290</v>
      </c>
      <c r="F324" s="41"/>
      <c r="G324" s="10">
        <f>G325</f>
        <v>496.7</v>
      </c>
    </row>
    <row r="325" spans="1:7" s="252" customFormat="1" ht="15.75" customHeight="1">
      <c r="A325" s="25" t="s">
        <v>291</v>
      </c>
      <c r="B325" s="20" t="s">
        <v>1050</v>
      </c>
      <c r="C325" s="41" t="s">
        <v>281</v>
      </c>
      <c r="D325" s="41" t="s">
        <v>230</v>
      </c>
      <c r="E325" s="41" t="s">
        <v>292</v>
      </c>
      <c r="F325" s="41"/>
      <c r="G325" s="10">
        <f>'Пр.5 Рд,пр, ЦС,ВР 20'!F580</f>
        <v>496.7</v>
      </c>
    </row>
    <row r="326" spans="1:7" s="252" customFormat="1" ht="41.25" customHeight="1">
      <c r="A326" s="30" t="s">
        <v>420</v>
      </c>
      <c r="B326" s="20" t="s">
        <v>1050</v>
      </c>
      <c r="C326" s="41" t="s">
        <v>281</v>
      </c>
      <c r="D326" s="41" t="s">
        <v>230</v>
      </c>
      <c r="E326" s="41" t="s">
        <v>292</v>
      </c>
      <c r="F326" s="41" t="s">
        <v>654</v>
      </c>
      <c r="G326" s="10">
        <f>G325</f>
        <v>496.7</v>
      </c>
    </row>
    <row r="327" spans="1:7" s="252" customFormat="1" ht="34.5" customHeight="1">
      <c r="A327" s="319" t="s">
        <v>1085</v>
      </c>
      <c r="B327" s="24" t="s">
        <v>1051</v>
      </c>
      <c r="C327" s="7"/>
      <c r="D327" s="7"/>
      <c r="E327" s="7"/>
      <c r="F327" s="7"/>
      <c r="G327" s="62">
        <f>G330+G334</f>
        <v>2634</v>
      </c>
    </row>
    <row r="328" spans="1:7" s="252" customFormat="1" ht="18.75" customHeight="1">
      <c r="A328" s="30" t="s">
        <v>280</v>
      </c>
      <c r="B328" s="41" t="s">
        <v>1051</v>
      </c>
      <c r="C328" s="41" t="s">
        <v>281</v>
      </c>
      <c r="D328" s="41"/>
      <c r="E328" s="41"/>
      <c r="F328" s="41"/>
      <c r="G328" s="10">
        <f aca="true" t="shared" si="47" ref="G328">G329</f>
        <v>2634</v>
      </c>
    </row>
    <row r="329" spans="1:7" s="252" customFormat="1" ht="20.25" customHeight="1">
      <c r="A329" s="30" t="s">
        <v>442</v>
      </c>
      <c r="B329" s="41" t="s">
        <v>1051</v>
      </c>
      <c r="C329" s="41" t="s">
        <v>281</v>
      </c>
      <c r="D329" s="41" t="s">
        <v>230</v>
      </c>
      <c r="E329" s="41"/>
      <c r="F329" s="41"/>
      <c r="G329" s="10">
        <f>G330+G334</f>
        <v>2634</v>
      </c>
    </row>
    <row r="330" spans="1:7" ht="31.5" customHeight="1" hidden="1">
      <c r="A330" s="30" t="s">
        <v>301</v>
      </c>
      <c r="B330" s="20" t="s">
        <v>1053</v>
      </c>
      <c r="C330" s="41" t="s">
        <v>281</v>
      </c>
      <c r="D330" s="41" t="s">
        <v>230</v>
      </c>
      <c r="E330" s="41"/>
      <c r="F330" s="41"/>
      <c r="G330" s="10">
        <f aca="true" t="shared" si="48" ref="G330:G331">G331</f>
        <v>0</v>
      </c>
    </row>
    <row r="331" spans="1:7" ht="31.5" customHeight="1" hidden="1">
      <c r="A331" s="30" t="s">
        <v>289</v>
      </c>
      <c r="B331" s="20" t="s">
        <v>1053</v>
      </c>
      <c r="C331" s="41" t="s">
        <v>281</v>
      </c>
      <c r="D331" s="41" t="s">
        <v>230</v>
      </c>
      <c r="E331" s="41" t="s">
        <v>290</v>
      </c>
      <c r="F331" s="41"/>
      <c r="G331" s="10">
        <f t="shared" si="48"/>
        <v>0</v>
      </c>
    </row>
    <row r="332" spans="1:7" ht="26.25" customHeight="1" hidden="1">
      <c r="A332" s="30" t="s">
        <v>291</v>
      </c>
      <c r="B332" s="20" t="s">
        <v>1053</v>
      </c>
      <c r="C332" s="41" t="s">
        <v>281</v>
      </c>
      <c r="D332" s="41" t="s">
        <v>230</v>
      </c>
      <c r="E332" s="41" t="s">
        <v>292</v>
      </c>
      <c r="F332" s="41"/>
      <c r="G332" s="10">
        <f>'Пр.6 ведом.20'!G619</f>
        <v>0</v>
      </c>
    </row>
    <row r="333" spans="1:7" s="252" customFormat="1" ht="34.5" customHeight="1" hidden="1">
      <c r="A333" s="30" t="s">
        <v>420</v>
      </c>
      <c r="B333" s="20" t="s">
        <v>1053</v>
      </c>
      <c r="C333" s="41" t="s">
        <v>281</v>
      </c>
      <c r="D333" s="41" t="s">
        <v>230</v>
      </c>
      <c r="E333" s="41" t="s">
        <v>292</v>
      </c>
      <c r="F333" s="41" t="s">
        <v>654</v>
      </c>
      <c r="G333" s="10">
        <f>G332</f>
        <v>0</v>
      </c>
    </row>
    <row r="334" spans="1:7" ht="34.5" customHeight="1">
      <c r="A334" s="63" t="s">
        <v>789</v>
      </c>
      <c r="B334" s="20" t="s">
        <v>1054</v>
      </c>
      <c r="C334" s="41" t="s">
        <v>281</v>
      </c>
      <c r="D334" s="41" t="s">
        <v>230</v>
      </c>
      <c r="E334" s="41"/>
      <c r="F334" s="41"/>
      <c r="G334" s="10">
        <f aca="true" t="shared" si="49" ref="G334:G335">G335</f>
        <v>2634</v>
      </c>
    </row>
    <row r="335" spans="1:7" ht="40.5" customHeight="1">
      <c r="A335" s="30" t="s">
        <v>289</v>
      </c>
      <c r="B335" s="20" t="s">
        <v>1054</v>
      </c>
      <c r="C335" s="41" t="s">
        <v>281</v>
      </c>
      <c r="D335" s="41" t="s">
        <v>230</v>
      </c>
      <c r="E335" s="41" t="s">
        <v>290</v>
      </c>
      <c r="F335" s="41"/>
      <c r="G335" s="10">
        <f t="shared" si="49"/>
        <v>2634</v>
      </c>
    </row>
    <row r="336" spans="1:7" ht="19.5" customHeight="1">
      <c r="A336" s="208" t="s">
        <v>291</v>
      </c>
      <c r="B336" s="20" t="s">
        <v>1054</v>
      </c>
      <c r="C336" s="41" t="s">
        <v>281</v>
      </c>
      <c r="D336" s="41" t="s">
        <v>230</v>
      </c>
      <c r="E336" s="41" t="s">
        <v>292</v>
      </c>
      <c r="F336" s="41"/>
      <c r="G336" s="10">
        <f>'Пр.6 ведом.20'!G622</f>
        <v>2634</v>
      </c>
    </row>
    <row r="337" spans="1:7" s="252" customFormat="1" ht="33" customHeight="1">
      <c r="A337" s="30" t="s">
        <v>420</v>
      </c>
      <c r="B337" s="20" t="s">
        <v>1054</v>
      </c>
      <c r="C337" s="41" t="s">
        <v>281</v>
      </c>
      <c r="D337" s="41" t="s">
        <v>230</v>
      </c>
      <c r="E337" s="41" t="s">
        <v>292</v>
      </c>
      <c r="F337" s="41" t="s">
        <v>654</v>
      </c>
      <c r="G337" s="10">
        <f>G336</f>
        <v>2634</v>
      </c>
    </row>
    <row r="338" spans="1:7" s="252" customFormat="1" ht="38.25" customHeight="1">
      <c r="A338" s="317" t="s">
        <v>1056</v>
      </c>
      <c r="B338" s="24" t="s">
        <v>1052</v>
      </c>
      <c r="C338" s="7"/>
      <c r="D338" s="7"/>
      <c r="E338" s="7"/>
      <c r="F338" s="7"/>
      <c r="G338" s="62">
        <f>G341</f>
        <v>622</v>
      </c>
    </row>
    <row r="339" spans="1:7" s="252" customFormat="1" ht="22.5" customHeight="1">
      <c r="A339" s="30" t="s">
        <v>280</v>
      </c>
      <c r="B339" s="41" t="s">
        <v>1052</v>
      </c>
      <c r="C339" s="41" t="s">
        <v>281</v>
      </c>
      <c r="D339" s="41"/>
      <c r="E339" s="41"/>
      <c r="F339" s="41"/>
      <c r="G339" s="10">
        <f aca="true" t="shared" si="50" ref="G339">G340</f>
        <v>622</v>
      </c>
    </row>
    <row r="340" spans="1:7" s="252" customFormat="1" ht="19.5" customHeight="1">
      <c r="A340" s="30" t="s">
        <v>442</v>
      </c>
      <c r="B340" s="41" t="s">
        <v>1052</v>
      </c>
      <c r="C340" s="41" t="s">
        <v>281</v>
      </c>
      <c r="D340" s="41" t="s">
        <v>230</v>
      </c>
      <c r="E340" s="41"/>
      <c r="F340" s="41"/>
      <c r="G340" s="10">
        <f>G341</f>
        <v>622</v>
      </c>
    </row>
    <row r="341" spans="1:7" s="252" customFormat="1" ht="47.25">
      <c r="A341" s="208" t="s">
        <v>878</v>
      </c>
      <c r="B341" s="20" t="s">
        <v>1055</v>
      </c>
      <c r="C341" s="41" t="s">
        <v>281</v>
      </c>
      <c r="D341" s="41" t="s">
        <v>230</v>
      </c>
      <c r="E341" s="41"/>
      <c r="F341" s="41"/>
      <c r="G341" s="10">
        <f>G342</f>
        <v>622</v>
      </c>
    </row>
    <row r="342" spans="1:7" s="252" customFormat="1" ht="39.75" customHeight="1">
      <c r="A342" s="30" t="s">
        <v>289</v>
      </c>
      <c r="B342" s="20" t="s">
        <v>1055</v>
      </c>
      <c r="C342" s="41" t="s">
        <v>281</v>
      </c>
      <c r="D342" s="41" t="s">
        <v>230</v>
      </c>
      <c r="E342" s="41" t="s">
        <v>290</v>
      </c>
      <c r="F342" s="41"/>
      <c r="G342" s="10">
        <f>G343</f>
        <v>622</v>
      </c>
    </row>
    <row r="343" spans="1:7" s="252" customFormat="1" ht="19.5" customHeight="1">
      <c r="A343" s="208" t="s">
        <v>291</v>
      </c>
      <c r="B343" s="20" t="s">
        <v>1055</v>
      </c>
      <c r="C343" s="41" t="s">
        <v>281</v>
      </c>
      <c r="D343" s="41" t="s">
        <v>230</v>
      </c>
      <c r="E343" s="41" t="s">
        <v>292</v>
      </c>
      <c r="F343" s="41"/>
      <c r="G343" s="10">
        <f>'Пр.5 Рд,пр, ЦС,ВР 20'!F591</f>
        <v>622</v>
      </c>
    </row>
    <row r="344" spans="1:7" s="252" customFormat="1" ht="31.5" customHeight="1">
      <c r="A344" s="30" t="s">
        <v>420</v>
      </c>
      <c r="B344" s="20" t="s">
        <v>1055</v>
      </c>
      <c r="C344" s="41" t="s">
        <v>281</v>
      </c>
      <c r="D344" s="41" t="s">
        <v>230</v>
      </c>
      <c r="E344" s="41" t="s">
        <v>292</v>
      </c>
      <c r="F344" s="41" t="s">
        <v>654</v>
      </c>
      <c r="G344" s="10">
        <f>G343</f>
        <v>622</v>
      </c>
    </row>
    <row r="345" spans="1:7" ht="36" customHeight="1">
      <c r="A345" s="42" t="s">
        <v>463</v>
      </c>
      <c r="B345" s="7" t="s">
        <v>464</v>
      </c>
      <c r="C345" s="7"/>
      <c r="D345" s="7"/>
      <c r="E345" s="7"/>
      <c r="F345" s="7"/>
      <c r="G345" s="62">
        <f aca="true" t="shared" si="51" ref="G345">G347</f>
        <v>689</v>
      </c>
    </row>
    <row r="346" spans="1:7" s="252" customFormat="1" ht="36" customHeight="1">
      <c r="A346" s="319" t="s">
        <v>1085</v>
      </c>
      <c r="B346" s="24" t="s">
        <v>1061</v>
      </c>
      <c r="C346" s="7"/>
      <c r="D346" s="7"/>
      <c r="E346" s="7"/>
      <c r="F346" s="7"/>
      <c r="G346" s="62">
        <f>G347</f>
        <v>689</v>
      </c>
    </row>
    <row r="347" spans="1:7" ht="16.5" customHeight="1">
      <c r="A347" s="30" t="s">
        <v>280</v>
      </c>
      <c r="B347" s="41" t="s">
        <v>1061</v>
      </c>
      <c r="C347" s="41" t="s">
        <v>281</v>
      </c>
      <c r="D347" s="41"/>
      <c r="E347" s="41"/>
      <c r="F347" s="41"/>
      <c r="G347" s="10">
        <f aca="true" t="shared" si="52" ref="G347">G348</f>
        <v>689</v>
      </c>
    </row>
    <row r="348" spans="1:7" ht="22.5" customHeight="1">
      <c r="A348" s="30" t="s">
        <v>282</v>
      </c>
      <c r="B348" s="41" t="s">
        <v>1061</v>
      </c>
      <c r="C348" s="41" t="s">
        <v>281</v>
      </c>
      <c r="D348" s="41" t="s">
        <v>232</v>
      </c>
      <c r="E348" s="41"/>
      <c r="F348" s="41"/>
      <c r="G348" s="10">
        <f>G349</f>
        <v>689</v>
      </c>
    </row>
    <row r="349" spans="1:7" ht="31.5">
      <c r="A349" s="46" t="s">
        <v>789</v>
      </c>
      <c r="B349" s="20" t="s">
        <v>1062</v>
      </c>
      <c r="C349" s="20" t="s">
        <v>281</v>
      </c>
      <c r="D349" s="20" t="s">
        <v>232</v>
      </c>
      <c r="E349" s="20"/>
      <c r="F349" s="20"/>
      <c r="G349" s="10">
        <f aca="true" t="shared" si="53" ref="G349:G350">G350</f>
        <v>689</v>
      </c>
    </row>
    <row r="350" spans="1:7" ht="31.5">
      <c r="A350" s="30" t="s">
        <v>289</v>
      </c>
      <c r="B350" s="20" t="s">
        <v>1062</v>
      </c>
      <c r="C350" s="20" t="s">
        <v>281</v>
      </c>
      <c r="D350" s="20" t="s">
        <v>232</v>
      </c>
      <c r="E350" s="20" t="s">
        <v>290</v>
      </c>
      <c r="F350" s="20"/>
      <c r="G350" s="10">
        <f t="shared" si="53"/>
        <v>689</v>
      </c>
    </row>
    <row r="351" spans="1:7" ht="15.75">
      <c r="A351" s="32" t="s">
        <v>291</v>
      </c>
      <c r="B351" s="20" t="s">
        <v>1062</v>
      </c>
      <c r="C351" s="20" t="s">
        <v>281</v>
      </c>
      <c r="D351" s="20" t="s">
        <v>232</v>
      </c>
      <c r="E351" s="20" t="s">
        <v>292</v>
      </c>
      <c r="F351" s="20"/>
      <c r="G351" s="10">
        <f>'Пр.6 ведом.20'!G662</f>
        <v>689</v>
      </c>
    </row>
    <row r="352" spans="1:7" s="252" customFormat="1" ht="34.5" customHeight="1">
      <c r="A352" s="30" t="s">
        <v>420</v>
      </c>
      <c r="B352" s="20" t="s">
        <v>1062</v>
      </c>
      <c r="C352" s="41" t="s">
        <v>281</v>
      </c>
      <c r="D352" s="41" t="s">
        <v>232</v>
      </c>
      <c r="E352" s="41" t="s">
        <v>292</v>
      </c>
      <c r="F352" s="41" t="s">
        <v>654</v>
      </c>
      <c r="G352" s="10">
        <f>G351</f>
        <v>689</v>
      </c>
    </row>
    <row r="353" spans="1:7" ht="31.5">
      <c r="A353" s="42" t="s">
        <v>484</v>
      </c>
      <c r="B353" s="7" t="s">
        <v>486</v>
      </c>
      <c r="C353" s="7"/>
      <c r="D353" s="7"/>
      <c r="E353" s="7"/>
      <c r="F353" s="7"/>
      <c r="G353" s="62">
        <f>G354</f>
        <v>6836.3</v>
      </c>
    </row>
    <row r="354" spans="1:7" s="252" customFormat="1" ht="31.5">
      <c r="A354" s="23" t="s">
        <v>1064</v>
      </c>
      <c r="B354" s="24" t="s">
        <v>1065</v>
      </c>
      <c r="C354" s="7"/>
      <c r="D354" s="7"/>
      <c r="E354" s="7"/>
      <c r="F354" s="7"/>
      <c r="G354" s="62">
        <f>G355</f>
        <v>6836.3</v>
      </c>
    </row>
    <row r="355" spans="1:7" ht="15.75">
      <c r="A355" s="30" t="s">
        <v>280</v>
      </c>
      <c r="B355" s="41" t="s">
        <v>1065</v>
      </c>
      <c r="C355" s="41" t="s">
        <v>281</v>
      </c>
      <c r="D355" s="41"/>
      <c r="E355" s="41"/>
      <c r="F355" s="41"/>
      <c r="G355" s="10">
        <f aca="true" t="shared" si="54" ref="G355:G358">G356</f>
        <v>6836.3</v>
      </c>
    </row>
    <row r="356" spans="1:7" ht="15.75">
      <c r="A356" s="30" t="s">
        <v>483</v>
      </c>
      <c r="B356" s="41" t="s">
        <v>1065</v>
      </c>
      <c r="C356" s="41" t="s">
        <v>281</v>
      </c>
      <c r="D356" s="41" t="s">
        <v>281</v>
      </c>
      <c r="E356" s="41"/>
      <c r="F356" s="41"/>
      <c r="G356" s="10">
        <f>G357+G361</f>
        <v>6836.3</v>
      </c>
    </row>
    <row r="357" spans="1:7" ht="31.5">
      <c r="A357" s="32" t="s">
        <v>1252</v>
      </c>
      <c r="B357" s="20" t="s">
        <v>1066</v>
      </c>
      <c r="C357" s="41" t="s">
        <v>281</v>
      </c>
      <c r="D357" s="41" t="s">
        <v>281</v>
      </c>
      <c r="E357" s="41"/>
      <c r="F357" s="41"/>
      <c r="G357" s="10">
        <f t="shared" si="54"/>
        <v>3584</v>
      </c>
    </row>
    <row r="358" spans="1:7" ht="31.5">
      <c r="A358" s="25" t="s">
        <v>289</v>
      </c>
      <c r="B358" s="20" t="s">
        <v>1066</v>
      </c>
      <c r="C358" s="41" t="s">
        <v>281</v>
      </c>
      <c r="D358" s="41" t="s">
        <v>281</v>
      </c>
      <c r="E358" s="41" t="s">
        <v>290</v>
      </c>
      <c r="F358" s="41"/>
      <c r="G358" s="10">
        <f t="shared" si="54"/>
        <v>3584</v>
      </c>
    </row>
    <row r="359" spans="1:7" ht="15.75">
      <c r="A359" s="25" t="s">
        <v>291</v>
      </c>
      <c r="B359" s="20" t="s">
        <v>1066</v>
      </c>
      <c r="C359" s="41" t="s">
        <v>281</v>
      </c>
      <c r="D359" s="41" t="s">
        <v>281</v>
      </c>
      <c r="E359" s="41" t="s">
        <v>292</v>
      </c>
      <c r="F359" s="41"/>
      <c r="G359" s="10">
        <f>'Пр.6 ведом.20'!G674</f>
        <v>3584</v>
      </c>
    </row>
    <row r="360" spans="1:7" s="252" customFormat="1" ht="31.5">
      <c r="A360" s="30" t="s">
        <v>420</v>
      </c>
      <c r="B360" s="20" t="s">
        <v>1066</v>
      </c>
      <c r="C360" s="41" t="s">
        <v>281</v>
      </c>
      <c r="D360" s="41" t="s">
        <v>281</v>
      </c>
      <c r="E360" s="41" t="s">
        <v>292</v>
      </c>
      <c r="F360" s="41" t="s">
        <v>654</v>
      </c>
      <c r="G360" s="10">
        <f>G359</f>
        <v>3584</v>
      </c>
    </row>
    <row r="361" spans="1:7" s="252" customFormat="1" ht="31.5">
      <c r="A361" s="32" t="s">
        <v>491</v>
      </c>
      <c r="B361" s="20" t="s">
        <v>1067</v>
      </c>
      <c r="C361" s="41" t="s">
        <v>281</v>
      </c>
      <c r="D361" s="41" t="s">
        <v>281</v>
      </c>
      <c r="E361" s="41"/>
      <c r="F361" s="41"/>
      <c r="G361" s="10">
        <f>G362</f>
        <v>3252.3</v>
      </c>
    </row>
    <row r="362" spans="1:7" s="252" customFormat="1" ht="31.5">
      <c r="A362" s="25" t="s">
        <v>289</v>
      </c>
      <c r="B362" s="20" t="s">
        <v>1067</v>
      </c>
      <c r="C362" s="41" t="s">
        <v>281</v>
      </c>
      <c r="D362" s="41" t="s">
        <v>281</v>
      </c>
      <c r="E362" s="41" t="s">
        <v>290</v>
      </c>
      <c r="F362" s="41"/>
      <c r="G362" s="10">
        <f>G363</f>
        <v>3252.3</v>
      </c>
    </row>
    <row r="363" spans="1:7" s="252" customFormat="1" ht="15.75">
      <c r="A363" s="25" t="s">
        <v>291</v>
      </c>
      <c r="B363" s="20" t="s">
        <v>1067</v>
      </c>
      <c r="C363" s="41" t="s">
        <v>281</v>
      </c>
      <c r="D363" s="41" t="s">
        <v>281</v>
      </c>
      <c r="E363" s="41" t="s">
        <v>292</v>
      </c>
      <c r="F363" s="41"/>
      <c r="G363" s="10">
        <f>'Пр.5 Рд,пр, ЦС,ВР 20'!F698</f>
        <v>3252.3</v>
      </c>
    </row>
    <row r="364" spans="1:7" ht="31.5">
      <c r="A364" s="30" t="s">
        <v>420</v>
      </c>
      <c r="B364" s="20" t="s">
        <v>1067</v>
      </c>
      <c r="C364" s="41" t="s">
        <v>281</v>
      </c>
      <c r="D364" s="41" t="s">
        <v>281</v>
      </c>
      <c r="E364" s="41" t="s">
        <v>292</v>
      </c>
      <c r="F364" s="41" t="s">
        <v>654</v>
      </c>
      <c r="G364" s="10">
        <f>G363</f>
        <v>3252.3</v>
      </c>
    </row>
    <row r="365" spans="1:7" ht="47.25">
      <c r="A365" s="60" t="s">
        <v>817</v>
      </c>
      <c r="B365" s="232" t="s">
        <v>173</v>
      </c>
      <c r="C365" s="7"/>
      <c r="D365" s="232"/>
      <c r="E365" s="232"/>
      <c r="F365" s="232"/>
      <c r="G365" s="62">
        <f>G367</f>
        <v>100</v>
      </c>
    </row>
    <row r="366" spans="1:7" s="252" customFormat="1" ht="36.75" customHeight="1">
      <c r="A366" s="23" t="s">
        <v>1260</v>
      </c>
      <c r="B366" s="24" t="s">
        <v>1257</v>
      </c>
      <c r="C366" s="7"/>
      <c r="D366" s="7"/>
      <c r="E366" s="7"/>
      <c r="F366" s="7"/>
      <c r="G366" s="62">
        <f>G367</f>
        <v>100</v>
      </c>
    </row>
    <row r="367" spans="1:7" ht="15.75">
      <c r="A367" s="46" t="s">
        <v>249</v>
      </c>
      <c r="B367" s="5" t="s">
        <v>1257</v>
      </c>
      <c r="C367" s="41" t="s">
        <v>167</v>
      </c>
      <c r="D367" s="41"/>
      <c r="E367" s="41"/>
      <c r="F367" s="41"/>
      <c r="G367" s="10">
        <f>G368</f>
        <v>100</v>
      </c>
    </row>
    <row r="368" spans="1:7" ht="15.75">
      <c r="A368" s="46" t="s">
        <v>800</v>
      </c>
      <c r="B368" s="5" t="s">
        <v>1257</v>
      </c>
      <c r="C368" s="41" t="s">
        <v>167</v>
      </c>
      <c r="D368" s="41" t="s">
        <v>255</v>
      </c>
      <c r="E368" s="41"/>
      <c r="F368" s="41"/>
      <c r="G368" s="10">
        <f>G369+G373</f>
        <v>100</v>
      </c>
    </row>
    <row r="369" spans="1:7" ht="31.5">
      <c r="A369" s="25" t="s">
        <v>1261</v>
      </c>
      <c r="B369" s="20" t="s">
        <v>1258</v>
      </c>
      <c r="C369" s="41" t="s">
        <v>167</v>
      </c>
      <c r="D369" s="41" t="s">
        <v>255</v>
      </c>
      <c r="E369" s="41"/>
      <c r="F369" s="41"/>
      <c r="G369" s="10">
        <f>G370</f>
        <v>100</v>
      </c>
    </row>
    <row r="370" spans="1:7" ht="15.75">
      <c r="A370" s="25" t="s">
        <v>152</v>
      </c>
      <c r="B370" s="20" t="s">
        <v>1258</v>
      </c>
      <c r="C370" s="41" t="s">
        <v>167</v>
      </c>
      <c r="D370" s="41" t="s">
        <v>255</v>
      </c>
      <c r="E370" s="41" t="s">
        <v>149</v>
      </c>
      <c r="F370" s="41"/>
      <c r="G370" s="10">
        <f>G371</f>
        <v>100</v>
      </c>
    </row>
    <row r="371" spans="1:7" ht="47.25">
      <c r="A371" s="25" t="s">
        <v>201</v>
      </c>
      <c r="B371" s="20" t="s">
        <v>1258</v>
      </c>
      <c r="C371" s="41" t="s">
        <v>167</v>
      </c>
      <c r="D371" s="41" t="s">
        <v>255</v>
      </c>
      <c r="E371" s="41" t="s">
        <v>151</v>
      </c>
      <c r="F371" s="41"/>
      <c r="G371" s="10">
        <f>'Пр.5 Рд,пр, ЦС,ВР 20'!F300</f>
        <v>100</v>
      </c>
    </row>
    <row r="372" spans="1:7" s="252" customFormat="1" ht="15.75">
      <c r="A372" s="30" t="s">
        <v>165</v>
      </c>
      <c r="B372" s="20" t="s">
        <v>1258</v>
      </c>
      <c r="C372" s="41" t="s">
        <v>167</v>
      </c>
      <c r="D372" s="41" t="s">
        <v>255</v>
      </c>
      <c r="E372" s="41" t="s">
        <v>151</v>
      </c>
      <c r="F372" s="41" t="s">
        <v>659</v>
      </c>
      <c r="G372" s="10">
        <f>G371</f>
        <v>100</v>
      </c>
    </row>
    <row r="373" spans="1:7" s="252" customFormat="1" ht="31.5" hidden="1">
      <c r="A373" s="25" t="s">
        <v>256</v>
      </c>
      <c r="B373" s="20" t="s">
        <v>1259</v>
      </c>
      <c r="C373" s="41" t="s">
        <v>167</v>
      </c>
      <c r="D373" s="41" t="s">
        <v>255</v>
      </c>
      <c r="E373" s="41"/>
      <c r="F373" s="41"/>
      <c r="G373" s="10">
        <f>G374</f>
        <v>0</v>
      </c>
    </row>
    <row r="374" spans="1:7" s="252" customFormat="1" ht="15.75" hidden="1">
      <c r="A374" s="25" t="s">
        <v>152</v>
      </c>
      <c r="B374" s="20" t="s">
        <v>1259</v>
      </c>
      <c r="C374" s="41" t="s">
        <v>167</v>
      </c>
      <c r="D374" s="41" t="s">
        <v>255</v>
      </c>
      <c r="E374" s="41" t="s">
        <v>162</v>
      </c>
      <c r="F374" s="41"/>
      <c r="G374" s="10">
        <f>G375</f>
        <v>0</v>
      </c>
    </row>
    <row r="375" spans="1:7" s="252" customFormat="1" ht="47.25" hidden="1">
      <c r="A375" s="25" t="s">
        <v>201</v>
      </c>
      <c r="B375" s="20" t="s">
        <v>1259</v>
      </c>
      <c r="C375" s="41" t="s">
        <v>167</v>
      </c>
      <c r="D375" s="41" t="s">
        <v>255</v>
      </c>
      <c r="E375" s="41" t="s">
        <v>177</v>
      </c>
      <c r="F375" s="41"/>
      <c r="G375" s="10">
        <f>'Пр.5 Рд,пр, ЦС,ВР 20'!F303</f>
        <v>0</v>
      </c>
    </row>
    <row r="376" spans="1:7" ht="15.75" hidden="1">
      <c r="A376" s="30" t="s">
        <v>165</v>
      </c>
      <c r="B376" s="20" t="s">
        <v>1259</v>
      </c>
      <c r="C376" s="41" t="s">
        <v>167</v>
      </c>
      <c r="D376" s="41" t="s">
        <v>255</v>
      </c>
      <c r="E376" s="41" t="s">
        <v>177</v>
      </c>
      <c r="F376" s="41" t="s">
        <v>659</v>
      </c>
      <c r="G376" s="10">
        <f>G375</f>
        <v>0</v>
      </c>
    </row>
    <row r="377" spans="1:7" ht="45.75" customHeight="1">
      <c r="A377" s="42" t="s">
        <v>821</v>
      </c>
      <c r="B377" s="232" t="s">
        <v>179</v>
      </c>
      <c r="C377" s="7"/>
      <c r="D377" s="7"/>
      <c r="E377" s="7"/>
      <c r="F377" s="7"/>
      <c r="G377" s="62">
        <f>G378+G385+G404</f>
        <v>806</v>
      </c>
    </row>
    <row r="378" spans="1:7" s="252" customFormat="1" ht="67.5" customHeight="1">
      <c r="A378" s="322" t="s">
        <v>1164</v>
      </c>
      <c r="B378" s="7" t="s">
        <v>900</v>
      </c>
      <c r="C378" s="7"/>
      <c r="D378" s="8"/>
      <c r="E378" s="232"/>
      <c r="F378" s="7"/>
      <c r="G378" s="62">
        <f>G380</f>
        <v>491</v>
      </c>
    </row>
    <row r="379" spans="1:7" s="252" customFormat="1" ht="21.75" customHeight="1">
      <c r="A379" s="46" t="s">
        <v>134</v>
      </c>
      <c r="B379" s="5" t="s">
        <v>900</v>
      </c>
      <c r="C379" s="41" t="s">
        <v>135</v>
      </c>
      <c r="D379" s="5"/>
      <c r="E379" s="5"/>
      <c r="F379" s="41"/>
      <c r="G379" s="10">
        <f aca="true" t="shared" si="55" ref="G379">G380</f>
        <v>491</v>
      </c>
    </row>
    <row r="380" spans="1:7" s="252" customFormat="1" ht="45.75" customHeight="1">
      <c r="A380" s="30" t="s">
        <v>166</v>
      </c>
      <c r="B380" s="5" t="s">
        <v>900</v>
      </c>
      <c r="C380" s="41" t="s">
        <v>135</v>
      </c>
      <c r="D380" s="9" t="s">
        <v>167</v>
      </c>
      <c r="E380" s="5"/>
      <c r="F380" s="41"/>
      <c r="G380" s="10">
        <f>G381</f>
        <v>491</v>
      </c>
    </row>
    <row r="381" spans="1:7" s="252" customFormat="1" ht="36" customHeight="1">
      <c r="A381" s="30" t="s">
        <v>180</v>
      </c>
      <c r="B381" s="41" t="s">
        <v>892</v>
      </c>
      <c r="C381" s="41" t="s">
        <v>135</v>
      </c>
      <c r="D381" s="9" t="s">
        <v>167</v>
      </c>
      <c r="E381" s="41"/>
      <c r="F381" s="41"/>
      <c r="G381" s="10">
        <f aca="true" t="shared" si="56" ref="G381:G382">G382</f>
        <v>491</v>
      </c>
    </row>
    <row r="382" spans="1:7" s="252" customFormat="1" ht="34.5" customHeight="1">
      <c r="A382" s="30" t="s">
        <v>148</v>
      </c>
      <c r="B382" s="41" t="s">
        <v>892</v>
      </c>
      <c r="C382" s="41" t="s">
        <v>135</v>
      </c>
      <c r="D382" s="9" t="s">
        <v>167</v>
      </c>
      <c r="E382" s="41" t="s">
        <v>149</v>
      </c>
      <c r="F382" s="41"/>
      <c r="G382" s="10">
        <f t="shared" si="56"/>
        <v>491</v>
      </c>
    </row>
    <row r="383" spans="1:7" s="252" customFormat="1" ht="36" customHeight="1">
      <c r="A383" s="30" t="s">
        <v>150</v>
      </c>
      <c r="B383" s="41" t="s">
        <v>892</v>
      </c>
      <c r="C383" s="41" t="s">
        <v>135</v>
      </c>
      <c r="D383" s="9" t="s">
        <v>167</v>
      </c>
      <c r="E383" s="41" t="s">
        <v>151</v>
      </c>
      <c r="F383" s="41"/>
      <c r="G383" s="10">
        <f>'Пр.5 Рд,пр, ЦС,ВР 20'!F82</f>
        <v>491</v>
      </c>
    </row>
    <row r="384" spans="1:7" s="252" customFormat="1" ht="20.25" customHeight="1">
      <c r="A384" s="30" t="s">
        <v>165</v>
      </c>
      <c r="B384" s="41" t="s">
        <v>892</v>
      </c>
      <c r="C384" s="41" t="s">
        <v>135</v>
      </c>
      <c r="D384" s="9" t="s">
        <v>167</v>
      </c>
      <c r="E384" s="41" t="s">
        <v>151</v>
      </c>
      <c r="F384" s="41" t="s">
        <v>659</v>
      </c>
      <c r="G384" s="10">
        <f>G383</f>
        <v>491</v>
      </c>
    </row>
    <row r="385" spans="1:7" s="252" customFormat="1" ht="63" customHeight="1">
      <c r="A385" s="321" t="s">
        <v>894</v>
      </c>
      <c r="B385" s="7" t="s">
        <v>901</v>
      </c>
      <c r="C385" s="7"/>
      <c r="D385" s="8"/>
      <c r="E385" s="232"/>
      <c r="F385" s="7"/>
      <c r="G385" s="62">
        <f>G386</f>
        <v>274.5</v>
      </c>
    </row>
    <row r="386" spans="1:7" ht="15.75">
      <c r="A386" s="46" t="s">
        <v>134</v>
      </c>
      <c r="B386" s="5" t="s">
        <v>901</v>
      </c>
      <c r="C386" s="41" t="s">
        <v>135</v>
      </c>
      <c r="D386" s="5"/>
      <c r="E386" s="5"/>
      <c r="F386" s="41"/>
      <c r="G386" s="10">
        <f>G387+G396</f>
        <v>274.5</v>
      </c>
    </row>
    <row r="387" spans="1:7" ht="47.25">
      <c r="A387" s="30" t="s">
        <v>592</v>
      </c>
      <c r="B387" s="5" t="s">
        <v>901</v>
      </c>
      <c r="C387" s="41" t="s">
        <v>135</v>
      </c>
      <c r="D387" s="9" t="s">
        <v>230</v>
      </c>
      <c r="E387" s="5"/>
      <c r="F387" s="41"/>
      <c r="G387" s="10">
        <f>G388+G392</f>
        <v>25.5</v>
      </c>
    </row>
    <row r="388" spans="1:7" s="252" customFormat="1" ht="47.25">
      <c r="A388" s="32" t="s">
        <v>713</v>
      </c>
      <c r="B388" s="41" t="s">
        <v>1150</v>
      </c>
      <c r="C388" s="41" t="s">
        <v>135</v>
      </c>
      <c r="D388" s="9" t="s">
        <v>230</v>
      </c>
      <c r="E388" s="5"/>
      <c r="F388" s="41"/>
      <c r="G388" s="10">
        <f>G389</f>
        <v>0.5</v>
      </c>
    </row>
    <row r="389" spans="1:7" s="252" customFormat="1" ht="31.5">
      <c r="A389" s="25" t="s">
        <v>148</v>
      </c>
      <c r="B389" s="41" t="s">
        <v>1150</v>
      </c>
      <c r="C389" s="41" t="s">
        <v>135</v>
      </c>
      <c r="D389" s="9" t="s">
        <v>230</v>
      </c>
      <c r="E389" s="5">
        <v>200</v>
      </c>
      <c r="F389" s="41"/>
      <c r="G389" s="10">
        <f>G390</f>
        <v>0.5</v>
      </c>
    </row>
    <row r="390" spans="1:7" s="252" customFormat="1" ht="31.5">
      <c r="A390" s="25" t="s">
        <v>150</v>
      </c>
      <c r="B390" s="41" t="s">
        <v>714</v>
      </c>
      <c r="C390" s="41" t="s">
        <v>135</v>
      </c>
      <c r="D390" s="9" t="s">
        <v>230</v>
      </c>
      <c r="E390" s="5">
        <v>240</v>
      </c>
      <c r="F390" s="41"/>
      <c r="G390" s="10">
        <f>'Пр.5 Рд,пр, ЦС,ВР 20'!F24</f>
        <v>0.5</v>
      </c>
    </row>
    <row r="391" spans="1:7" s="252" customFormat="1" ht="31.5">
      <c r="A391" s="46" t="s">
        <v>591</v>
      </c>
      <c r="B391" s="41" t="s">
        <v>714</v>
      </c>
      <c r="C391" s="41" t="s">
        <v>135</v>
      </c>
      <c r="D391" s="9" t="s">
        <v>230</v>
      </c>
      <c r="E391" s="5">
        <v>240</v>
      </c>
      <c r="F391" s="41" t="s">
        <v>816</v>
      </c>
      <c r="G391" s="10">
        <f>G390</f>
        <v>0.5</v>
      </c>
    </row>
    <row r="392" spans="1:7" s="252" customFormat="1" ht="47.25">
      <c r="A392" s="32" t="s">
        <v>713</v>
      </c>
      <c r="B392" s="20" t="s">
        <v>1149</v>
      </c>
      <c r="C392" s="41" t="s">
        <v>135</v>
      </c>
      <c r="D392" s="9" t="s">
        <v>230</v>
      </c>
      <c r="E392" s="5"/>
      <c r="F392" s="41"/>
      <c r="G392" s="10">
        <f>G393</f>
        <v>25</v>
      </c>
    </row>
    <row r="393" spans="1:7" s="252" customFormat="1" ht="31.5">
      <c r="A393" s="25" t="s">
        <v>148</v>
      </c>
      <c r="B393" s="20" t="s">
        <v>1149</v>
      </c>
      <c r="C393" s="41" t="s">
        <v>135</v>
      </c>
      <c r="D393" s="9" t="s">
        <v>230</v>
      </c>
      <c r="E393" s="5">
        <v>200</v>
      </c>
      <c r="F393" s="41"/>
      <c r="G393" s="10">
        <f>G394</f>
        <v>25</v>
      </c>
    </row>
    <row r="394" spans="1:7" s="252" customFormat="1" ht="31.5">
      <c r="A394" s="25" t="s">
        <v>150</v>
      </c>
      <c r="B394" s="20" t="s">
        <v>1149</v>
      </c>
      <c r="C394" s="41" t="s">
        <v>135</v>
      </c>
      <c r="D394" s="9" t="s">
        <v>230</v>
      </c>
      <c r="E394" s="5">
        <v>240</v>
      </c>
      <c r="F394" s="41"/>
      <c r="G394" s="10">
        <f>'Пр.5 Рд,пр, ЦС,ВР 20'!F27</f>
        <v>25</v>
      </c>
    </row>
    <row r="395" spans="1:7" s="252" customFormat="1" ht="31.5">
      <c r="A395" s="46" t="s">
        <v>591</v>
      </c>
      <c r="B395" s="20" t="s">
        <v>1149</v>
      </c>
      <c r="C395" s="41" t="s">
        <v>135</v>
      </c>
      <c r="D395" s="9" t="s">
        <v>230</v>
      </c>
      <c r="E395" s="5">
        <v>240</v>
      </c>
      <c r="F395" s="41" t="s">
        <v>816</v>
      </c>
      <c r="G395" s="10">
        <f>G394</f>
        <v>25</v>
      </c>
    </row>
    <row r="396" spans="1:7" s="252" customFormat="1" ht="63">
      <c r="A396" s="30" t="s">
        <v>166</v>
      </c>
      <c r="B396" s="5" t="s">
        <v>901</v>
      </c>
      <c r="C396" s="41" t="s">
        <v>135</v>
      </c>
      <c r="D396" s="9" t="s">
        <v>167</v>
      </c>
      <c r="E396" s="5"/>
      <c r="F396" s="41"/>
      <c r="G396" s="10">
        <f>G397</f>
        <v>249</v>
      </c>
    </row>
    <row r="397" spans="1:7" ht="47.25">
      <c r="A397" s="188" t="s">
        <v>182</v>
      </c>
      <c r="B397" s="41" t="s">
        <v>893</v>
      </c>
      <c r="C397" s="41" t="s">
        <v>135</v>
      </c>
      <c r="D397" s="9" t="s">
        <v>167</v>
      </c>
      <c r="E397" s="41"/>
      <c r="F397" s="41"/>
      <c r="G397" s="10">
        <f>G398+G401</f>
        <v>249</v>
      </c>
    </row>
    <row r="398" spans="1:7" ht="78.75">
      <c r="A398" s="25" t="s">
        <v>144</v>
      </c>
      <c r="B398" s="41" t="s">
        <v>893</v>
      </c>
      <c r="C398" s="41" t="s">
        <v>135</v>
      </c>
      <c r="D398" s="9" t="s">
        <v>167</v>
      </c>
      <c r="E398" s="41" t="s">
        <v>145</v>
      </c>
      <c r="F398" s="41"/>
      <c r="G398" s="10">
        <f aca="true" t="shared" si="57" ref="G398">G399</f>
        <v>159.7</v>
      </c>
    </row>
    <row r="399" spans="1:7" ht="31.5">
      <c r="A399" s="25" t="s">
        <v>146</v>
      </c>
      <c r="B399" s="41" t="s">
        <v>893</v>
      </c>
      <c r="C399" s="41" t="s">
        <v>135</v>
      </c>
      <c r="D399" s="9" t="s">
        <v>167</v>
      </c>
      <c r="E399" s="41" t="s">
        <v>147</v>
      </c>
      <c r="F399" s="41"/>
      <c r="G399" s="10">
        <f>'Пр.5 Рд,пр, ЦС,ВР 20'!F86</f>
        <v>159.7</v>
      </c>
    </row>
    <row r="400" spans="1:7" s="252" customFormat="1" ht="15.75">
      <c r="A400" s="30" t="s">
        <v>165</v>
      </c>
      <c r="B400" s="41" t="s">
        <v>893</v>
      </c>
      <c r="C400" s="41" t="s">
        <v>135</v>
      </c>
      <c r="D400" s="9" t="s">
        <v>167</v>
      </c>
      <c r="E400" s="41" t="s">
        <v>147</v>
      </c>
      <c r="F400" s="41" t="s">
        <v>659</v>
      </c>
      <c r="G400" s="10">
        <f>G399</f>
        <v>159.7</v>
      </c>
    </row>
    <row r="401" spans="1:7" ht="31.5">
      <c r="A401" s="25" t="s">
        <v>148</v>
      </c>
      <c r="B401" s="41" t="s">
        <v>893</v>
      </c>
      <c r="C401" s="41" t="s">
        <v>135</v>
      </c>
      <c r="D401" s="9" t="s">
        <v>167</v>
      </c>
      <c r="E401" s="41" t="s">
        <v>149</v>
      </c>
      <c r="F401" s="41"/>
      <c r="G401" s="10">
        <f aca="true" t="shared" si="58" ref="G401">G402</f>
        <v>89.30000000000001</v>
      </c>
    </row>
    <row r="402" spans="1:7" ht="31.5">
      <c r="A402" s="25" t="s">
        <v>150</v>
      </c>
      <c r="B402" s="41" t="s">
        <v>893</v>
      </c>
      <c r="C402" s="41" t="s">
        <v>135</v>
      </c>
      <c r="D402" s="9" t="s">
        <v>167</v>
      </c>
      <c r="E402" s="41" t="s">
        <v>151</v>
      </c>
      <c r="F402" s="41"/>
      <c r="G402" s="10">
        <f>'Пр.5 Рд,пр, ЦС,ВР 20'!F88</f>
        <v>89.30000000000001</v>
      </c>
    </row>
    <row r="403" spans="1:7" s="252" customFormat="1" ht="19.5" customHeight="1">
      <c r="A403" s="30" t="s">
        <v>165</v>
      </c>
      <c r="B403" s="41" t="s">
        <v>893</v>
      </c>
      <c r="C403" s="41" t="s">
        <v>135</v>
      </c>
      <c r="D403" s="9" t="s">
        <v>167</v>
      </c>
      <c r="E403" s="41" t="s">
        <v>151</v>
      </c>
      <c r="F403" s="41" t="s">
        <v>659</v>
      </c>
      <c r="G403" s="10">
        <f>G402</f>
        <v>89.30000000000001</v>
      </c>
    </row>
    <row r="404" spans="1:7" s="252" customFormat="1" ht="63">
      <c r="A404" s="323" t="s">
        <v>1165</v>
      </c>
      <c r="B404" s="7" t="s">
        <v>902</v>
      </c>
      <c r="C404" s="7" t="s">
        <v>135</v>
      </c>
      <c r="D404" s="8" t="s">
        <v>167</v>
      </c>
      <c r="E404" s="7"/>
      <c r="F404" s="7"/>
      <c r="G404" s="62">
        <f>G405+G409</f>
        <v>40.5</v>
      </c>
    </row>
    <row r="405" spans="1:7" s="252" customFormat="1" ht="47.25">
      <c r="A405" s="34" t="s">
        <v>208</v>
      </c>
      <c r="B405" s="41" t="s">
        <v>895</v>
      </c>
      <c r="C405" s="41" t="s">
        <v>135</v>
      </c>
      <c r="D405" s="9" t="s">
        <v>167</v>
      </c>
      <c r="E405" s="41"/>
      <c r="F405" s="41"/>
      <c r="G405" s="10">
        <f>G406</f>
        <v>0.5</v>
      </c>
    </row>
    <row r="406" spans="1:7" s="252" customFormat="1" ht="31.5">
      <c r="A406" s="25" t="s">
        <v>148</v>
      </c>
      <c r="B406" s="41" t="s">
        <v>895</v>
      </c>
      <c r="C406" s="41" t="s">
        <v>135</v>
      </c>
      <c r="D406" s="9" t="s">
        <v>167</v>
      </c>
      <c r="E406" s="41" t="s">
        <v>149</v>
      </c>
      <c r="F406" s="41"/>
      <c r="G406" s="10">
        <f>G407</f>
        <v>0.5</v>
      </c>
    </row>
    <row r="407" spans="1:7" s="252" customFormat="1" ht="31.5">
      <c r="A407" s="25" t="s">
        <v>150</v>
      </c>
      <c r="B407" s="41" t="s">
        <v>895</v>
      </c>
      <c r="C407" s="41" t="s">
        <v>135</v>
      </c>
      <c r="D407" s="9" t="s">
        <v>167</v>
      </c>
      <c r="E407" s="41" t="s">
        <v>151</v>
      </c>
      <c r="F407" s="41"/>
      <c r="G407" s="10">
        <f>'Пр.5 Рд,пр, ЦС,ВР 20'!F92</f>
        <v>0.5</v>
      </c>
    </row>
    <row r="408" spans="1:7" s="252" customFormat="1" ht="15.75">
      <c r="A408" s="30" t="s">
        <v>165</v>
      </c>
      <c r="B408" s="41" t="s">
        <v>895</v>
      </c>
      <c r="C408" s="41" t="s">
        <v>135</v>
      </c>
      <c r="D408" s="9" t="s">
        <v>167</v>
      </c>
      <c r="E408" s="41" t="s">
        <v>151</v>
      </c>
      <c r="F408" s="41" t="s">
        <v>659</v>
      </c>
      <c r="G408" s="10">
        <f>G407</f>
        <v>0.5</v>
      </c>
    </row>
    <row r="409" spans="1:7" s="252" customFormat="1" ht="47.25">
      <c r="A409" s="34" t="s">
        <v>208</v>
      </c>
      <c r="B409" s="20" t="s">
        <v>896</v>
      </c>
      <c r="C409" s="41" t="s">
        <v>135</v>
      </c>
      <c r="D409" s="9" t="s">
        <v>167</v>
      </c>
      <c r="E409" s="41"/>
      <c r="F409" s="41"/>
      <c r="G409" s="10">
        <f>G410</f>
        <v>40</v>
      </c>
    </row>
    <row r="410" spans="1:7" s="252" customFormat="1" ht="31.5">
      <c r="A410" s="25" t="s">
        <v>148</v>
      </c>
      <c r="B410" s="20" t="s">
        <v>896</v>
      </c>
      <c r="C410" s="41" t="s">
        <v>135</v>
      </c>
      <c r="D410" s="9" t="s">
        <v>167</v>
      </c>
      <c r="E410" s="41" t="s">
        <v>149</v>
      </c>
      <c r="F410" s="41"/>
      <c r="G410" s="10">
        <f>G411</f>
        <v>40</v>
      </c>
    </row>
    <row r="411" spans="1:7" s="252" customFormat="1" ht="31.5">
      <c r="A411" s="25" t="s">
        <v>150</v>
      </c>
      <c r="B411" s="20" t="s">
        <v>896</v>
      </c>
      <c r="C411" s="41" t="s">
        <v>135</v>
      </c>
      <c r="D411" s="9" t="s">
        <v>167</v>
      </c>
      <c r="E411" s="41" t="s">
        <v>151</v>
      </c>
      <c r="F411" s="41"/>
      <c r="G411" s="10">
        <f>'Пр.5 Рд,пр, ЦС,ВР 20'!F95</f>
        <v>40</v>
      </c>
    </row>
    <row r="412" spans="1:7" ht="15.75">
      <c r="A412" s="30" t="s">
        <v>165</v>
      </c>
      <c r="B412" s="20" t="s">
        <v>896</v>
      </c>
      <c r="C412" s="41" t="s">
        <v>135</v>
      </c>
      <c r="D412" s="9" t="s">
        <v>167</v>
      </c>
      <c r="E412" s="41" t="s">
        <v>151</v>
      </c>
      <c r="F412" s="41" t="s">
        <v>659</v>
      </c>
      <c r="G412" s="10">
        <f>G411</f>
        <v>40</v>
      </c>
    </row>
    <row r="413" spans="1:7" ht="70.5" customHeight="1">
      <c r="A413" s="42" t="s">
        <v>270</v>
      </c>
      <c r="B413" s="232" t="s">
        <v>271</v>
      </c>
      <c r="C413" s="41"/>
      <c r="D413" s="41"/>
      <c r="E413" s="41"/>
      <c r="F413" s="41"/>
      <c r="G413" s="62">
        <f aca="true" t="shared" si="59" ref="G413">G415</f>
        <v>10</v>
      </c>
    </row>
    <row r="414" spans="1:7" s="252" customFormat="1" ht="54" customHeight="1">
      <c r="A414" s="23" t="s">
        <v>936</v>
      </c>
      <c r="B414" s="24" t="s">
        <v>934</v>
      </c>
      <c r="C414" s="41"/>
      <c r="D414" s="41"/>
      <c r="E414" s="41"/>
      <c r="F414" s="41"/>
      <c r="G414" s="62">
        <f>G415</f>
        <v>10</v>
      </c>
    </row>
    <row r="415" spans="1:7" ht="15.75">
      <c r="A415" s="30" t="s">
        <v>260</v>
      </c>
      <c r="B415" s="5" t="s">
        <v>934</v>
      </c>
      <c r="C415" s="41" t="s">
        <v>261</v>
      </c>
      <c r="D415" s="41"/>
      <c r="E415" s="41"/>
      <c r="F415" s="41"/>
      <c r="G415" s="10">
        <f>G416</f>
        <v>10</v>
      </c>
    </row>
    <row r="416" spans="1:7" ht="22.5" customHeight="1">
      <c r="A416" s="30" t="s">
        <v>269</v>
      </c>
      <c r="B416" s="5" t="s">
        <v>934</v>
      </c>
      <c r="C416" s="41" t="s">
        <v>261</v>
      </c>
      <c r="D416" s="41" t="s">
        <v>232</v>
      </c>
      <c r="E416" s="41"/>
      <c r="F416" s="41"/>
      <c r="G416" s="10">
        <f>G417</f>
        <v>10</v>
      </c>
    </row>
    <row r="417" spans="1:7" ht="31.5">
      <c r="A417" s="25" t="s">
        <v>935</v>
      </c>
      <c r="B417" s="20" t="s">
        <v>1158</v>
      </c>
      <c r="C417" s="41" t="s">
        <v>261</v>
      </c>
      <c r="D417" s="41" t="s">
        <v>232</v>
      </c>
      <c r="E417" s="41"/>
      <c r="F417" s="41"/>
      <c r="G417" s="10">
        <f aca="true" t="shared" si="60" ref="G417:G418">G418</f>
        <v>10</v>
      </c>
    </row>
    <row r="418" spans="1:7" ht="21.75" customHeight="1">
      <c r="A418" s="25" t="s">
        <v>265</v>
      </c>
      <c r="B418" s="20" t="s">
        <v>1158</v>
      </c>
      <c r="C418" s="41" t="s">
        <v>261</v>
      </c>
      <c r="D418" s="41" t="s">
        <v>232</v>
      </c>
      <c r="E418" s="41" t="s">
        <v>266</v>
      </c>
      <c r="F418" s="41"/>
      <c r="G418" s="10">
        <f t="shared" si="60"/>
        <v>10</v>
      </c>
    </row>
    <row r="419" spans="1:7" ht="31.5" customHeight="1">
      <c r="A419" s="25" t="s">
        <v>267</v>
      </c>
      <c r="B419" s="20" t="s">
        <v>1158</v>
      </c>
      <c r="C419" s="41" t="s">
        <v>261</v>
      </c>
      <c r="D419" s="41" t="s">
        <v>232</v>
      </c>
      <c r="E419" s="41" t="s">
        <v>268</v>
      </c>
      <c r="F419" s="41"/>
      <c r="G419" s="10">
        <f>'Пр.6 ведом.20'!G189</f>
        <v>10</v>
      </c>
    </row>
    <row r="420" spans="1:7" ht="15.75">
      <c r="A420" s="46" t="s">
        <v>165</v>
      </c>
      <c r="B420" s="20" t="s">
        <v>1158</v>
      </c>
      <c r="C420" s="41" t="s">
        <v>261</v>
      </c>
      <c r="D420" s="41" t="s">
        <v>232</v>
      </c>
      <c r="E420" s="41" t="s">
        <v>268</v>
      </c>
      <c r="F420" s="41" t="s">
        <v>659</v>
      </c>
      <c r="G420" s="10">
        <f>G419</f>
        <v>10</v>
      </c>
    </row>
    <row r="421" spans="1:7" ht="53.25" customHeight="1">
      <c r="A421" s="42" t="s">
        <v>498</v>
      </c>
      <c r="B421" s="3" t="s">
        <v>499</v>
      </c>
      <c r="C421" s="72"/>
      <c r="D421" s="72"/>
      <c r="E421" s="72"/>
      <c r="F421" s="72"/>
      <c r="G421" s="4">
        <f>G422+G471</f>
        <v>50288.2</v>
      </c>
    </row>
    <row r="422" spans="1:7" ht="47.25">
      <c r="A422" s="60" t="s">
        <v>510</v>
      </c>
      <c r="B422" s="7" t="s">
        <v>511</v>
      </c>
      <c r="C422" s="7"/>
      <c r="D422" s="7"/>
      <c r="E422" s="7"/>
      <c r="F422" s="3"/>
      <c r="G422" s="62">
        <f>G423+G438+G453+G464</f>
        <v>47788.2</v>
      </c>
    </row>
    <row r="423" spans="1:7" s="252" customFormat="1" ht="31.5">
      <c r="A423" s="23" t="s">
        <v>1036</v>
      </c>
      <c r="B423" s="24" t="s">
        <v>1069</v>
      </c>
      <c r="C423" s="7"/>
      <c r="D423" s="7"/>
      <c r="E423" s="326"/>
      <c r="F423" s="232"/>
      <c r="G423" s="62">
        <f>G424</f>
        <v>46082</v>
      </c>
    </row>
    <row r="424" spans="1:7" ht="17.25" customHeight="1">
      <c r="A424" s="30" t="s">
        <v>507</v>
      </c>
      <c r="B424" s="41" t="s">
        <v>1069</v>
      </c>
      <c r="C424" s="2">
        <v>11</v>
      </c>
      <c r="D424" s="72"/>
      <c r="E424" s="72"/>
      <c r="F424" s="72"/>
      <c r="G424" s="10">
        <f aca="true" t="shared" si="61" ref="G424">G425</f>
        <v>46082</v>
      </c>
    </row>
    <row r="425" spans="1:7" ht="19.5" customHeight="1">
      <c r="A425" s="30" t="s">
        <v>509</v>
      </c>
      <c r="B425" s="41" t="s">
        <v>1069</v>
      </c>
      <c r="C425" s="41" t="s">
        <v>508</v>
      </c>
      <c r="D425" s="41" t="s">
        <v>135</v>
      </c>
      <c r="E425" s="75"/>
      <c r="F425" s="5"/>
      <c r="G425" s="10">
        <f>G426+G430+G434</f>
        <v>46082</v>
      </c>
    </row>
    <row r="426" spans="1:7" ht="47.25">
      <c r="A426" s="25" t="s">
        <v>841</v>
      </c>
      <c r="B426" s="20" t="s">
        <v>1079</v>
      </c>
      <c r="C426" s="41" t="s">
        <v>508</v>
      </c>
      <c r="D426" s="41" t="s">
        <v>135</v>
      </c>
      <c r="E426" s="75"/>
      <c r="F426" s="5"/>
      <c r="G426" s="10">
        <f>G427</f>
        <v>13608</v>
      </c>
    </row>
    <row r="427" spans="1:7" ht="31.5">
      <c r="A427" s="30" t="s">
        <v>289</v>
      </c>
      <c r="B427" s="20" t="s">
        <v>1079</v>
      </c>
      <c r="C427" s="41" t="s">
        <v>508</v>
      </c>
      <c r="D427" s="41" t="s">
        <v>135</v>
      </c>
      <c r="E427" s="41" t="s">
        <v>290</v>
      </c>
      <c r="F427" s="5"/>
      <c r="G427" s="10">
        <f>G428</f>
        <v>13608</v>
      </c>
    </row>
    <row r="428" spans="1:7" ht="15.75">
      <c r="A428" s="30" t="s">
        <v>291</v>
      </c>
      <c r="B428" s="20" t="s">
        <v>1079</v>
      </c>
      <c r="C428" s="41" t="s">
        <v>508</v>
      </c>
      <c r="D428" s="41" t="s">
        <v>135</v>
      </c>
      <c r="E428" s="41" t="s">
        <v>292</v>
      </c>
      <c r="F428" s="5"/>
      <c r="G428" s="10">
        <f>'Пр.6 ведом.20'!G720</f>
        <v>13608</v>
      </c>
    </row>
    <row r="429" spans="1:7" s="252" customFormat="1" ht="31.5">
      <c r="A429" s="74" t="s">
        <v>497</v>
      </c>
      <c r="B429" s="20" t="s">
        <v>1079</v>
      </c>
      <c r="C429" s="41" t="s">
        <v>508</v>
      </c>
      <c r="D429" s="41" t="s">
        <v>135</v>
      </c>
      <c r="E429" s="41" t="s">
        <v>292</v>
      </c>
      <c r="F429" s="5">
        <v>907</v>
      </c>
      <c r="G429" s="10">
        <f>G428</f>
        <v>13608</v>
      </c>
    </row>
    <row r="430" spans="1:7" ht="31.5">
      <c r="A430" s="25" t="s">
        <v>840</v>
      </c>
      <c r="B430" s="20" t="s">
        <v>1080</v>
      </c>
      <c r="C430" s="41" t="s">
        <v>508</v>
      </c>
      <c r="D430" s="41" t="s">
        <v>135</v>
      </c>
      <c r="E430" s="41"/>
      <c r="F430" s="5"/>
      <c r="G430" s="10">
        <f>G431</f>
        <v>13397</v>
      </c>
    </row>
    <row r="431" spans="1:7" ht="31.5">
      <c r="A431" s="25" t="s">
        <v>289</v>
      </c>
      <c r="B431" s="20" t="s">
        <v>1080</v>
      </c>
      <c r="C431" s="41" t="s">
        <v>508</v>
      </c>
      <c r="D431" s="41" t="s">
        <v>135</v>
      </c>
      <c r="E431" s="41" t="s">
        <v>290</v>
      </c>
      <c r="F431" s="5"/>
      <c r="G431" s="10">
        <f>G432</f>
        <v>13397</v>
      </c>
    </row>
    <row r="432" spans="1:7" ht="15.75">
      <c r="A432" s="25" t="s">
        <v>291</v>
      </c>
      <c r="B432" s="20" t="s">
        <v>1080</v>
      </c>
      <c r="C432" s="41" t="s">
        <v>508</v>
      </c>
      <c r="D432" s="41" t="s">
        <v>135</v>
      </c>
      <c r="E432" s="41" t="s">
        <v>292</v>
      </c>
      <c r="F432" s="5"/>
      <c r="G432" s="10">
        <f>'Пр.6 ведом.20'!G723</f>
        <v>13397</v>
      </c>
    </row>
    <row r="433" spans="1:7" s="252" customFormat="1" ht="31.5">
      <c r="A433" s="74" t="s">
        <v>497</v>
      </c>
      <c r="B433" s="20" t="s">
        <v>1080</v>
      </c>
      <c r="C433" s="41" t="s">
        <v>508</v>
      </c>
      <c r="D433" s="41" t="s">
        <v>135</v>
      </c>
      <c r="E433" s="41" t="s">
        <v>292</v>
      </c>
      <c r="F433" s="5">
        <v>907</v>
      </c>
      <c r="G433" s="10">
        <f>G432</f>
        <v>13397</v>
      </c>
    </row>
    <row r="434" spans="1:7" ht="47.25">
      <c r="A434" s="25" t="s">
        <v>839</v>
      </c>
      <c r="B434" s="20" t="s">
        <v>1081</v>
      </c>
      <c r="C434" s="41" t="s">
        <v>508</v>
      </c>
      <c r="D434" s="41" t="s">
        <v>135</v>
      </c>
      <c r="E434" s="41"/>
      <c r="F434" s="5"/>
      <c r="G434" s="10">
        <f>G435</f>
        <v>19077</v>
      </c>
    </row>
    <row r="435" spans="1:7" ht="31.5">
      <c r="A435" s="25" t="s">
        <v>289</v>
      </c>
      <c r="B435" s="20" t="s">
        <v>1081</v>
      </c>
      <c r="C435" s="41" t="s">
        <v>508</v>
      </c>
      <c r="D435" s="41" t="s">
        <v>135</v>
      </c>
      <c r="E435" s="41" t="s">
        <v>290</v>
      </c>
      <c r="F435" s="5"/>
      <c r="G435" s="10">
        <f>G436</f>
        <v>19077</v>
      </c>
    </row>
    <row r="436" spans="1:7" ht="15.75">
      <c r="A436" s="25" t="s">
        <v>291</v>
      </c>
      <c r="B436" s="20" t="s">
        <v>1081</v>
      </c>
      <c r="C436" s="41" t="s">
        <v>508</v>
      </c>
      <c r="D436" s="41" t="s">
        <v>135</v>
      </c>
      <c r="E436" s="41" t="s">
        <v>292</v>
      </c>
      <c r="F436" s="5"/>
      <c r="G436" s="10">
        <f>'Пр.6 ведом.20'!G726</f>
        <v>19077</v>
      </c>
    </row>
    <row r="437" spans="1:7" s="252" customFormat="1" ht="31.5">
      <c r="A437" s="74" t="s">
        <v>497</v>
      </c>
      <c r="B437" s="20" t="s">
        <v>1081</v>
      </c>
      <c r="C437" s="41" t="s">
        <v>508</v>
      </c>
      <c r="D437" s="41" t="s">
        <v>135</v>
      </c>
      <c r="E437" s="41" t="s">
        <v>292</v>
      </c>
      <c r="F437" s="5">
        <v>907</v>
      </c>
      <c r="G437" s="10">
        <f>G436</f>
        <v>19077</v>
      </c>
    </row>
    <row r="438" spans="1:7" s="252" customFormat="1" ht="31.5">
      <c r="A438" s="23" t="s">
        <v>1082</v>
      </c>
      <c r="B438" s="24" t="s">
        <v>1083</v>
      </c>
      <c r="C438" s="7"/>
      <c r="D438" s="7"/>
      <c r="E438" s="7"/>
      <c r="F438" s="232"/>
      <c r="G438" s="62">
        <f>G439</f>
        <v>36</v>
      </c>
    </row>
    <row r="439" spans="1:7" s="252" customFormat="1" ht="15.75">
      <c r="A439" s="30" t="s">
        <v>507</v>
      </c>
      <c r="B439" s="41" t="s">
        <v>1083</v>
      </c>
      <c r="C439" s="2">
        <v>11</v>
      </c>
      <c r="D439" s="72"/>
      <c r="E439" s="72"/>
      <c r="F439" s="72"/>
      <c r="G439" s="10">
        <f aca="true" t="shared" si="62" ref="G439">G440</f>
        <v>36</v>
      </c>
    </row>
    <row r="440" spans="1:7" s="252" customFormat="1" ht="16.5">
      <c r="A440" s="30" t="s">
        <v>509</v>
      </c>
      <c r="B440" s="41" t="s">
        <v>1083</v>
      </c>
      <c r="C440" s="41" t="s">
        <v>508</v>
      </c>
      <c r="D440" s="41" t="s">
        <v>135</v>
      </c>
      <c r="E440" s="75"/>
      <c r="F440" s="5"/>
      <c r="G440" s="10">
        <f>G441+G445+G449</f>
        <v>36</v>
      </c>
    </row>
    <row r="441" spans="1:7" ht="31.5" customHeight="1" hidden="1">
      <c r="A441" s="30" t="s">
        <v>295</v>
      </c>
      <c r="B441" s="20" t="s">
        <v>1087</v>
      </c>
      <c r="C441" s="41" t="s">
        <v>508</v>
      </c>
      <c r="D441" s="41" t="s">
        <v>135</v>
      </c>
      <c r="E441" s="41"/>
      <c r="F441" s="5"/>
      <c r="G441" s="10">
        <f aca="true" t="shared" si="63" ref="G441:G442">G442</f>
        <v>0</v>
      </c>
    </row>
    <row r="442" spans="1:7" ht="31.5" customHeight="1" hidden="1">
      <c r="A442" s="30" t="s">
        <v>289</v>
      </c>
      <c r="B442" s="20" t="s">
        <v>1087</v>
      </c>
      <c r="C442" s="41" t="s">
        <v>508</v>
      </c>
      <c r="D442" s="41" t="s">
        <v>135</v>
      </c>
      <c r="E442" s="41" t="s">
        <v>290</v>
      </c>
      <c r="F442" s="5"/>
      <c r="G442" s="10">
        <f t="shared" si="63"/>
        <v>0</v>
      </c>
    </row>
    <row r="443" spans="1:7" ht="15.75" customHeight="1" hidden="1">
      <c r="A443" s="30" t="s">
        <v>291</v>
      </c>
      <c r="B443" s="20" t="s">
        <v>1087</v>
      </c>
      <c r="C443" s="41" t="s">
        <v>508</v>
      </c>
      <c r="D443" s="41" t="s">
        <v>135</v>
      </c>
      <c r="E443" s="41" t="s">
        <v>292</v>
      </c>
      <c r="F443" s="5"/>
      <c r="G443" s="10">
        <f>'Пр.6 ведом.20'!G730</f>
        <v>0</v>
      </c>
    </row>
    <row r="444" spans="1:7" s="252" customFormat="1" ht="34.5" customHeight="1" hidden="1">
      <c r="A444" s="74" t="s">
        <v>497</v>
      </c>
      <c r="B444" s="20" t="s">
        <v>1087</v>
      </c>
      <c r="C444" s="41" t="s">
        <v>508</v>
      </c>
      <c r="D444" s="41" t="s">
        <v>135</v>
      </c>
      <c r="E444" s="41" t="s">
        <v>292</v>
      </c>
      <c r="F444" s="5">
        <v>907</v>
      </c>
      <c r="G444" s="10">
        <f>G443</f>
        <v>0</v>
      </c>
    </row>
    <row r="445" spans="1:7" ht="31.5" customHeight="1" hidden="1">
      <c r="A445" s="30" t="s">
        <v>297</v>
      </c>
      <c r="B445" s="20" t="s">
        <v>1088</v>
      </c>
      <c r="C445" s="41" t="s">
        <v>508</v>
      </c>
      <c r="D445" s="41" t="s">
        <v>135</v>
      </c>
      <c r="E445" s="41"/>
      <c r="F445" s="5"/>
      <c r="G445" s="10">
        <f aca="true" t="shared" si="64" ref="G445:G446">G446</f>
        <v>0</v>
      </c>
    </row>
    <row r="446" spans="1:7" ht="31.5" customHeight="1" hidden="1">
      <c r="A446" s="30" t="s">
        <v>289</v>
      </c>
      <c r="B446" s="20" t="s">
        <v>1088</v>
      </c>
      <c r="C446" s="41" t="s">
        <v>508</v>
      </c>
      <c r="D446" s="41" t="s">
        <v>135</v>
      </c>
      <c r="E446" s="41" t="s">
        <v>290</v>
      </c>
      <c r="F446" s="5"/>
      <c r="G446" s="10">
        <f t="shared" si="64"/>
        <v>0</v>
      </c>
    </row>
    <row r="447" spans="1:7" ht="15.75" customHeight="1" hidden="1">
      <c r="A447" s="30" t="s">
        <v>291</v>
      </c>
      <c r="B447" s="20" t="s">
        <v>1088</v>
      </c>
      <c r="C447" s="41" t="s">
        <v>508</v>
      </c>
      <c r="D447" s="41" t="s">
        <v>135</v>
      </c>
      <c r="E447" s="41" t="s">
        <v>292</v>
      </c>
      <c r="F447" s="5"/>
      <c r="G447" s="10">
        <f>'Пр.6 ведом.20'!G733</f>
        <v>0</v>
      </c>
    </row>
    <row r="448" spans="1:7" s="252" customFormat="1" ht="36" customHeight="1" hidden="1">
      <c r="A448" s="74" t="s">
        <v>497</v>
      </c>
      <c r="B448" s="20" t="s">
        <v>1088</v>
      </c>
      <c r="C448" s="41" t="s">
        <v>508</v>
      </c>
      <c r="D448" s="41" t="s">
        <v>135</v>
      </c>
      <c r="E448" s="41" t="s">
        <v>292</v>
      </c>
      <c r="F448" s="5">
        <v>907</v>
      </c>
      <c r="G448" s="10">
        <f>G447</f>
        <v>0</v>
      </c>
    </row>
    <row r="449" spans="1:7" s="252" customFormat="1" ht="15.75" customHeight="1">
      <c r="A449" s="25" t="s">
        <v>880</v>
      </c>
      <c r="B449" s="20" t="s">
        <v>1089</v>
      </c>
      <c r="C449" s="41" t="s">
        <v>508</v>
      </c>
      <c r="D449" s="41" t="s">
        <v>135</v>
      </c>
      <c r="E449" s="41"/>
      <c r="F449" s="5"/>
      <c r="G449" s="10">
        <f>G450</f>
        <v>36</v>
      </c>
    </row>
    <row r="450" spans="1:7" s="252" customFormat="1" ht="31.5">
      <c r="A450" s="25" t="s">
        <v>289</v>
      </c>
      <c r="B450" s="20" t="s">
        <v>1089</v>
      </c>
      <c r="C450" s="41" t="s">
        <v>508</v>
      </c>
      <c r="D450" s="41" t="s">
        <v>135</v>
      </c>
      <c r="E450" s="41" t="s">
        <v>290</v>
      </c>
      <c r="F450" s="5"/>
      <c r="G450" s="10">
        <f>G451</f>
        <v>36</v>
      </c>
    </row>
    <row r="451" spans="1:7" s="252" customFormat="1" ht="15.75" customHeight="1">
      <c r="A451" s="25" t="s">
        <v>291</v>
      </c>
      <c r="B451" s="20" t="s">
        <v>1089</v>
      </c>
      <c r="C451" s="41" t="s">
        <v>508</v>
      </c>
      <c r="D451" s="41" t="s">
        <v>135</v>
      </c>
      <c r="E451" s="41" t="s">
        <v>292</v>
      </c>
      <c r="F451" s="5"/>
      <c r="G451" s="10">
        <f>'Пр.6 ведом.20'!G736</f>
        <v>36</v>
      </c>
    </row>
    <row r="452" spans="1:7" s="252" customFormat="1" ht="33" customHeight="1">
      <c r="A452" s="74" t="s">
        <v>497</v>
      </c>
      <c r="B452" s="20" t="s">
        <v>1089</v>
      </c>
      <c r="C452" s="41" t="s">
        <v>508</v>
      </c>
      <c r="D452" s="41" t="s">
        <v>135</v>
      </c>
      <c r="E452" s="41" t="s">
        <v>292</v>
      </c>
      <c r="F452" s="5">
        <v>907</v>
      </c>
      <c r="G452" s="10">
        <f>G451</f>
        <v>36</v>
      </c>
    </row>
    <row r="453" spans="1:7" s="252" customFormat="1" ht="36" customHeight="1">
      <c r="A453" s="23" t="s">
        <v>1084</v>
      </c>
      <c r="B453" s="24" t="s">
        <v>1086</v>
      </c>
      <c r="C453" s="7"/>
      <c r="D453" s="7"/>
      <c r="E453" s="7"/>
      <c r="F453" s="232"/>
      <c r="G453" s="62">
        <f>G454</f>
        <v>800</v>
      </c>
    </row>
    <row r="454" spans="1:7" s="252" customFormat="1" ht="18" customHeight="1">
      <c r="A454" s="30" t="s">
        <v>507</v>
      </c>
      <c r="B454" s="41" t="s">
        <v>1086</v>
      </c>
      <c r="C454" s="2">
        <v>11</v>
      </c>
      <c r="D454" s="72"/>
      <c r="E454" s="72"/>
      <c r="F454" s="72"/>
      <c r="G454" s="10">
        <f aca="true" t="shared" si="65" ref="G454">G455</f>
        <v>800</v>
      </c>
    </row>
    <row r="455" spans="1:7" s="252" customFormat="1" ht="18" customHeight="1">
      <c r="A455" s="30" t="s">
        <v>509</v>
      </c>
      <c r="B455" s="41" t="s">
        <v>1086</v>
      </c>
      <c r="C455" s="41" t="s">
        <v>508</v>
      </c>
      <c r="D455" s="41" t="s">
        <v>135</v>
      </c>
      <c r="E455" s="75"/>
      <c r="F455" s="5"/>
      <c r="G455" s="10">
        <f>G456+G460</f>
        <v>800</v>
      </c>
    </row>
    <row r="456" spans="1:7" ht="31.5" customHeight="1" hidden="1">
      <c r="A456" s="30" t="s">
        <v>301</v>
      </c>
      <c r="B456" s="20" t="s">
        <v>1090</v>
      </c>
      <c r="C456" s="41" t="s">
        <v>508</v>
      </c>
      <c r="D456" s="41" t="s">
        <v>135</v>
      </c>
      <c r="E456" s="41"/>
      <c r="F456" s="5"/>
      <c r="G456" s="10">
        <f aca="true" t="shared" si="66" ref="G456:G457">G457</f>
        <v>0</v>
      </c>
    </row>
    <row r="457" spans="1:7" ht="31.5" customHeight="1" hidden="1">
      <c r="A457" s="30" t="s">
        <v>289</v>
      </c>
      <c r="B457" s="20" t="s">
        <v>1090</v>
      </c>
      <c r="C457" s="41" t="s">
        <v>508</v>
      </c>
      <c r="D457" s="41" t="s">
        <v>135</v>
      </c>
      <c r="E457" s="41" t="s">
        <v>290</v>
      </c>
      <c r="F457" s="5"/>
      <c r="G457" s="10">
        <f t="shared" si="66"/>
        <v>0</v>
      </c>
    </row>
    <row r="458" spans="1:7" ht="15.75" customHeight="1" hidden="1">
      <c r="A458" s="30" t="s">
        <v>291</v>
      </c>
      <c r="B458" s="20" t="s">
        <v>1090</v>
      </c>
      <c r="C458" s="41" t="s">
        <v>508</v>
      </c>
      <c r="D458" s="41" t="s">
        <v>135</v>
      </c>
      <c r="E458" s="41" t="s">
        <v>292</v>
      </c>
      <c r="F458" s="5"/>
      <c r="G458" s="10">
        <f>'Пр.6 ведом.20'!G740</f>
        <v>0</v>
      </c>
    </row>
    <row r="459" spans="1:7" s="252" customFormat="1" ht="15.75" customHeight="1" hidden="1">
      <c r="A459" s="74" t="s">
        <v>497</v>
      </c>
      <c r="B459" s="20" t="s">
        <v>1090</v>
      </c>
      <c r="C459" s="41" t="s">
        <v>508</v>
      </c>
      <c r="D459" s="41" t="s">
        <v>135</v>
      </c>
      <c r="E459" s="41" t="s">
        <v>292</v>
      </c>
      <c r="F459" s="5">
        <v>907</v>
      </c>
      <c r="G459" s="10">
        <f>G458</f>
        <v>0</v>
      </c>
    </row>
    <row r="460" spans="1:7" ht="31.5">
      <c r="A460" s="46" t="s">
        <v>789</v>
      </c>
      <c r="B460" s="20" t="s">
        <v>1091</v>
      </c>
      <c r="C460" s="41" t="s">
        <v>508</v>
      </c>
      <c r="D460" s="41" t="s">
        <v>135</v>
      </c>
      <c r="E460" s="41"/>
      <c r="F460" s="5"/>
      <c r="G460" s="10">
        <f aca="true" t="shared" si="67" ref="G460:G461">G461</f>
        <v>800</v>
      </c>
    </row>
    <row r="461" spans="1:7" ht="31.5">
      <c r="A461" s="32" t="s">
        <v>289</v>
      </c>
      <c r="B461" s="20" t="s">
        <v>1091</v>
      </c>
      <c r="C461" s="41" t="s">
        <v>508</v>
      </c>
      <c r="D461" s="41" t="s">
        <v>135</v>
      </c>
      <c r="E461" s="41" t="s">
        <v>290</v>
      </c>
      <c r="F461" s="5"/>
      <c r="G461" s="10">
        <f t="shared" si="67"/>
        <v>800</v>
      </c>
    </row>
    <row r="462" spans="1:7" ht="15.75">
      <c r="A462" s="32" t="s">
        <v>291</v>
      </c>
      <c r="B462" s="20" t="s">
        <v>1091</v>
      </c>
      <c r="C462" s="41" t="s">
        <v>508</v>
      </c>
      <c r="D462" s="41" t="s">
        <v>135</v>
      </c>
      <c r="E462" s="41" t="s">
        <v>292</v>
      </c>
      <c r="F462" s="5"/>
      <c r="G462" s="10">
        <f>'Пр.6 ведом.20'!G743</f>
        <v>800</v>
      </c>
    </row>
    <row r="463" spans="1:7" s="252" customFormat="1" ht="31.5">
      <c r="A463" s="74" t="s">
        <v>497</v>
      </c>
      <c r="B463" s="20" t="s">
        <v>1091</v>
      </c>
      <c r="C463" s="41" t="s">
        <v>508</v>
      </c>
      <c r="D463" s="41" t="s">
        <v>135</v>
      </c>
      <c r="E463" s="41" t="s">
        <v>292</v>
      </c>
      <c r="F463" s="5">
        <v>907</v>
      </c>
      <c r="G463" s="10">
        <f>G462</f>
        <v>800</v>
      </c>
    </row>
    <row r="464" spans="1:7" s="252" customFormat="1" ht="47.25">
      <c r="A464" s="23" t="s">
        <v>976</v>
      </c>
      <c r="B464" s="24" t="s">
        <v>1092</v>
      </c>
      <c r="C464" s="7"/>
      <c r="D464" s="7"/>
      <c r="E464" s="7"/>
      <c r="F464" s="232"/>
      <c r="G464" s="62">
        <f>G465</f>
        <v>870.2</v>
      </c>
    </row>
    <row r="465" spans="1:7" s="252" customFormat="1" ht="15.75">
      <c r="A465" s="30" t="s">
        <v>507</v>
      </c>
      <c r="B465" s="41" t="s">
        <v>1092</v>
      </c>
      <c r="C465" s="2">
        <v>11</v>
      </c>
      <c r="D465" s="72"/>
      <c r="E465" s="72"/>
      <c r="F465" s="72"/>
      <c r="G465" s="10">
        <f aca="true" t="shared" si="68" ref="G465">G466</f>
        <v>870.2</v>
      </c>
    </row>
    <row r="466" spans="1:7" s="252" customFormat="1" ht="16.5">
      <c r="A466" s="30" t="s">
        <v>509</v>
      </c>
      <c r="B466" s="41" t="s">
        <v>1092</v>
      </c>
      <c r="C466" s="41" t="s">
        <v>508</v>
      </c>
      <c r="D466" s="41" t="s">
        <v>135</v>
      </c>
      <c r="E466" s="75"/>
      <c r="F466" s="5"/>
      <c r="G466" s="10">
        <f>G467</f>
        <v>870.2</v>
      </c>
    </row>
    <row r="467" spans="1:7" s="252" customFormat="1" ht="94.5">
      <c r="A467" s="32" t="s">
        <v>481</v>
      </c>
      <c r="B467" s="20" t="s">
        <v>1093</v>
      </c>
      <c r="C467" s="41" t="s">
        <v>508</v>
      </c>
      <c r="D467" s="41" t="s">
        <v>135</v>
      </c>
      <c r="E467" s="41"/>
      <c r="F467" s="5"/>
      <c r="G467" s="10">
        <f>G468</f>
        <v>870.2</v>
      </c>
    </row>
    <row r="468" spans="1:7" s="252" customFormat="1" ht="31.5">
      <c r="A468" s="25" t="s">
        <v>289</v>
      </c>
      <c r="B468" s="20" t="s">
        <v>1093</v>
      </c>
      <c r="C468" s="41" t="s">
        <v>508</v>
      </c>
      <c r="D468" s="41" t="s">
        <v>135</v>
      </c>
      <c r="E468" s="41" t="s">
        <v>290</v>
      </c>
      <c r="F468" s="5"/>
      <c r="G468" s="10">
        <f>G469</f>
        <v>870.2</v>
      </c>
    </row>
    <row r="469" spans="1:7" s="252" customFormat="1" ht="15.75">
      <c r="A469" s="25" t="s">
        <v>291</v>
      </c>
      <c r="B469" s="20" t="s">
        <v>1093</v>
      </c>
      <c r="C469" s="41" t="s">
        <v>508</v>
      </c>
      <c r="D469" s="41" t="s">
        <v>135</v>
      </c>
      <c r="E469" s="41" t="s">
        <v>292</v>
      </c>
      <c r="F469" s="5"/>
      <c r="G469" s="10">
        <f>'Пр.5 Рд,пр, ЦС,ВР 20'!F909</f>
        <v>870.2</v>
      </c>
    </row>
    <row r="470" spans="1:7" s="252" customFormat="1" ht="31.5">
      <c r="A470" s="74" t="s">
        <v>497</v>
      </c>
      <c r="B470" s="20" t="s">
        <v>1093</v>
      </c>
      <c r="C470" s="41" t="s">
        <v>508</v>
      </c>
      <c r="D470" s="41" t="s">
        <v>135</v>
      </c>
      <c r="E470" s="41" t="s">
        <v>292</v>
      </c>
      <c r="F470" s="5">
        <v>907</v>
      </c>
      <c r="G470" s="10">
        <f>G469</f>
        <v>870.2</v>
      </c>
    </row>
    <row r="471" spans="1:7" ht="47.25">
      <c r="A471" s="60" t="s">
        <v>518</v>
      </c>
      <c r="B471" s="7" t="s">
        <v>519</v>
      </c>
      <c r="C471" s="41"/>
      <c r="D471" s="41"/>
      <c r="E471" s="7"/>
      <c r="F471" s="232"/>
      <c r="G471" s="4">
        <f>G472</f>
        <v>2500</v>
      </c>
    </row>
    <row r="472" spans="1:7" s="252" customFormat="1" ht="31.5">
      <c r="A472" s="60" t="s">
        <v>1094</v>
      </c>
      <c r="B472" s="7" t="s">
        <v>1095</v>
      </c>
      <c r="C472" s="7"/>
      <c r="D472" s="7"/>
      <c r="E472" s="7"/>
      <c r="F472" s="232"/>
      <c r="G472" s="4">
        <f>G473</f>
        <v>2500</v>
      </c>
    </row>
    <row r="473" spans="1:7" ht="15.75">
      <c r="A473" s="30" t="s">
        <v>507</v>
      </c>
      <c r="B473" s="41" t="s">
        <v>1095</v>
      </c>
      <c r="C473" s="41" t="s">
        <v>508</v>
      </c>
      <c r="D473" s="41"/>
      <c r="E473" s="41"/>
      <c r="F473" s="5"/>
      <c r="G473" s="6">
        <f>G474</f>
        <v>2500</v>
      </c>
    </row>
    <row r="474" spans="1:7" ht="31.5">
      <c r="A474" s="25" t="s">
        <v>517</v>
      </c>
      <c r="B474" s="41" t="s">
        <v>1095</v>
      </c>
      <c r="C474" s="41" t="s">
        <v>508</v>
      </c>
      <c r="D474" s="41" t="s">
        <v>251</v>
      </c>
      <c r="E474" s="41"/>
      <c r="F474" s="5"/>
      <c r="G474" s="6">
        <f>G475</f>
        <v>2500</v>
      </c>
    </row>
    <row r="475" spans="1:7" ht="15.75">
      <c r="A475" s="30" t="s">
        <v>1096</v>
      </c>
      <c r="B475" s="41" t="s">
        <v>1253</v>
      </c>
      <c r="C475" s="41" t="s">
        <v>508</v>
      </c>
      <c r="D475" s="41" t="s">
        <v>251</v>
      </c>
      <c r="E475" s="41"/>
      <c r="F475" s="5"/>
      <c r="G475" s="6">
        <f>G476+G479</f>
        <v>2500</v>
      </c>
    </row>
    <row r="476" spans="1:7" ht="78.75">
      <c r="A476" s="25" t="s">
        <v>144</v>
      </c>
      <c r="B476" s="41" t="s">
        <v>1253</v>
      </c>
      <c r="C476" s="41" t="s">
        <v>508</v>
      </c>
      <c r="D476" s="41" t="s">
        <v>251</v>
      </c>
      <c r="E476" s="41" t="s">
        <v>145</v>
      </c>
      <c r="F476" s="5"/>
      <c r="G476" s="6">
        <f aca="true" t="shared" si="69" ref="G476">G477</f>
        <v>1611</v>
      </c>
    </row>
    <row r="477" spans="1:7" ht="24" customHeight="1">
      <c r="A477" s="25" t="s">
        <v>359</v>
      </c>
      <c r="B477" s="41" t="s">
        <v>1253</v>
      </c>
      <c r="C477" s="41" t="s">
        <v>508</v>
      </c>
      <c r="D477" s="41" t="s">
        <v>251</v>
      </c>
      <c r="E477" s="41" t="s">
        <v>226</v>
      </c>
      <c r="F477" s="5"/>
      <c r="G477" s="6">
        <f>'Пр.6 ведом.20'!G779</f>
        <v>1611</v>
      </c>
    </row>
    <row r="478" spans="1:7" s="252" customFormat="1" ht="24" customHeight="1">
      <c r="A478" s="74" t="s">
        <v>497</v>
      </c>
      <c r="B478" s="41" t="s">
        <v>1253</v>
      </c>
      <c r="C478" s="41" t="s">
        <v>508</v>
      </c>
      <c r="D478" s="41" t="s">
        <v>251</v>
      </c>
      <c r="E478" s="41" t="s">
        <v>226</v>
      </c>
      <c r="F478" s="5">
        <v>907</v>
      </c>
      <c r="G478" s="10">
        <f>G477</f>
        <v>1611</v>
      </c>
    </row>
    <row r="479" spans="1:7" ht="31.5">
      <c r="A479" s="30" t="s">
        <v>148</v>
      </c>
      <c r="B479" s="41" t="s">
        <v>1253</v>
      </c>
      <c r="C479" s="41" t="s">
        <v>508</v>
      </c>
      <c r="D479" s="41" t="s">
        <v>251</v>
      </c>
      <c r="E479" s="41" t="s">
        <v>149</v>
      </c>
      <c r="F479" s="5"/>
      <c r="G479" s="6">
        <f aca="true" t="shared" si="70" ref="G479">G480</f>
        <v>889</v>
      </c>
    </row>
    <row r="480" spans="1:7" ht="31.5">
      <c r="A480" s="30" t="s">
        <v>150</v>
      </c>
      <c r="B480" s="41" t="s">
        <v>1253</v>
      </c>
      <c r="C480" s="41" t="s">
        <v>508</v>
      </c>
      <c r="D480" s="41" t="s">
        <v>251</v>
      </c>
      <c r="E480" s="41" t="s">
        <v>151</v>
      </c>
      <c r="F480" s="5"/>
      <c r="G480" s="6">
        <f>'Пр.6 ведом.20'!G781</f>
        <v>889</v>
      </c>
    </row>
    <row r="481" spans="1:7" ht="31.5">
      <c r="A481" s="74" t="s">
        <v>497</v>
      </c>
      <c r="B481" s="41" t="s">
        <v>1253</v>
      </c>
      <c r="C481" s="41" t="s">
        <v>508</v>
      </c>
      <c r="D481" s="41" t="s">
        <v>251</v>
      </c>
      <c r="E481" s="41" t="s">
        <v>151</v>
      </c>
      <c r="F481" s="5">
        <v>907</v>
      </c>
      <c r="G481" s="10">
        <f>G480</f>
        <v>889</v>
      </c>
    </row>
    <row r="482" spans="1:7" ht="31.5">
      <c r="A482" s="42" t="s">
        <v>283</v>
      </c>
      <c r="B482" s="7" t="s">
        <v>284</v>
      </c>
      <c r="C482" s="76"/>
      <c r="D482" s="76"/>
      <c r="E482" s="76"/>
      <c r="F482" s="3"/>
      <c r="G482" s="62">
        <f>G483+G521+G571</f>
        <v>65119.67</v>
      </c>
    </row>
    <row r="483" spans="1:7" ht="54" customHeight="1">
      <c r="A483" s="42" t="s">
        <v>318</v>
      </c>
      <c r="B483" s="7" t="s">
        <v>319</v>
      </c>
      <c r="C483" s="7"/>
      <c r="D483" s="7"/>
      <c r="E483" s="76"/>
      <c r="F483" s="3"/>
      <c r="G483" s="62">
        <f>G484+G497+G507+G514</f>
        <v>26022.3</v>
      </c>
    </row>
    <row r="484" spans="1:7" s="252" customFormat="1" ht="38.25" customHeight="1">
      <c r="A484" s="23" t="s">
        <v>961</v>
      </c>
      <c r="B484" s="24" t="s">
        <v>962</v>
      </c>
      <c r="C484" s="7"/>
      <c r="D484" s="7"/>
      <c r="E484" s="7"/>
      <c r="F484" s="3"/>
      <c r="G484" s="62">
        <f>G485</f>
        <v>24514</v>
      </c>
    </row>
    <row r="485" spans="1:7" ht="15.75">
      <c r="A485" s="77" t="s">
        <v>315</v>
      </c>
      <c r="B485" s="41" t="s">
        <v>962</v>
      </c>
      <c r="C485" s="41" t="s">
        <v>316</v>
      </c>
      <c r="D485" s="77"/>
      <c r="E485" s="77"/>
      <c r="F485" s="2"/>
      <c r="G485" s="10">
        <f>G486</f>
        <v>24514</v>
      </c>
    </row>
    <row r="486" spans="1:7" ht="15.75">
      <c r="A486" s="77" t="s">
        <v>317</v>
      </c>
      <c r="B486" s="41" t="s">
        <v>962</v>
      </c>
      <c r="C486" s="41" t="s">
        <v>316</v>
      </c>
      <c r="D486" s="41" t="s">
        <v>135</v>
      </c>
      <c r="E486" s="77"/>
      <c r="F486" s="2"/>
      <c r="G486" s="10">
        <f>G487</f>
        <v>24514</v>
      </c>
    </row>
    <row r="487" spans="1:7" ht="15.75">
      <c r="A487" s="25" t="s">
        <v>835</v>
      </c>
      <c r="B487" s="20" t="s">
        <v>960</v>
      </c>
      <c r="C487" s="41" t="s">
        <v>316</v>
      </c>
      <c r="D487" s="41" t="s">
        <v>135</v>
      </c>
      <c r="E487" s="41"/>
      <c r="F487" s="2"/>
      <c r="G487" s="10">
        <f>G488+G491+G494</f>
        <v>24514</v>
      </c>
    </row>
    <row r="488" spans="1:7" ht="78.75">
      <c r="A488" s="25" t="s">
        <v>144</v>
      </c>
      <c r="B488" s="20" t="s">
        <v>960</v>
      </c>
      <c r="C488" s="41" t="s">
        <v>316</v>
      </c>
      <c r="D488" s="41" t="s">
        <v>135</v>
      </c>
      <c r="E488" s="41" t="s">
        <v>145</v>
      </c>
      <c r="F488" s="2"/>
      <c r="G488" s="10">
        <f>G489</f>
        <v>18725</v>
      </c>
    </row>
    <row r="489" spans="1:7" ht="15.75">
      <c r="A489" s="25" t="s">
        <v>225</v>
      </c>
      <c r="B489" s="20" t="s">
        <v>960</v>
      </c>
      <c r="C489" s="41" t="s">
        <v>316</v>
      </c>
      <c r="D489" s="41" t="s">
        <v>135</v>
      </c>
      <c r="E489" s="41" t="s">
        <v>226</v>
      </c>
      <c r="F489" s="2"/>
      <c r="G489" s="10">
        <f>'Пр.6 ведом.20'!G329</f>
        <v>18725</v>
      </c>
    </row>
    <row r="490" spans="1:7" s="252" customFormat="1" ht="47.25">
      <c r="A490" s="25" t="s">
        <v>1286</v>
      </c>
      <c r="B490" s="20" t="s">
        <v>960</v>
      </c>
      <c r="C490" s="41" t="s">
        <v>316</v>
      </c>
      <c r="D490" s="41" t="s">
        <v>135</v>
      </c>
      <c r="E490" s="41" t="s">
        <v>226</v>
      </c>
      <c r="F490" s="2">
        <v>903</v>
      </c>
      <c r="G490" s="10">
        <f>G489</f>
        <v>18725</v>
      </c>
    </row>
    <row r="491" spans="1:7" ht="31.5">
      <c r="A491" s="25" t="s">
        <v>148</v>
      </c>
      <c r="B491" s="20" t="s">
        <v>960</v>
      </c>
      <c r="C491" s="41" t="s">
        <v>316</v>
      </c>
      <c r="D491" s="41" t="s">
        <v>135</v>
      </c>
      <c r="E491" s="41" t="s">
        <v>149</v>
      </c>
      <c r="F491" s="2"/>
      <c r="G491" s="10">
        <f>G492</f>
        <v>5681</v>
      </c>
    </row>
    <row r="492" spans="1:7" ht="31.5">
      <c r="A492" s="25" t="s">
        <v>150</v>
      </c>
      <c r="B492" s="20" t="s">
        <v>960</v>
      </c>
      <c r="C492" s="41" t="s">
        <v>316</v>
      </c>
      <c r="D492" s="41" t="s">
        <v>135</v>
      </c>
      <c r="E492" s="41" t="s">
        <v>151</v>
      </c>
      <c r="F492" s="2"/>
      <c r="G492" s="10">
        <f>'Пр.6 ведом.20'!G331</f>
        <v>5681</v>
      </c>
    </row>
    <row r="493" spans="1:7" s="252" customFormat="1" ht="47.25">
      <c r="A493" s="25" t="s">
        <v>1286</v>
      </c>
      <c r="B493" s="20" t="s">
        <v>960</v>
      </c>
      <c r="C493" s="41" t="s">
        <v>316</v>
      </c>
      <c r="D493" s="41" t="s">
        <v>135</v>
      </c>
      <c r="E493" s="41" t="s">
        <v>151</v>
      </c>
      <c r="F493" s="2">
        <v>903</v>
      </c>
      <c r="G493" s="10">
        <f>G492</f>
        <v>5681</v>
      </c>
    </row>
    <row r="494" spans="1:7" ht="15.75" customHeight="1">
      <c r="A494" s="25" t="s">
        <v>152</v>
      </c>
      <c r="B494" s="20" t="s">
        <v>960</v>
      </c>
      <c r="C494" s="41" t="s">
        <v>316</v>
      </c>
      <c r="D494" s="41" t="s">
        <v>135</v>
      </c>
      <c r="E494" s="41" t="s">
        <v>162</v>
      </c>
      <c r="F494" s="2"/>
      <c r="G494" s="10">
        <f>G495</f>
        <v>108</v>
      </c>
    </row>
    <row r="495" spans="1:7" ht="15.75" customHeight="1">
      <c r="A495" s="25" t="s">
        <v>154</v>
      </c>
      <c r="B495" s="20" t="s">
        <v>960</v>
      </c>
      <c r="C495" s="41" t="s">
        <v>316</v>
      </c>
      <c r="D495" s="41" t="s">
        <v>135</v>
      </c>
      <c r="E495" s="41" t="s">
        <v>155</v>
      </c>
      <c r="F495" s="2"/>
      <c r="G495" s="10">
        <f>'Пр.6 ведом.20'!G333</f>
        <v>108</v>
      </c>
    </row>
    <row r="496" spans="1:7" s="252" customFormat="1" ht="50.25" customHeight="1">
      <c r="A496" s="25" t="s">
        <v>1286</v>
      </c>
      <c r="B496" s="20" t="s">
        <v>960</v>
      </c>
      <c r="C496" s="41" t="s">
        <v>316</v>
      </c>
      <c r="D496" s="41" t="s">
        <v>135</v>
      </c>
      <c r="E496" s="41" t="s">
        <v>155</v>
      </c>
      <c r="F496" s="2">
        <v>903</v>
      </c>
      <c r="G496" s="10">
        <f>G495</f>
        <v>108</v>
      </c>
    </row>
    <row r="497" spans="1:7" s="252" customFormat="1" ht="31.5" customHeight="1">
      <c r="A497" s="317" t="s">
        <v>975</v>
      </c>
      <c r="B497" s="24" t="s">
        <v>963</v>
      </c>
      <c r="C497" s="7"/>
      <c r="D497" s="7"/>
      <c r="E497" s="7"/>
      <c r="F497" s="3"/>
      <c r="G497" s="62">
        <f>G500+G504</f>
        <v>250</v>
      </c>
    </row>
    <row r="498" spans="1:7" s="252" customFormat="1" ht="16.5" customHeight="1">
      <c r="A498" s="77" t="s">
        <v>315</v>
      </c>
      <c r="B498" s="41" t="s">
        <v>963</v>
      </c>
      <c r="C498" s="41" t="s">
        <v>316</v>
      </c>
      <c r="D498" s="77"/>
      <c r="E498" s="77"/>
      <c r="F498" s="2"/>
      <c r="G498" s="10">
        <f>G499</f>
        <v>250</v>
      </c>
    </row>
    <row r="499" spans="1:7" s="252" customFormat="1" ht="16.5" customHeight="1">
      <c r="A499" s="77" t="s">
        <v>317</v>
      </c>
      <c r="B499" s="41" t="s">
        <v>963</v>
      </c>
      <c r="C499" s="41" t="s">
        <v>316</v>
      </c>
      <c r="D499" s="41" t="s">
        <v>135</v>
      </c>
      <c r="E499" s="77"/>
      <c r="F499" s="2"/>
      <c r="G499" s="10">
        <f>G500+G504</f>
        <v>250</v>
      </c>
    </row>
    <row r="500" spans="1:7" s="252" customFormat="1" ht="41.25" customHeight="1" hidden="1">
      <c r="A500" s="32" t="s">
        <v>864</v>
      </c>
      <c r="B500" s="20" t="s">
        <v>964</v>
      </c>
      <c r="C500" s="41" t="s">
        <v>316</v>
      </c>
      <c r="D500" s="41" t="s">
        <v>135</v>
      </c>
      <c r="E500" s="41"/>
      <c r="F500" s="2"/>
      <c r="G500" s="10">
        <f>G501</f>
        <v>0</v>
      </c>
    </row>
    <row r="501" spans="1:7" s="252" customFormat="1" ht="83.25" customHeight="1" hidden="1">
      <c r="A501" s="25" t="s">
        <v>144</v>
      </c>
      <c r="B501" s="20" t="s">
        <v>964</v>
      </c>
      <c r="C501" s="41" t="s">
        <v>316</v>
      </c>
      <c r="D501" s="41" t="s">
        <v>135</v>
      </c>
      <c r="E501" s="41" t="s">
        <v>145</v>
      </c>
      <c r="F501" s="2"/>
      <c r="G501" s="10">
        <f>G502</f>
        <v>0</v>
      </c>
    </row>
    <row r="502" spans="1:7" s="252" customFormat="1" ht="15.75" customHeight="1" hidden="1">
      <c r="A502" s="25" t="s">
        <v>225</v>
      </c>
      <c r="B502" s="20" t="s">
        <v>964</v>
      </c>
      <c r="C502" s="41" t="s">
        <v>316</v>
      </c>
      <c r="D502" s="41" t="s">
        <v>135</v>
      </c>
      <c r="E502" s="41" t="s">
        <v>226</v>
      </c>
      <c r="F502" s="2"/>
      <c r="G502" s="10">
        <f>'Пр.5 Рд,пр, ЦС,ВР 20'!F741</f>
        <v>0</v>
      </c>
    </row>
    <row r="503" spans="1:7" s="252" customFormat="1" ht="15.75" customHeight="1" hidden="1">
      <c r="A503" s="25" t="s">
        <v>1286</v>
      </c>
      <c r="B503" s="20" t="s">
        <v>964</v>
      </c>
      <c r="C503" s="41" t="s">
        <v>316</v>
      </c>
      <c r="D503" s="41" t="s">
        <v>135</v>
      </c>
      <c r="E503" s="41" t="s">
        <v>226</v>
      </c>
      <c r="F503" s="2">
        <v>903</v>
      </c>
      <c r="G503" s="10">
        <f>G502</f>
        <v>0</v>
      </c>
    </row>
    <row r="504" spans="1:7" s="252" customFormat="1" ht="40.5" customHeight="1">
      <c r="A504" s="25" t="s">
        <v>148</v>
      </c>
      <c r="B504" s="20" t="s">
        <v>964</v>
      </c>
      <c r="C504" s="41" t="s">
        <v>316</v>
      </c>
      <c r="D504" s="41" t="s">
        <v>135</v>
      </c>
      <c r="E504" s="41" t="s">
        <v>149</v>
      </c>
      <c r="F504" s="2"/>
      <c r="G504" s="10">
        <f>G505</f>
        <v>250</v>
      </c>
    </row>
    <row r="505" spans="1:7" s="252" customFormat="1" ht="40.5" customHeight="1">
      <c r="A505" s="25" t="s">
        <v>150</v>
      </c>
      <c r="B505" s="20" t="s">
        <v>964</v>
      </c>
      <c r="C505" s="41" t="s">
        <v>316</v>
      </c>
      <c r="D505" s="41" t="s">
        <v>135</v>
      </c>
      <c r="E505" s="41" t="s">
        <v>151</v>
      </c>
      <c r="F505" s="2"/>
      <c r="G505" s="10">
        <f>'Пр.5 Рд,пр, ЦС,ВР 20'!F743</f>
        <v>250</v>
      </c>
    </row>
    <row r="506" spans="1:7" s="252" customFormat="1" ht="46.5" customHeight="1">
      <c r="A506" s="25" t="s">
        <v>1286</v>
      </c>
      <c r="B506" s="20" t="s">
        <v>964</v>
      </c>
      <c r="C506" s="41" t="s">
        <v>316</v>
      </c>
      <c r="D506" s="41" t="s">
        <v>135</v>
      </c>
      <c r="E506" s="41" t="s">
        <v>151</v>
      </c>
      <c r="F506" s="2">
        <v>903</v>
      </c>
      <c r="G506" s="10">
        <f>G505</f>
        <v>250</v>
      </c>
    </row>
    <row r="507" spans="1:7" s="252" customFormat="1" ht="35.25" customHeight="1">
      <c r="A507" s="23" t="s">
        <v>1084</v>
      </c>
      <c r="B507" s="24" t="s">
        <v>1173</v>
      </c>
      <c r="C507" s="7"/>
      <c r="D507" s="7"/>
      <c r="E507" s="7"/>
      <c r="F507" s="3"/>
      <c r="G507" s="62">
        <f>G510</f>
        <v>585</v>
      </c>
    </row>
    <row r="508" spans="1:7" s="252" customFormat="1" ht="16.5" customHeight="1">
      <c r="A508" s="77" t="s">
        <v>315</v>
      </c>
      <c r="B508" s="41" t="s">
        <v>1173</v>
      </c>
      <c r="C508" s="41" t="s">
        <v>316</v>
      </c>
      <c r="D508" s="77"/>
      <c r="E508" s="77"/>
      <c r="F508" s="2"/>
      <c r="G508" s="10">
        <f>G509</f>
        <v>1258.3</v>
      </c>
    </row>
    <row r="509" spans="1:7" s="252" customFormat="1" ht="18.75" customHeight="1">
      <c r="A509" s="77" t="s">
        <v>317</v>
      </c>
      <c r="B509" s="41" t="s">
        <v>1173</v>
      </c>
      <c r="C509" s="41" t="s">
        <v>316</v>
      </c>
      <c r="D509" s="41" t="s">
        <v>135</v>
      </c>
      <c r="E509" s="77"/>
      <c r="F509" s="2"/>
      <c r="G509" s="10">
        <f>G510+G514</f>
        <v>1258.3</v>
      </c>
    </row>
    <row r="510" spans="1:7" s="252" customFormat="1" ht="43.5" customHeight="1">
      <c r="A510" s="25" t="s">
        <v>889</v>
      </c>
      <c r="B510" s="20" t="s">
        <v>1174</v>
      </c>
      <c r="C510" s="41" t="s">
        <v>316</v>
      </c>
      <c r="D510" s="41" t="s">
        <v>135</v>
      </c>
      <c r="E510" s="41"/>
      <c r="F510" s="2"/>
      <c r="G510" s="10">
        <f>G511</f>
        <v>585</v>
      </c>
    </row>
    <row r="511" spans="1:7" s="252" customFormat="1" ht="81" customHeight="1">
      <c r="A511" s="25" t="s">
        <v>144</v>
      </c>
      <c r="B511" s="20" t="s">
        <v>1174</v>
      </c>
      <c r="C511" s="41" t="s">
        <v>316</v>
      </c>
      <c r="D511" s="41" t="s">
        <v>135</v>
      </c>
      <c r="E511" s="41" t="s">
        <v>145</v>
      </c>
      <c r="F511" s="2"/>
      <c r="G511" s="10">
        <f>G512</f>
        <v>585</v>
      </c>
    </row>
    <row r="512" spans="1:7" s="252" customFormat="1" ht="38.25" customHeight="1">
      <c r="A512" s="25" t="s">
        <v>146</v>
      </c>
      <c r="B512" s="20" t="s">
        <v>1174</v>
      </c>
      <c r="C512" s="41" t="s">
        <v>316</v>
      </c>
      <c r="D512" s="41" t="s">
        <v>135</v>
      </c>
      <c r="E512" s="41" t="s">
        <v>226</v>
      </c>
      <c r="F512" s="2"/>
      <c r="G512" s="10">
        <f>'Пр.5 Рд,пр, ЦС,ВР 20'!F747</f>
        <v>585</v>
      </c>
    </row>
    <row r="513" spans="1:7" s="252" customFormat="1" ht="47.25" customHeight="1">
      <c r="A513" s="25" t="s">
        <v>1286</v>
      </c>
      <c r="B513" s="20" t="s">
        <v>1174</v>
      </c>
      <c r="C513" s="41" t="s">
        <v>316</v>
      </c>
      <c r="D513" s="41" t="s">
        <v>135</v>
      </c>
      <c r="E513" s="41" t="s">
        <v>226</v>
      </c>
      <c r="F513" s="2">
        <v>903</v>
      </c>
      <c r="G513" s="10">
        <f>G512</f>
        <v>585</v>
      </c>
    </row>
    <row r="514" spans="1:7" s="252" customFormat="1" ht="48" customHeight="1" hidden="1">
      <c r="A514" s="318" t="s">
        <v>976</v>
      </c>
      <c r="B514" s="24" t="s">
        <v>1175</v>
      </c>
      <c r="C514" s="7"/>
      <c r="D514" s="7"/>
      <c r="E514" s="7"/>
      <c r="F514" s="3"/>
      <c r="G514" s="62">
        <f>G517</f>
        <v>673.3</v>
      </c>
    </row>
    <row r="515" spans="1:7" s="252" customFormat="1" ht="17.25" customHeight="1" hidden="1">
      <c r="A515" s="77" t="s">
        <v>315</v>
      </c>
      <c r="B515" s="41" t="s">
        <v>1175</v>
      </c>
      <c r="C515" s="41" t="s">
        <v>316</v>
      </c>
      <c r="D515" s="77"/>
      <c r="E515" s="77"/>
      <c r="F515" s="2"/>
      <c r="G515" s="10">
        <f>G516</f>
        <v>673.3</v>
      </c>
    </row>
    <row r="516" spans="1:7" s="252" customFormat="1" ht="18" customHeight="1" hidden="1">
      <c r="A516" s="77" t="s">
        <v>317</v>
      </c>
      <c r="B516" s="41" t="s">
        <v>1175</v>
      </c>
      <c r="C516" s="41" t="s">
        <v>316</v>
      </c>
      <c r="D516" s="41" t="s">
        <v>135</v>
      </c>
      <c r="E516" s="77"/>
      <c r="F516" s="2"/>
      <c r="G516" s="10">
        <f>G517</f>
        <v>673.3</v>
      </c>
    </row>
    <row r="517" spans="1:7" s="252" customFormat="1" ht="100.5" customHeight="1" hidden="1">
      <c r="A517" s="32" t="s">
        <v>310</v>
      </c>
      <c r="B517" s="20" t="s">
        <v>1176</v>
      </c>
      <c r="C517" s="41" t="s">
        <v>316</v>
      </c>
      <c r="D517" s="41" t="s">
        <v>135</v>
      </c>
      <c r="E517" s="41"/>
      <c r="F517" s="2"/>
      <c r="G517" s="10">
        <f>G518</f>
        <v>673.3</v>
      </c>
    </row>
    <row r="518" spans="1:7" s="252" customFormat="1" ht="82.5" customHeight="1" hidden="1">
      <c r="A518" s="25" t="s">
        <v>144</v>
      </c>
      <c r="B518" s="20" t="s">
        <v>1176</v>
      </c>
      <c r="C518" s="41" t="s">
        <v>316</v>
      </c>
      <c r="D518" s="41" t="s">
        <v>135</v>
      </c>
      <c r="E518" s="41" t="s">
        <v>145</v>
      </c>
      <c r="F518" s="2"/>
      <c r="G518" s="10">
        <f>G519</f>
        <v>673.3</v>
      </c>
    </row>
    <row r="519" spans="1:7" s="252" customFormat="1" ht="15.75" customHeight="1" hidden="1">
      <c r="A519" s="25" t="s">
        <v>225</v>
      </c>
      <c r="B519" s="20" t="s">
        <v>1176</v>
      </c>
      <c r="C519" s="41" t="s">
        <v>316</v>
      </c>
      <c r="D519" s="41" t="s">
        <v>135</v>
      </c>
      <c r="E519" s="41" t="s">
        <v>226</v>
      </c>
      <c r="F519" s="2"/>
      <c r="G519" s="10">
        <f>'Пр.5 Рд,пр, ЦС,ВР 20'!F751</f>
        <v>673.3</v>
      </c>
    </row>
    <row r="520" spans="1:7" s="252" customFormat="1" ht="53.25" customHeight="1" hidden="1">
      <c r="A520" s="25" t="s">
        <v>1286</v>
      </c>
      <c r="B520" s="20" t="s">
        <v>1176</v>
      </c>
      <c r="C520" s="41" t="s">
        <v>316</v>
      </c>
      <c r="D520" s="41" t="s">
        <v>135</v>
      </c>
      <c r="E520" s="41" t="s">
        <v>226</v>
      </c>
      <c r="F520" s="2">
        <v>903</v>
      </c>
      <c r="G520" s="10">
        <f>G519</f>
        <v>673.3</v>
      </c>
    </row>
    <row r="521" spans="1:7" ht="31.5">
      <c r="A521" s="42" t="s">
        <v>329</v>
      </c>
      <c r="B521" s="7" t="s">
        <v>330</v>
      </c>
      <c r="C521" s="7"/>
      <c r="D521" s="7"/>
      <c r="E521" s="7"/>
      <c r="F521" s="79"/>
      <c r="G521" s="62">
        <f>G522+G535+G542+G549+G560</f>
        <v>21875.32</v>
      </c>
    </row>
    <row r="522" spans="1:7" s="252" customFormat="1" ht="41.25" customHeight="1">
      <c r="A522" s="23" t="s">
        <v>961</v>
      </c>
      <c r="B522" s="24" t="s">
        <v>965</v>
      </c>
      <c r="C522" s="7"/>
      <c r="D522" s="7"/>
      <c r="E522" s="7"/>
      <c r="F522" s="3"/>
      <c r="G522" s="62">
        <f>G523</f>
        <v>19822.02</v>
      </c>
    </row>
    <row r="523" spans="1:7" ht="15.75">
      <c r="A523" s="77" t="s">
        <v>315</v>
      </c>
      <c r="B523" s="41" t="s">
        <v>965</v>
      </c>
      <c r="C523" s="41" t="s">
        <v>316</v>
      </c>
      <c r="D523" s="41"/>
      <c r="E523" s="41"/>
      <c r="F523" s="78"/>
      <c r="G523" s="10">
        <f aca="true" t="shared" si="71" ref="G523">G524</f>
        <v>19822.02</v>
      </c>
    </row>
    <row r="524" spans="1:7" ht="15.75">
      <c r="A524" s="77" t="s">
        <v>317</v>
      </c>
      <c r="B524" s="41" t="s">
        <v>965</v>
      </c>
      <c r="C524" s="41" t="s">
        <v>316</v>
      </c>
      <c r="D524" s="41" t="s">
        <v>135</v>
      </c>
      <c r="E524" s="41"/>
      <c r="F524" s="78"/>
      <c r="G524" s="10">
        <f>G525</f>
        <v>19822.02</v>
      </c>
    </row>
    <row r="525" spans="1:7" ht="15.75">
      <c r="A525" s="25" t="s">
        <v>835</v>
      </c>
      <c r="B525" s="20" t="s">
        <v>966</v>
      </c>
      <c r="C525" s="41" t="s">
        <v>316</v>
      </c>
      <c r="D525" s="41" t="s">
        <v>135</v>
      </c>
      <c r="E525" s="41"/>
      <c r="F525" s="2"/>
      <c r="G525" s="10">
        <f>G526+G529+G532</f>
        <v>19822.02</v>
      </c>
    </row>
    <row r="526" spans="1:7" ht="78.75">
      <c r="A526" s="25" t="s">
        <v>144</v>
      </c>
      <c r="B526" s="20" t="s">
        <v>966</v>
      </c>
      <c r="C526" s="41" t="s">
        <v>316</v>
      </c>
      <c r="D526" s="41" t="s">
        <v>135</v>
      </c>
      <c r="E526" s="41" t="s">
        <v>145</v>
      </c>
      <c r="F526" s="2"/>
      <c r="G526" s="10">
        <f>G527</f>
        <v>15928.02</v>
      </c>
    </row>
    <row r="527" spans="1:7" ht="15.75">
      <c r="A527" s="25" t="s">
        <v>225</v>
      </c>
      <c r="B527" s="20" t="s">
        <v>966</v>
      </c>
      <c r="C527" s="41" t="s">
        <v>316</v>
      </c>
      <c r="D527" s="41" t="s">
        <v>135</v>
      </c>
      <c r="E527" s="41" t="s">
        <v>226</v>
      </c>
      <c r="F527" s="2"/>
      <c r="G527" s="10">
        <f>'Пр.6 ведом.20'!G352</f>
        <v>15928.02</v>
      </c>
    </row>
    <row r="528" spans="1:7" s="252" customFormat="1" ht="47.25">
      <c r="A528" s="25" t="s">
        <v>1286</v>
      </c>
      <c r="B528" s="20" t="s">
        <v>966</v>
      </c>
      <c r="C528" s="41" t="s">
        <v>316</v>
      </c>
      <c r="D528" s="41" t="s">
        <v>135</v>
      </c>
      <c r="E528" s="41" t="s">
        <v>226</v>
      </c>
      <c r="F528" s="2">
        <v>903</v>
      </c>
      <c r="G528" s="10">
        <f>G527</f>
        <v>15928.02</v>
      </c>
    </row>
    <row r="529" spans="1:7" ht="31.5">
      <c r="A529" s="25" t="s">
        <v>148</v>
      </c>
      <c r="B529" s="20" t="s">
        <v>966</v>
      </c>
      <c r="C529" s="41" t="s">
        <v>316</v>
      </c>
      <c r="D529" s="41" t="s">
        <v>135</v>
      </c>
      <c r="E529" s="41" t="s">
        <v>149</v>
      </c>
      <c r="F529" s="2"/>
      <c r="G529" s="10">
        <f>G530</f>
        <v>3858</v>
      </c>
    </row>
    <row r="530" spans="1:7" ht="31.5">
      <c r="A530" s="25" t="s">
        <v>150</v>
      </c>
      <c r="B530" s="20" t="s">
        <v>966</v>
      </c>
      <c r="C530" s="41" t="s">
        <v>316</v>
      </c>
      <c r="D530" s="41" t="s">
        <v>135</v>
      </c>
      <c r="E530" s="41" t="s">
        <v>151</v>
      </c>
      <c r="F530" s="2"/>
      <c r="G530" s="10">
        <f>'Пр.6 ведом.20'!G354</f>
        <v>3858</v>
      </c>
    </row>
    <row r="531" spans="1:7" s="252" customFormat="1" ht="47.25">
      <c r="A531" s="25" t="s">
        <v>1286</v>
      </c>
      <c r="B531" s="20" t="s">
        <v>966</v>
      </c>
      <c r="C531" s="41" t="s">
        <v>316</v>
      </c>
      <c r="D531" s="41" t="s">
        <v>135</v>
      </c>
      <c r="E531" s="41" t="s">
        <v>151</v>
      </c>
      <c r="F531" s="2">
        <v>903</v>
      </c>
      <c r="G531" s="10">
        <f>G530</f>
        <v>3858</v>
      </c>
    </row>
    <row r="532" spans="1:7" ht="15.75" customHeight="1">
      <c r="A532" s="25" t="s">
        <v>152</v>
      </c>
      <c r="B532" s="20" t="s">
        <v>966</v>
      </c>
      <c r="C532" s="41" t="s">
        <v>316</v>
      </c>
      <c r="D532" s="41" t="s">
        <v>135</v>
      </c>
      <c r="E532" s="41" t="s">
        <v>162</v>
      </c>
      <c r="F532" s="2"/>
      <c r="G532" s="10">
        <f>G533</f>
        <v>36</v>
      </c>
    </row>
    <row r="533" spans="1:7" ht="15.75" customHeight="1">
      <c r="A533" s="25" t="s">
        <v>154</v>
      </c>
      <c r="B533" s="20" t="s">
        <v>966</v>
      </c>
      <c r="C533" s="41" t="s">
        <v>316</v>
      </c>
      <c r="D533" s="41" t="s">
        <v>135</v>
      </c>
      <c r="E533" s="41" t="s">
        <v>155</v>
      </c>
      <c r="F533" s="2"/>
      <c r="G533" s="10">
        <f>'Пр.6 ведом.20'!G356</f>
        <v>36</v>
      </c>
    </row>
    <row r="534" spans="1:7" s="252" customFormat="1" ht="50.25" customHeight="1">
      <c r="A534" s="25" t="s">
        <v>1286</v>
      </c>
      <c r="B534" s="20" t="s">
        <v>966</v>
      </c>
      <c r="C534" s="41" t="s">
        <v>316</v>
      </c>
      <c r="D534" s="41" t="s">
        <v>135</v>
      </c>
      <c r="E534" s="41" t="s">
        <v>155</v>
      </c>
      <c r="F534" s="2">
        <v>903</v>
      </c>
      <c r="G534" s="10">
        <f>G533</f>
        <v>36</v>
      </c>
    </row>
    <row r="535" spans="1:7" s="252" customFormat="1" ht="30.75" customHeight="1">
      <c r="A535" s="23" t="s">
        <v>978</v>
      </c>
      <c r="B535" s="24" t="s">
        <v>967</v>
      </c>
      <c r="C535" s="7"/>
      <c r="D535" s="7"/>
      <c r="E535" s="7"/>
      <c r="F535" s="3"/>
      <c r="G535" s="62">
        <f>G538</f>
        <v>200</v>
      </c>
    </row>
    <row r="536" spans="1:7" s="252" customFormat="1" ht="15.75" customHeight="1">
      <c r="A536" s="77" t="s">
        <v>315</v>
      </c>
      <c r="B536" s="41" t="s">
        <v>967</v>
      </c>
      <c r="C536" s="41" t="s">
        <v>316</v>
      </c>
      <c r="D536" s="41"/>
      <c r="E536" s="41"/>
      <c r="F536" s="78"/>
      <c r="G536" s="10">
        <f aca="true" t="shared" si="72" ref="G536">G537</f>
        <v>200</v>
      </c>
    </row>
    <row r="537" spans="1:7" s="252" customFormat="1" ht="18" customHeight="1">
      <c r="A537" s="77" t="s">
        <v>317</v>
      </c>
      <c r="B537" s="41" t="s">
        <v>967</v>
      </c>
      <c r="C537" s="41" t="s">
        <v>316</v>
      </c>
      <c r="D537" s="41" t="s">
        <v>135</v>
      </c>
      <c r="E537" s="41"/>
      <c r="F537" s="78"/>
      <c r="G537" s="10">
        <f>G538</f>
        <v>200</v>
      </c>
    </row>
    <row r="538" spans="1:7" s="252" customFormat="1" ht="33.75" customHeight="1">
      <c r="A538" s="25" t="s">
        <v>870</v>
      </c>
      <c r="B538" s="20" t="s">
        <v>968</v>
      </c>
      <c r="C538" s="41" t="s">
        <v>316</v>
      </c>
      <c r="D538" s="41" t="s">
        <v>135</v>
      </c>
      <c r="E538" s="41"/>
      <c r="F538" s="2"/>
      <c r="G538" s="10">
        <f>G539</f>
        <v>200</v>
      </c>
    </row>
    <row r="539" spans="1:7" s="252" customFormat="1" ht="36.75" customHeight="1">
      <c r="A539" s="25" t="s">
        <v>148</v>
      </c>
      <c r="B539" s="20" t="s">
        <v>968</v>
      </c>
      <c r="C539" s="41" t="s">
        <v>316</v>
      </c>
      <c r="D539" s="41" t="s">
        <v>135</v>
      </c>
      <c r="E539" s="41" t="s">
        <v>149</v>
      </c>
      <c r="F539" s="2"/>
      <c r="G539" s="10">
        <f>G540</f>
        <v>200</v>
      </c>
    </row>
    <row r="540" spans="1:7" s="252" customFormat="1" ht="33" customHeight="1">
      <c r="A540" s="25" t="s">
        <v>150</v>
      </c>
      <c r="B540" s="20" t="s">
        <v>968</v>
      </c>
      <c r="C540" s="41" t="s">
        <v>316</v>
      </c>
      <c r="D540" s="41" t="s">
        <v>135</v>
      </c>
      <c r="E540" s="41" t="s">
        <v>151</v>
      </c>
      <c r="F540" s="2"/>
      <c r="G540" s="10">
        <f>'Пр.6 ведом.20'!G360</f>
        <v>200</v>
      </c>
    </row>
    <row r="541" spans="1:7" s="252" customFormat="1" ht="48" customHeight="1">
      <c r="A541" s="25" t="s">
        <v>1286</v>
      </c>
      <c r="B541" s="20" t="s">
        <v>968</v>
      </c>
      <c r="C541" s="41" t="s">
        <v>316</v>
      </c>
      <c r="D541" s="41" t="s">
        <v>135</v>
      </c>
      <c r="E541" s="41" t="s">
        <v>151</v>
      </c>
      <c r="F541" s="2">
        <v>903</v>
      </c>
      <c r="G541" s="10">
        <f>G540</f>
        <v>200</v>
      </c>
    </row>
    <row r="542" spans="1:7" s="252" customFormat="1" ht="36.75" customHeight="1">
      <c r="A542" s="23" t="s">
        <v>1084</v>
      </c>
      <c r="B542" s="24" t="s">
        <v>969</v>
      </c>
      <c r="C542" s="7"/>
      <c r="D542" s="7"/>
      <c r="E542" s="7"/>
      <c r="F542" s="3"/>
      <c r="G542" s="62">
        <f>G545</f>
        <v>507</v>
      </c>
    </row>
    <row r="543" spans="1:7" s="252" customFormat="1" ht="16.5" customHeight="1">
      <c r="A543" s="77" t="s">
        <v>315</v>
      </c>
      <c r="B543" s="41" t="s">
        <v>969</v>
      </c>
      <c r="C543" s="41" t="s">
        <v>316</v>
      </c>
      <c r="D543" s="41"/>
      <c r="E543" s="41"/>
      <c r="F543" s="78"/>
      <c r="G543" s="10">
        <f aca="true" t="shared" si="73" ref="G543">G544</f>
        <v>507</v>
      </c>
    </row>
    <row r="544" spans="1:7" s="252" customFormat="1" ht="18.75" customHeight="1">
      <c r="A544" s="77" t="s">
        <v>317</v>
      </c>
      <c r="B544" s="41" t="s">
        <v>969</v>
      </c>
      <c r="C544" s="41" t="s">
        <v>316</v>
      </c>
      <c r="D544" s="41" t="s">
        <v>135</v>
      </c>
      <c r="E544" s="41"/>
      <c r="F544" s="78"/>
      <c r="G544" s="10">
        <f>G545</f>
        <v>507</v>
      </c>
    </row>
    <row r="545" spans="1:7" s="252" customFormat="1" ht="44.25" customHeight="1">
      <c r="A545" s="25" t="s">
        <v>889</v>
      </c>
      <c r="B545" s="20" t="s">
        <v>1269</v>
      </c>
      <c r="C545" s="41" t="s">
        <v>316</v>
      </c>
      <c r="D545" s="41" t="s">
        <v>135</v>
      </c>
      <c r="E545" s="41"/>
      <c r="F545" s="2"/>
      <c r="G545" s="10">
        <f>G546</f>
        <v>507</v>
      </c>
    </row>
    <row r="546" spans="1:7" s="252" customFormat="1" ht="78" customHeight="1">
      <c r="A546" s="25" t="s">
        <v>144</v>
      </c>
      <c r="B546" s="20" t="s">
        <v>1269</v>
      </c>
      <c r="C546" s="41" t="s">
        <v>316</v>
      </c>
      <c r="D546" s="41" t="s">
        <v>135</v>
      </c>
      <c r="E546" s="41" t="s">
        <v>145</v>
      </c>
      <c r="F546" s="2"/>
      <c r="G546" s="10">
        <f>G547</f>
        <v>507</v>
      </c>
    </row>
    <row r="547" spans="1:7" s="252" customFormat="1" ht="33" customHeight="1">
      <c r="A547" s="25" t="s">
        <v>146</v>
      </c>
      <c r="B547" s="20" t="s">
        <v>1269</v>
      </c>
      <c r="C547" s="41" t="s">
        <v>316</v>
      </c>
      <c r="D547" s="41" t="s">
        <v>135</v>
      </c>
      <c r="E547" s="41" t="s">
        <v>226</v>
      </c>
      <c r="F547" s="2"/>
      <c r="G547" s="10">
        <f>'Пр.6 ведом.20'!G364</f>
        <v>507</v>
      </c>
    </row>
    <row r="548" spans="1:7" s="252" customFormat="1" ht="44.25" customHeight="1">
      <c r="A548" s="25" t="s">
        <v>1286</v>
      </c>
      <c r="B548" s="20" t="s">
        <v>1269</v>
      </c>
      <c r="C548" s="41" t="s">
        <v>316</v>
      </c>
      <c r="D548" s="41" t="s">
        <v>135</v>
      </c>
      <c r="E548" s="41" t="s">
        <v>226</v>
      </c>
      <c r="F548" s="2">
        <v>903</v>
      </c>
      <c r="G548" s="10">
        <f>G547</f>
        <v>507</v>
      </c>
    </row>
    <row r="549" spans="1:7" s="252" customFormat="1" ht="32.25" customHeight="1">
      <c r="A549" s="23" t="s">
        <v>1172</v>
      </c>
      <c r="B549" s="24" t="s">
        <v>970</v>
      </c>
      <c r="C549" s="7"/>
      <c r="D549" s="7"/>
      <c r="E549" s="7"/>
      <c r="F549" s="3"/>
      <c r="G549" s="62">
        <f>G552+G556</f>
        <v>72.6</v>
      </c>
    </row>
    <row r="550" spans="1:7" s="252" customFormat="1" ht="17.25" customHeight="1">
      <c r="A550" s="72" t="s">
        <v>315</v>
      </c>
      <c r="B550" s="41" t="s">
        <v>970</v>
      </c>
      <c r="C550" s="41" t="s">
        <v>316</v>
      </c>
      <c r="D550" s="41"/>
      <c r="E550" s="41"/>
      <c r="F550" s="78"/>
      <c r="G550" s="10">
        <f aca="true" t="shared" si="74" ref="G550">G551</f>
        <v>72.6</v>
      </c>
    </row>
    <row r="551" spans="1:7" s="252" customFormat="1" ht="21" customHeight="1">
      <c r="A551" s="72" t="s">
        <v>317</v>
      </c>
      <c r="B551" s="41" t="s">
        <v>970</v>
      </c>
      <c r="C551" s="41" t="s">
        <v>316</v>
      </c>
      <c r="D551" s="41" t="s">
        <v>135</v>
      </c>
      <c r="E551" s="41"/>
      <c r="F551" s="78"/>
      <c r="G551" s="10">
        <f>G552+G556</f>
        <v>72.6</v>
      </c>
    </row>
    <row r="552" spans="1:7" s="252" customFormat="1" ht="15.75" customHeight="1">
      <c r="A552" s="25" t="s">
        <v>346</v>
      </c>
      <c r="B552" s="20" t="s">
        <v>1270</v>
      </c>
      <c r="C552" s="41" t="s">
        <v>316</v>
      </c>
      <c r="D552" s="41" t="s">
        <v>135</v>
      </c>
      <c r="E552" s="41"/>
      <c r="F552" s="2"/>
      <c r="G552" s="10">
        <f>G553</f>
        <v>3.5</v>
      </c>
    </row>
    <row r="553" spans="1:7" s="252" customFormat="1" ht="34.5" customHeight="1">
      <c r="A553" s="25" t="s">
        <v>148</v>
      </c>
      <c r="B553" s="20" t="s">
        <v>1270</v>
      </c>
      <c r="C553" s="41" t="s">
        <v>316</v>
      </c>
      <c r="D553" s="41" t="s">
        <v>135</v>
      </c>
      <c r="E553" s="41" t="s">
        <v>149</v>
      </c>
      <c r="F553" s="2"/>
      <c r="G553" s="10">
        <f>G554</f>
        <v>3.5</v>
      </c>
    </row>
    <row r="554" spans="1:7" s="252" customFormat="1" ht="32.25" customHeight="1">
      <c r="A554" s="25" t="s">
        <v>150</v>
      </c>
      <c r="B554" s="20" t="s">
        <v>1270</v>
      </c>
      <c r="C554" s="41" t="s">
        <v>316</v>
      </c>
      <c r="D554" s="41" t="s">
        <v>135</v>
      </c>
      <c r="E554" s="41" t="s">
        <v>151</v>
      </c>
      <c r="F554" s="2"/>
      <c r="G554" s="10">
        <f>'Пр.6 ведом.20'!G368</f>
        <v>3.5</v>
      </c>
    </row>
    <row r="555" spans="1:7" s="252" customFormat="1" ht="50.25" customHeight="1">
      <c r="A555" s="25" t="s">
        <v>1286</v>
      </c>
      <c r="B555" s="20" t="s">
        <v>1270</v>
      </c>
      <c r="C555" s="41" t="s">
        <v>316</v>
      </c>
      <c r="D555" s="41" t="s">
        <v>135</v>
      </c>
      <c r="E555" s="41" t="s">
        <v>151</v>
      </c>
      <c r="F555" s="2">
        <v>903</v>
      </c>
      <c r="G555" s="10">
        <f>G554</f>
        <v>3.5</v>
      </c>
    </row>
    <row r="556" spans="1:7" s="252" customFormat="1" ht="15.75" customHeight="1">
      <c r="A556" s="25" t="s">
        <v>346</v>
      </c>
      <c r="B556" s="20" t="s">
        <v>1271</v>
      </c>
      <c r="C556" s="41" t="s">
        <v>316</v>
      </c>
      <c r="D556" s="41" t="s">
        <v>135</v>
      </c>
      <c r="E556" s="41"/>
      <c r="F556" s="2"/>
      <c r="G556" s="10">
        <f>G557</f>
        <v>69.1</v>
      </c>
    </row>
    <row r="557" spans="1:7" s="252" customFormat="1" ht="36.75" customHeight="1">
      <c r="A557" s="25" t="s">
        <v>148</v>
      </c>
      <c r="B557" s="20" t="s">
        <v>1271</v>
      </c>
      <c r="C557" s="41" t="s">
        <v>316</v>
      </c>
      <c r="D557" s="41" t="s">
        <v>135</v>
      </c>
      <c r="E557" s="41" t="s">
        <v>149</v>
      </c>
      <c r="F557" s="2"/>
      <c r="G557" s="10">
        <f>G558</f>
        <v>69.1</v>
      </c>
    </row>
    <row r="558" spans="1:7" s="252" customFormat="1" ht="37.5" customHeight="1">
      <c r="A558" s="25" t="s">
        <v>150</v>
      </c>
      <c r="B558" s="20" t="s">
        <v>1271</v>
      </c>
      <c r="C558" s="41" t="s">
        <v>316</v>
      </c>
      <c r="D558" s="41" t="s">
        <v>135</v>
      </c>
      <c r="E558" s="41" t="s">
        <v>151</v>
      </c>
      <c r="F558" s="2"/>
      <c r="G558" s="10">
        <f>'Пр.6 ведом.20'!G371</f>
        <v>69.1</v>
      </c>
    </row>
    <row r="559" spans="1:7" s="252" customFormat="1" ht="51.75" customHeight="1">
      <c r="A559" s="25" t="s">
        <v>1286</v>
      </c>
      <c r="B559" s="20" t="s">
        <v>1271</v>
      </c>
      <c r="C559" s="41" t="s">
        <v>316</v>
      </c>
      <c r="D559" s="41" t="s">
        <v>135</v>
      </c>
      <c r="E559" s="41" t="s">
        <v>151</v>
      </c>
      <c r="F559" s="2">
        <v>903</v>
      </c>
      <c r="G559" s="10">
        <f>G558</f>
        <v>69.1</v>
      </c>
    </row>
    <row r="560" spans="1:7" s="252" customFormat="1" ht="49.5" customHeight="1">
      <c r="A560" s="318" t="s">
        <v>976</v>
      </c>
      <c r="B560" s="24" t="s">
        <v>1272</v>
      </c>
      <c r="C560" s="7"/>
      <c r="D560" s="7"/>
      <c r="E560" s="7"/>
      <c r="F560" s="3"/>
      <c r="G560" s="62">
        <f>G561</f>
        <v>1273.7</v>
      </c>
    </row>
    <row r="561" spans="1:7" s="252" customFormat="1" ht="18" customHeight="1">
      <c r="A561" s="72" t="s">
        <v>315</v>
      </c>
      <c r="B561" s="41" t="s">
        <v>1272</v>
      </c>
      <c r="C561" s="41" t="s">
        <v>316</v>
      </c>
      <c r="D561" s="41"/>
      <c r="E561" s="41"/>
      <c r="F561" s="78"/>
      <c r="G561" s="10">
        <f aca="true" t="shared" si="75" ref="G561">G562</f>
        <v>1273.7</v>
      </c>
    </row>
    <row r="562" spans="1:7" s="252" customFormat="1" ht="18.75" customHeight="1">
      <c r="A562" s="72" t="s">
        <v>317</v>
      </c>
      <c r="B562" s="41" t="s">
        <v>1272</v>
      </c>
      <c r="C562" s="41" t="s">
        <v>316</v>
      </c>
      <c r="D562" s="41" t="s">
        <v>135</v>
      </c>
      <c r="E562" s="41"/>
      <c r="F562" s="78"/>
      <c r="G562" s="10">
        <f>G563+G567</f>
        <v>1273.7</v>
      </c>
    </row>
    <row r="563" spans="1:7" s="252" customFormat="1" ht="66" customHeight="1">
      <c r="A563" s="25" t="s">
        <v>348</v>
      </c>
      <c r="B563" s="20" t="s">
        <v>1273</v>
      </c>
      <c r="C563" s="41" t="s">
        <v>316</v>
      </c>
      <c r="D563" s="41" t="s">
        <v>135</v>
      </c>
      <c r="E563" s="41"/>
      <c r="F563" s="2"/>
      <c r="G563" s="10">
        <f>G564</f>
        <v>273.7</v>
      </c>
    </row>
    <row r="564" spans="1:7" s="252" customFormat="1" ht="77.25" customHeight="1">
      <c r="A564" s="25" t="s">
        <v>144</v>
      </c>
      <c r="B564" s="20" t="s">
        <v>1273</v>
      </c>
      <c r="C564" s="41" t="s">
        <v>316</v>
      </c>
      <c r="D564" s="41" t="s">
        <v>135</v>
      </c>
      <c r="E564" s="41" t="s">
        <v>145</v>
      </c>
      <c r="F564" s="2"/>
      <c r="G564" s="10">
        <f>G565</f>
        <v>273.7</v>
      </c>
    </row>
    <row r="565" spans="1:7" s="252" customFormat="1" ht="20.25" customHeight="1">
      <c r="A565" s="25" t="s">
        <v>225</v>
      </c>
      <c r="B565" s="20" t="s">
        <v>1273</v>
      </c>
      <c r="C565" s="41" t="s">
        <v>316</v>
      </c>
      <c r="D565" s="41" t="s">
        <v>135</v>
      </c>
      <c r="E565" s="41" t="s">
        <v>226</v>
      </c>
      <c r="F565" s="2"/>
      <c r="G565" s="10">
        <f>'Пр.6 ведом.20'!G375</f>
        <v>273.7</v>
      </c>
    </row>
    <row r="566" spans="1:7" s="252" customFormat="1" ht="51.75" customHeight="1">
      <c r="A566" s="25" t="s">
        <v>1286</v>
      </c>
      <c r="B566" s="20" t="s">
        <v>1273</v>
      </c>
      <c r="C566" s="41" t="s">
        <v>316</v>
      </c>
      <c r="D566" s="41" t="s">
        <v>135</v>
      </c>
      <c r="E566" s="41" t="s">
        <v>226</v>
      </c>
      <c r="F566" s="2">
        <v>903</v>
      </c>
      <c r="G566" s="10">
        <f>G565</f>
        <v>273.7</v>
      </c>
    </row>
    <row r="567" spans="1:7" s="252" customFormat="1" ht="95.25" customHeight="1">
      <c r="A567" s="32" t="s">
        <v>310</v>
      </c>
      <c r="B567" s="20" t="s">
        <v>1274</v>
      </c>
      <c r="C567" s="41" t="s">
        <v>316</v>
      </c>
      <c r="D567" s="41" t="s">
        <v>135</v>
      </c>
      <c r="E567" s="41"/>
      <c r="F567" s="2"/>
      <c r="G567" s="10">
        <f>G568</f>
        <v>1000</v>
      </c>
    </row>
    <row r="568" spans="1:7" s="252" customFormat="1" ht="30.75" customHeight="1">
      <c r="A568" s="25" t="s">
        <v>144</v>
      </c>
      <c r="B568" s="20" t="s">
        <v>1274</v>
      </c>
      <c r="C568" s="41" t="s">
        <v>316</v>
      </c>
      <c r="D568" s="41" t="s">
        <v>135</v>
      </c>
      <c r="E568" s="41" t="s">
        <v>145</v>
      </c>
      <c r="F568" s="2"/>
      <c r="G568" s="10">
        <f>G569</f>
        <v>1000</v>
      </c>
    </row>
    <row r="569" spans="1:7" s="252" customFormat="1" ht="22.5" customHeight="1">
      <c r="A569" s="25" t="s">
        <v>225</v>
      </c>
      <c r="B569" s="20" t="s">
        <v>1274</v>
      </c>
      <c r="C569" s="41" t="s">
        <v>316</v>
      </c>
      <c r="D569" s="41" t="s">
        <v>135</v>
      </c>
      <c r="E569" s="41" t="s">
        <v>226</v>
      </c>
      <c r="F569" s="2"/>
      <c r="G569" s="10">
        <f>'Пр.6 ведом.20'!G378</f>
        <v>1000</v>
      </c>
    </row>
    <row r="570" spans="1:7" s="252" customFormat="1" ht="48.75" customHeight="1">
      <c r="A570" s="25" t="s">
        <v>1286</v>
      </c>
      <c r="B570" s="20" t="s">
        <v>1274</v>
      </c>
      <c r="C570" s="41" t="s">
        <v>316</v>
      </c>
      <c r="D570" s="41" t="s">
        <v>135</v>
      </c>
      <c r="E570" s="41" t="s">
        <v>226</v>
      </c>
      <c r="F570" s="2">
        <v>903</v>
      </c>
      <c r="G570" s="10">
        <f>G569</f>
        <v>1000</v>
      </c>
    </row>
    <row r="571" spans="1:7" s="252" customFormat="1" ht="51.75" customHeight="1">
      <c r="A571" s="23" t="s">
        <v>285</v>
      </c>
      <c r="B571" s="24" t="s">
        <v>286</v>
      </c>
      <c r="C571" s="7"/>
      <c r="D571" s="7"/>
      <c r="E571" s="7"/>
      <c r="F571" s="3"/>
      <c r="G571" s="62">
        <f>G572+G585+G592+G602+G609</f>
        <v>17222.05</v>
      </c>
    </row>
    <row r="572" spans="1:7" s="252" customFormat="1" ht="37.5" customHeight="1">
      <c r="A572" s="23" t="s">
        <v>946</v>
      </c>
      <c r="B572" s="24" t="s">
        <v>947</v>
      </c>
      <c r="C572" s="7"/>
      <c r="D572" s="7"/>
      <c r="E572" s="7"/>
      <c r="F572" s="3"/>
      <c r="G572" s="62">
        <f>G573</f>
        <v>15639.65</v>
      </c>
    </row>
    <row r="573" spans="1:7" s="252" customFormat="1" ht="15.75" customHeight="1">
      <c r="A573" s="25" t="s">
        <v>280</v>
      </c>
      <c r="B573" s="20" t="s">
        <v>947</v>
      </c>
      <c r="C573" s="41" t="s">
        <v>281</v>
      </c>
      <c r="D573" s="41"/>
      <c r="E573" s="41"/>
      <c r="F573" s="2"/>
      <c r="G573" s="10">
        <f>G574</f>
        <v>15639.65</v>
      </c>
    </row>
    <row r="574" spans="1:7" s="252" customFormat="1" ht="20.25" customHeight="1">
      <c r="A574" s="25" t="s">
        <v>282</v>
      </c>
      <c r="B574" s="20" t="s">
        <v>947</v>
      </c>
      <c r="C574" s="41" t="s">
        <v>281</v>
      </c>
      <c r="D574" s="41" t="s">
        <v>232</v>
      </c>
      <c r="E574" s="41"/>
      <c r="F574" s="2"/>
      <c r="G574" s="10">
        <f>G575</f>
        <v>15639.65</v>
      </c>
    </row>
    <row r="575" spans="1:7" s="252" customFormat="1" ht="18.75" customHeight="1">
      <c r="A575" s="25" t="s">
        <v>835</v>
      </c>
      <c r="B575" s="20" t="s">
        <v>945</v>
      </c>
      <c r="C575" s="41" t="s">
        <v>281</v>
      </c>
      <c r="D575" s="41" t="s">
        <v>232</v>
      </c>
      <c r="E575" s="41"/>
      <c r="F575" s="2"/>
      <c r="G575" s="10">
        <f>G576+G579+G582</f>
        <v>15639.65</v>
      </c>
    </row>
    <row r="576" spans="1:7" s="252" customFormat="1" ht="86.25" customHeight="1">
      <c r="A576" s="25" t="s">
        <v>144</v>
      </c>
      <c r="B576" s="20" t="s">
        <v>945</v>
      </c>
      <c r="C576" s="41" t="s">
        <v>281</v>
      </c>
      <c r="D576" s="41" t="s">
        <v>232</v>
      </c>
      <c r="E576" s="20" t="s">
        <v>145</v>
      </c>
      <c r="F576" s="2"/>
      <c r="G576" s="10">
        <f>G577</f>
        <v>13361.25</v>
      </c>
    </row>
    <row r="577" spans="1:7" s="252" customFormat="1" ht="15.75" customHeight="1">
      <c r="A577" s="47" t="s">
        <v>359</v>
      </c>
      <c r="B577" s="20" t="s">
        <v>945</v>
      </c>
      <c r="C577" s="41" t="s">
        <v>281</v>
      </c>
      <c r="D577" s="41" t="s">
        <v>232</v>
      </c>
      <c r="E577" s="20" t="s">
        <v>226</v>
      </c>
      <c r="F577" s="2"/>
      <c r="G577" s="10">
        <f>'Пр.6 ведом.20'!G268</f>
        <v>13361.25</v>
      </c>
    </row>
    <row r="578" spans="1:7" s="252" customFormat="1" ht="48" customHeight="1">
      <c r="A578" s="25" t="s">
        <v>1286</v>
      </c>
      <c r="B578" s="20" t="s">
        <v>945</v>
      </c>
      <c r="C578" s="41" t="s">
        <v>281</v>
      </c>
      <c r="D578" s="41" t="s">
        <v>232</v>
      </c>
      <c r="E578" s="20" t="s">
        <v>226</v>
      </c>
      <c r="F578" s="2">
        <v>903</v>
      </c>
      <c r="G578" s="10">
        <f>G577</f>
        <v>13361.25</v>
      </c>
    </row>
    <row r="579" spans="1:7" s="252" customFormat="1" ht="36" customHeight="1">
      <c r="A579" s="25" t="s">
        <v>148</v>
      </c>
      <c r="B579" s="20" t="s">
        <v>945</v>
      </c>
      <c r="C579" s="41" t="s">
        <v>281</v>
      </c>
      <c r="D579" s="41" t="s">
        <v>232</v>
      </c>
      <c r="E579" s="20" t="s">
        <v>149</v>
      </c>
      <c r="F579" s="2"/>
      <c r="G579" s="10">
        <f>G580</f>
        <v>2200</v>
      </c>
    </row>
    <row r="580" spans="1:7" s="252" customFormat="1" ht="29.25" customHeight="1">
      <c r="A580" s="25" t="s">
        <v>150</v>
      </c>
      <c r="B580" s="20" t="s">
        <v>945</v>
      </c>
      <c r="C580" s="41" t="s">
        <v>281</v>
      </c>
      <c r="D580" s="41" t="s">
        <v>232</v>
      </c>
      <c r="E580" s="20" t="s">
        <v>151</v>
      </c>
      <c r="F580" s="2"/>
      <c r="G580" s="10">
        <f>'Пр.6 ведом.20'!G270</f>
        <v>2200</v>
      </c>
    </row>
    <row r="581" spans="1:7" s="252" customFormat="1" ht="48" customHeight="1">
      <c r="A581" s="25" t="s">
        <v>1286</v>
      </c>
      <c r="B581" s="20" t="s">
        <v>945</v>
      </c>
      <c r="C581" s="41" t="s">
        <v>281</v>
      </c>
      <c r="D581" s="41" t="s">
        <v>232</v>
      </c>
      <c r="E581" s="20" t="s">
        <v>151</v>
      </c>
      <c r="F581" s="2">
        <v>903</v>
      </c>
      <c r="G581" s="10">
        <f>G580</f>
        <v>2200</v>
      </c>
    </row>
    <row r="582" spans="1:7" s="252" customFormat="1" ht="15.75" customHeight="1">
      <c r="A582" s="25" t="s">
        <v>152</v>
      </c>
      <c r="B582" s="20" t="s">
        <v>945</v>
      </c>
      <c r="C582" s="41" t="s">
        <v>281</v>
      </c>
      <c r="D582" s="41" t="s">
        <v>232</v>
      </c>
      <c r="E582" s="20" t="s">
        <v>162</v>
      </c>
      <c r="F582" s="2"/>
      <c r="G582" s="10">
        <f>G583</f>
        <v>78.4</v>
      </c>
    </row>
    <row r="583" spans="1:7" s="252" customFormat="1" ht="15.75" customHeight="1">
      <c r="A583" s="25" t="s">
        <v>729</v>
      </c>
      <c r="B583" s="20" t="s">
        <v>945</v>
      </c>
      <c r="C583" s="41" t="s">
        <v>281</v>
      </c>
      <c r="D583" s="41" t="s">
        <v>232</v>
      </c>
      <c r="E583" s="20" t="s">
        <v>155</v>
      </c>
      <c r="F583" s="2"/>
      <c r="G583" s="10">
        <f>'Пр.6 ведом.20'!G272</f>
        <v>78.4</v>
      </c>
    </row>
    <row r="584" spans="1:7" s="252" customFormat="1" ht="54.75" customHeight="1">
      <c r="A584" s="25" t="s">
        <v>1286</v>
      </c>
      <c r="B584" s="20" t="s">
        <v>945</v>
      </c>
      <c r="C584" s="41" t="s">
        <v>281</v>
      </c>
      <c r="D584" s="41" t="s">
        <v>232</v>
      </c>
      <c r="E584" s="20" t="s">
        <v>155</v>
      </c>
      <c r="F584" s="2">
        <v>903</v>
      </c>
      <c r="G584" s="10">
        <f>G583</f>
        <v>78.4</v>
      </c>
    </row>
    <row r="585" spans="1:7" s="252" customFormat="1" ht="48" customHeight="1">
      <c r="A585" s="316" t="s">
        <v>1200</v>
      </c>
      <c r="B585" s="24" t="s">
        <v>949</v>
      </c>
      <c r="C585" s="7"/>
      <c r="D585" s="7"/>
      <c r="E585" s="24"/>
      <c r="F585" s="3"/>
      <c r="G585" s="62">
        <f>G588</f>
        <v>45</v>
      </c>
    </row>
    <row r="586" spans="1:7" s="252" customFormat="1" ht="18" customHeight="1">
      <c r="A586" s="25" t="s">
        <v>280</v>
      </c>
      <c r="B586" s="20" t="s">
        <v>949</v>
      </c>
      <c r="C586" s="41" t="s">
        <v>281</v>
      </c>
      <c r="D586" s="41"/>
      <c r="E586" s="41"/>
      <c r="F586" s="2"/>
      <c r="G586" s="10">
        <f>G587</f>
        <v>45</v>
      </c>
    </row>
    <row r="587" spans="1:7" s="252" customFormat="1" ht="15.75" customHeight="1">
      <c r="A587" s="25" t="s">
        <v>282</v>
      </c>
      <c r="B587" s="20" t="s">
        <v>949</v>
      </c>
      <c r="C587" s="41" t="s">
        <v>281</v>
      </c>
      <c r="D587" s="41" t="s">
        <v>232</v>
      </c>
      <c r="E587" s="41"/>
      <c r="F587" s="2"/>
      <c r="G587" s="10">
        <f>G588</f>
        <v>45</v>
      </c>
    </row>
    <row r="588" spans="1:7" s="252" customFormat="1" ht="15.75" customHeight="1">
      <c r="A588" s="234" t="s">
        <v>834</v>
      </c>
      <c r="B588" s="20" t="s">
        <v>948</v>
      </c>
      <c r="C588" s="41" t="s">
        <v>281</v>
      </c>
      <c r="D588" s="41" t="s">
        <v>232</v>
      </c>
      <c r="E588" s="20"/>
      <c r="F588" s="2"/>
      <c r="G588" s="10">
        <f>G589</f>
        <v>45</v>
      </c>
    </row>
    <row r="589" spans="1:7" s="252" customFormat="1" ht="15.75" customHeight="1">
      <c r="A589" s="25" t="s">
        <v>265</v>
      </c>
      <c r="B589" s="20" t="s">
        <v>948</v>
      </c>
      <c r="C589" s="41" t="s">
        <v>281</v>
      </c>
      <c r="D589" s="41" t="s">
        <v>232</v>
      </c>
      <c r="E589" s="20" t="s">
        <v>266</v>
      </c>
      <c r="F589" s="2"/>
      <c r="G589" s="10">
        <f>G590</f>
        <v>45</v>
      </c>
    </row>
    <row r="590" spans="1:7" s="252" customFormat="1" ht="15.75" customHeight="1">
      <c r="A590" s="25" t="s">
        <v>869</v>
      </c>
      <c r="B590" s="20" t="s">
        <v>948</v>
      </c>
      <c r="C590" s="41" t="s">
        <v>281</v>
      </c>
      <c r="D590" s="41" t="s">
        <v>232</v>
      </c>
      <c r="E590" s="20" t="s">
        <v>868</v>
      </c>
      <c r="F590" s="2"/>
      <c r="G590" s="10">
        <f>'Пр.6 ведом.20'!G276</f>
        <v>45</v>
      </c>
    </row>
    <row r="591" spans="1:7" s="252" customFormat="1" ht="49.5" customHeight="1">
      <c r="A591" s="25" t="s">
        <v>1286</v>
      </c>
      <c r="B591" s="20" t="s">
        <v>948</v>
      </c>
      <c r="C591" s="41" t="s">
        <v>281</v>
      </c>
      <c r="D591" s="41" t="s">
        <v>232</v>
      </c>
      <c r="E591" s="20" t="s">
        <v>868</v>
      </c>
      <c r="F591" s="2">
        <v>903</v>
      </c>
      <c r="G591" s="10">
        <f>G590</f>
        <v>45</v>
      </c>
    </row>
    <row r="592" spans="1:7" s="252" customFormat="1" ht="53.25" customHeight="1">
      <c r="A592" s="322" t="s">
        <v>1177</v>
      </c>
      <c r="B592" s="24" t="s">
        <v>950</v>
      </c>
      <c r="C592" s="7"/>
      <c r="D592" s="7"/>
      <c r="E592" s="24"/>
      <c r="F592" s="3"/>
      <c r="G592" s="62">
        <f>G595</f>
        <v>250.00000000000003</v>
      </c>
    </row>
    <row r="593" spans="1:7" s="252" customFormat="1" ht="16.5" customHeight="1">
      <c r="A593" s="25" t="s">
        <v>280</v>
      </c>
      <c r="B593" s="20" t="s">
        <v>950</v>
      </c>
      <c r="C593" s="41" t="s">
        <v>281</v>
      </c>
      <c r="D593" s="41"/>
      <c r="E593" s="41"/>
      <c r="F593" s="2"/>
      <c r="G593" s="10">
        <f>G594</f>
        <v>250.00000000000003</v>
      </c>
    </row>
    <row r="594" spans="1:7" s="252" customFormat="1" ht="19.5" customHeight="1">
      <c r="A594" s="25" t="s">
        <v>282</v>
      </c>
      <c r="B594" s="20" t="s">
        <v>950</v>
      </c>
      <c r="C594" s="41" t="s">
        <v>281</v>
      </c>
      <c r="D594" s="41" t="s">
        <v>232</v>
      </c>
      <c r="E594" s="41"/>
      <c r="F594" s="2"/>
      <c r="G594" s="10">
        <f>G595</f>
        <v>250.00000000000003</v>
      </c>
    </row>
    <row r="595" spans="1:7" s="252" customFormat="1" ht="34.5" customHeight="1">
      <c r="A595" s="32" t="s">
        <v>864</v>
      </c>
      <c r="B595" s="20" t="s">
        <v>951</v>
      </c>
      <c r="C595" s="41" t="s">
        <v>281</v>
      </c>
      <c r="D595" s="41" t="s">
        <v>232</v>
      </c>
      <c r="E595" s="20"/>
      <c r="F595" s="2"/>
      <c r="G595" s="10">
        <f>G596+G599</f>
        <v>250.00000000000003</v>
      </c>
    </row>
    <row r="596" spans="1:7" s="252" customFormat="1" ht="84" customHeight="1">
      <c r="A596" s="25" t="s">
        <v>144</v>
      </c>
      <c r="B596" s="20" t="s">
        <v>951</v>
      </c>
      <c r="C596" s="41" t="s">
        <v>281</v>
      </c>
      <c r="D596" s="41" t="s">
        <v>232</v>
      </c>
      <c r="E596" s="20" t="s">
        <v>145</v>
      </c>
      <c r="F596" s="2"/>
      <c r="G596" s="10">
        <f>G597</f>
        <v>250.00000000000003</v>
      </c>
    </row>
    <row r="597" spans="1:7" s="252" customFormat="1" ht="15.75" customHeight="1">
      <c r="A597" s="47" t="s">
        <v>359</v>
      </c>
      <c r="B597" s="20" t="s">
        <v>951</v>
      </c>
      <c r="C597" s="41" t="s">
        <v>281</v>
      </c>
      <c r="D597" s="41" t="s">
        <v>232</v>
      </c>
      <c r="E597" s="20" t="s">
        <v>226</v>
      </c>
      <c r="F597" s="2"/>
      <c r="G597" s="10">
        <f>'Пр.6 ведом.20'!G280</f>
        <v>250.00000000000003</v>
      </c>
    </row>
    <row r="598" spans="1:7" s="252" customFormat="1" ht="49.5" customHeight="1">
      <c r="A598" s="25" t="s">
        <v>1286</v>
      </c>
      <c r="B598" s="20" t="s">
        <v>951</v>
      </c>
      <c r="C598" s="41" t="s">
        <v>281</v>
      </c>
      <c r="D598" s="41" t="s">
        <v>232</v>
      </c>
      <c r="E598" s="20" t="s">
        <v>226</v>
      </c>
      <c r="F598" s="2">
        <v>903</v>
      </c>
      <c r="G598" s="10">
        <f>G597</f>
        <v>250.00000000000003</v>
      </c>
    </row>
    <row r="599" spans="1:7" s="252" customFormat="1" ht="36.75" customHeight="1" hidden="1">
      <c r="A599" s="25" t="s">
        <v>148</v>
      </c>
      <c r="B599" s="20" t="s">
        <v>951</v>
      </c>
      <c r="C599" s="41" t="s">
        <v>281</v>
      </c>
      <c r="D599" s="41" t="s">
        <v>232</v>
      </c>
      <c r="E599" s="20" t="s">
        <v>149</v>
      </c>
      <c r="F599" s="2"/>
      <c r="G599" s="10">
        <f>G600</f>
        <v>0</v>
      </c>
    </row>
    <row r="600" spans="1:7" s="252" customFormat="1" ht="15.75" customHeight="1" hidden="1">
      <c r="A600" s="25" t="s">
        <v>150</v>
      </c>
      <c r="B600" s="20" t="s">
        <v>951</v>
      </c>
      <c r="C600" s="41" t="s">
        <v>281</v>
      </c>
      <c r="D600" s="41" t="s">
        <v>232</v>
      </c>
      <c r="E600" s="20" t="s">
        <v>151</v>
      </c>
      <c r="F600" s="2"/>
      <c r="G600" s="10">
        <f>'Пр.6 ведом.20'!G282</f>
        <v>0</v>
      </c>
    </row>
    <row r="601" spans="1:7" s="252" customFormat="1" ht="48" customHeight="1" hidden="1">
      <c r="A601" s="25" t="s">
        <v>1286</v>
      </c>
      <c r="B601" s="20" t="s">
        <v>951</v>
      </c>
      <c r="C601" s="41" t="s">
        <v>281</v>
      </c>
      <c r="D601" s="41" t="s">
        <v>232</v>
      </c>
      <c r="E601" s="20" t="s">
        <v>151</v>
      </c>
      <c r="F601" s="2">
        <v>903</v>
      </c>
      <c r="G601" s="10">
        <f>G600</f>
        <v>0</v>
      </c>
    </row>
    <row r="602" spans="1:7" s="252" customFormat="1" ht="36.75" customHeight="1">
      <c r="A602" s="23" t="s">
        <v>1084</v>
      </c>
      <c r="B602" s="24" t="s">
        <v>956</v>
      </c>
      <c r="C602" s="7"/>
      <c r="D602" s="7"/>
      <c r="E602" s="24"/>
      <c r="F602" s="3"/>
      <c r="G602" s="62">
        <f>G605</f>
        <v>340</v>
      </c>
    </row>
    <row r="603" spans="1:7" s="252" customFormat="1" ht="17.25" customHeight="1">
      <c r="A603" s="25" t="s">
        <v>280</v>
      </c>
      <c r="B603" s="20" t="s">
        <v>956</v>
      </c>
      <c r="C603" s="41" t="s">
        <v>281</v>
      </c>
      <c r="D603" s="41"/>
      <c r="E603" s="41"/>
      <c r="F603" s="2"/>
      <c r="G603" s="10">
        <f>G604</f>
        <v>340</v>
      </c>
    </row>
    <row r="604" spans="1:7" s="252" customFormat="1" ht="18.75" customHeight="1">
      <c r="A604" s="25" t="s">
        <v>282</v>
      </c>
      <c r="B604" s="20" t="s">
        <v>956</v>
      </c>
      <c r="C604" s="41" t="s">
        <v>281</v>
      </c>
      <c r="D604" s="41" t="s">
        <v>232</v>
      </c>
      <c r="E604" s="41"/>
      <c r="F604" s="2"/>
      <c r="G604" s="10">
        <f>G605</f>
        <v>340</v>
      </c>
    </row>
    <row r="605" spans="1:7" s="252" customFormat="1" ht="49.5" customHeight="1">
      <c r="A605" s="25" t="s">
        <v>889</v>
      </c>
      <c r="B605" s="20" t="s">
        <v>1280</v>
      </c>
      <c r="C605" s="41" t="s">
        <v>281</v>
      </c>
      <c r="D605" s="41" t="s">
        <v>232</v>
      </c>
      <c r="E605" s="20"/>
      <c r="F605" s="2"/>
      <c r="G605" s="10">
        <f>G606</f>
        <v>340</v>
      </c>
    </row>
    <row r="606" spans="1:7" s="252" customFormat="1" ht="83.25" customHeight="1">
      <c r="A606" s="25" t="s">
        <v>144</v>
      </c>
      <c r="B606" s="20" t="s">
        <v>1280</v>
      </c>
      <c r="C606" s="41" t="s">
        <v>281</v>
      </c>
      <c r="D606" s="41" t="s">
        <v>232</v>
      </c>
      <c r="E606" s="20" t="s">
        <v>145</v>
      </c>
      <c r="F606" s="2"/>
      <c r="G606" s="10">
        <f>G607</f>
        <v>340</v>
      </c>
    </row>
    <row r="607" spans="1:7" s="252" customFormat="1" ht="36" customHeight="1">
      <c r="A607" s="25" t="s">
        <v>146</v>
      </c>
      <c r="B607" s="20" t="s">
        <v>1280</v>
      </c>
      <c r="C607" s="41" t="s">
        <v>281</v>
      </c>
      <c r="D607" s="41" t="s">
        <v>232</v>
      </c>
      <c r="E607" s="20" t="s">
        <v>226</v>
      </c>
      <c r="F607" s="2"/>
      <c r="G607" s="10">
        <f>'Пр.6 ведом.20'!G286</f>
        <v>340</v>
      </c>
    </row>
    <row r="608" spans="1:7" s="252" customFormat="1" ht="53.25" customHeight="1">
      <c r="A608" s="25" t="s">
        <v>1286</v>
      </c>
      <c r="B608" s="20" t="s">
        <v>1280</v>
      </c>
      <c r="C608" s="41" t="s">
        <v>281</v>
      </c>
      <c r="D608" s="41" t="s">
        <v>232</v>
      </c>
      <c r="E608" s="20" t="s">
        <v>226</v>
      </c>
      <c r="F608" s="2">
        <v>903</v>
      </c>
      <c r="G608" s="10">
        <f>G607</f>
        <v>340</v>
      </c>
    </row>
    <row r="609" spans="1:7" s="252" customFormat="1" ht="48" customHeight="1">
      <c r="A609" s="23" t="s">
        <v>976</v>
      </c>
      <c r="B609" s="24" t="s">
        <v>1281</v>
      </c>
      <c r="C609" s="7"/>
      <c r="D609" s="7"/>
      <c r="E609" s="24"/>
      <c r="F609" s="3"/>
      <c r="G609" s="62">
        <f>G612+G616+G620</f>
        <v>947.4000000000001</v>
      </c>
    </row>
    <row r="610" spans="1:7" s="252" customFormat="1" ht="18.75" customHeight="1">
      <c r="A610" s="25" t="s">
        <v>280</v>
      </c>
      <c r="B610" s="20" t="s">
        <v>1281</v>
      </c>
      <c r="C610" s="41" t="s">
        <v>281</v>
      </c>
      <c r="D610" s="41"/>
      <c r="E610" s="41"/>
      <c r="F610" s="2"/>
      <c r="G610" s="10">
        <f>G611</f>
        <v>947.4000000000001</v>
      </c>
    </row>
    <row r="611" spans="1:7" s="252" customFormat="1" ht="19.5" customHeight="1">
      <c r="A611" s="25" t="s">
        <v>282</v>
      </c>
      <c r="B611" s="20" t="s">
        <v>1281</v>
      </c>
      <c r="C611" s="41" t="s">
        <v>281</v>
      </c>
      <c r="D611" s="41" t="s">
        <v>232</v>
      </c>
      <c r="E611" s="41"/>
      <c r="F611" s="2"/>
      <c r="G611" s="10">
        <f>G612+G616+G620</f>
        <v>947.4000000000001</v>
      </c>
    </row>
    <row r="612" spans="1:7" s="252" customFormat="1" ht="66.75" customHeight="1">
      <c r="A612" s="32" t="s">
        <v>306</v>
      </c>
      <c r="B612" s="20" t="s">
        <v>1282</v>
      </c>
      <c r="C612" s="41" t="s">
        <v>281</v>
      </c>
      <c r="D612" s="41" t="s">
        <v>232</v>
      </c>
      <c r="E612" s="20"/>
      <c r="F612" s="2"/>
      <c r="G612" s="10">
        <f>G613</f>
        <v>65.5</v>
      </c>
    </row>
    <row r="613" spans="1:7" s="252" customFormat="1" ht="87.75" customHeight="1">
      <c r="A613" s="25" t="s">
        <v>144</v>
      </c>
      <c r="B613" s="20" t="s">
        <v>1282</v>
      </c>
      <c r="C613" s="41" t="s">
        <v>281</v>
      </c>
      <c r="D613" s="41" t="s">
        <v>232</v>
      </c>
      <c r="E613" s="20" t="s">
        <v>145</v>
      </c>
      <c r="F613" s="2"/>
      <c r="G613" s="10">
        <f>G614</f>
        <v>65.5</v>
      </c>
    </row>
    <row r="614" spans="1:7" s="252" customFormat="1" ht="18.75" customHeight="1">
      <c r="A614" s="47" t="s">
        <v>359</v>
      </c>
      <c r="B614" s="20" t="s">
        <v>1282</v>
      </c>
      <c r="C614" s="41" t="s">
        <v>281</v>
      </c>
      <c r="D614" s="41" t="s">
        <v>232</v>
      </c>
      <c r="E614" s="20" t="s">
        <v>226</v>
      </c>
      <c r="F614" s="2"/>
      <c r="G614" s="10">
        <f>'Пр.6 ведом.20'!G290</f>
        <v>65.5</v>
      </c>
    </row>
    <row r="615" spans="1:7" s="252" customFormat="1" ht="55.5" customHeight="1">
      <c r="A615" s="25" t="s">
        <v>1286</v>
      </c>
      <c r="B615" s="20" t="s">
        <v>1282</v>
      </c>
      <c r="C615" s="41" t="s">
        <v>281</v>
      </c>
      <c r="D615" s="41" t="s">
        <v>232</v>
      </c>
      <c r="E615" s="20" t="s">
        <v>226</v>
      </c>
      <c r="F615" s="2">
        <v>903</v>
      </c>
      <c r="G615" s="10">
        <f>G614</f>
        <v>65.5</v>
      </c>
    </row>
    <row r="616" spans="1:7" s="252" customFormat="1" ht="70.5" customHeight="1">
      <c r="A616" s="32" t="s">
        <v>308</v>
      </c>
      <c r="B616" s="20" t="s">
        <v>1283</v>
      </c>
      <c r="C616" s="41" t="s">
        <v>281</v>
      </c>
      <c r="D616" s="41" t="s">
        <v>232</v>
      </c>
      <c r="E616" s="20"/>
      <c r="F616" s="2"/>
      <c r="G616" s="10">
        <f>G617</f>
        <v>321.50000000000006</v>
      </c>
    </row>
    <row r="617" spans="1:7" s="252" customFormat="1" ht="77.25" customHeight="1">
      <c r="A617" s="25" t="s">
        <v>144</v>
      </c>
      <c r="B617" s="20" t="s">
        <v>1283</v>
      </c>
      <c r="C617" s="41" t="s">
        <v>281</v>
      </c>
      <c r="D617" s="41" t="s">
        <v>232</v>
      </c>
      <c r="E617" s="20" t="s">
        <v>145</v>
      </c>
      <c r="F617" s="2"/>
      <c r="G617" s="10">
        <f>G618</f>
        <v>321.50000000000006</v>
      </c>
    </row>
    <row r="618" spans="1:7" s="252" customFormat="1" ht="20.25" customHeight="1">
      <c r="A618" s="47" t="s">
        <v>359</v>
      </c>
      <c r="B618" s="20" t="s">
        <v>1283</v>
      </c>
      <c r="C618" s="41" t="s">
        <v>281</v>
      </c>
      <c r="D618" s="41" t="s">
        <v>232</v>
      </c>
      <c r="E618" s="20" t="s">
        <v>226</v>
      </c>
      <c r="F618" s="2"/>
      <c r="G618" s="10">
        <f>'Пр.6 ведом.20'!G293</f>
        <v>321.50000000000006</v>
      </c>
    </row>
    <row r="619" spans="1:7" s="252" customFormat="1" ht="51.75" customHeight="1">
      <c r="A619" s="25" t="s">
        <v>1286</v>
      </c>
      <c r="B619" s="20" t="s">
        <v>1283</v>
      </c>
      <c r="C619" s="41" t="s">
        <v>281</v>
      </c>
      <c r="D619" s="41" t="s">
        <v>232</v>
      </c>
      <c r="E619" s="20" t="s">
        <v>226</v>
      </c>
      <c r="F619" s="2">
        <v>903</v>
      </c>
      <c r="G619" s="10">
        <f>G618</f>
        <v>321.50000000000006</v>
      </c>
    </row>
    <row r="620" spans="1:7" s="252" customFormat="1" ht="96" customHeight="1">
      <c r="A620" s="32" t="s">
        <v>310</v>
      </c>
      <c r="B620" s="20" t="s">
        <v>1284</v>
      </c>
      <c r="C620" s="41" t="s">
        <v>281</v>
      </c>
      <c r="D620" s="41" t="s">
        <v>232</v>
      </c>
      <c r="E620" s="20"/>
      <c r="F620" s="2"/>
      <c r="G620" s="10">
        <f>G621</f>
        <v>560.4</v>
      </c>
    </row>
    <row r="621" spans="1:7" s="252" customFormat="1" ht="79.5" customHeight="1">
      <c r="A621" s="25" t="s">
        <v>144</v>
      </c>
      <c r="B621" s="20" t="s">
        <v>1284</v>
      </c>
      <c r="C621" s="41" t="s">
        <v>281</v>
      </c>
      <c r="D621" s="41" t="s">
        <v>232</v>
      </c>
      <c r="E621" s="20" t="s">
        <v>145</v>
      </c>
      <c r="F621" s="2"/>
      <c r="G621" s="10">
        <f>G622</f>
        <v>560.4</v>
      </c>
    </row>
    <row r="622" spans="1:7" s="252" customFormat="1" ht="15.75" customHeight="1">
      <c r="A622" s="47" t="s">
        <v>359</v>
      </c>
      <c r="B622" s="20" t="s">
        <v>1284</v>
      </c>
      <c r="C622" s="41" t="s">
        <v>281</v>
      </c>
      <c r="D622" s="41" t="s">
        <v>232</v>
      </c>
      <c r="E622" s="20" t="s">
        <v>226</v>
      </c>
      <c r="F622" s="2"/>
      <c r="G622" s="10">
        <f>'Пр.6 ведом.20'!G296</f>
        <v>560.4</v>
      </c>
    </row>
    <row r="623" spans="1:7" s="252" customFormat="1" ht="49.5" customHeight="1">
      <c r="A623" s="25" t="s">
        <v>1286</v>
      </c>
      <c r="B623" s="20" t="s">
        <v>1284</v>
      </c>
      <c r="C623" s="41" t="s">
        <v>281</v>
      </c>
      <c r="D623" s="41" t="s">
        <v>232</v>
      </c>
      <c r="E623" s="20" t="s">
        <v>226</v>
      </c>
      <c r="F623" s="2">
        <v>903</v>
      </c>
      <c r="G623" s="10">
        <f>G622</f>
        <v>560.4</v>
      </c>
    </row>
    <row r="624" spans="1:7" s="1" customFormat="1" ht="51" customHeight="1">
      <c r="A624" s="42" t="s">
        <v>823</v>
      </c>
      <c r="B624" s="7" t="s">
        <v>341</v>
      </c>
      <c r="C624" s="76"/>
      <c r="D624" s="76"/>
      <c r="E624" s="76"/>
      <c r="F624" s="76"/>
      <c r="G624" s="62">
        <f>G625</f>
        <v>157</v>
      </c>
    </row>
    <row r="625" spans="1:7" s="253" customFormat="1" ht="64.5" customHeight="1">
      <c r="A625" s="35" t="s">
        <v>1202</v>
      </c>
      <c r="B625" s="7" t="s">
        <v>1033</v>
      </c>
      <c r="C625" s="7"/>
      <c r="D625" s="7"/>
      <c r="E625" s="76"/>
      <c r="F625" s="76"/>
      <c r="G625" s="62">
        <f>G626+G632+G643+G649</f>
        <v>157</v>
      </c>
    </row>
    <row r="626" spans="1:7" s="253" customFormat="1" ht="18.75" customHeight="1">
      <c r="A626" s="32" t="s">
        <v>407</v>
      </c>
      <c r="B626" s="41" t="s">
        <v>1033</v>
      </c>
      <c r="C626" s="41" t="s">
        <v>251</v>
      </c>
      <c r="D626" s="41"/>
      <c r="E626" s="76"/>
      <c r="F626" s="76"/>
      <c r="G626" s="10">
        <f>G627</f>
        <v>57</v>
      </c>
    </row>
    <row r="627" spans="1:7" s="253" customFormat="1" ht="37.5" customHeight="1">
      <c r="A627" s="32" t="s">
        <v>586</v>
      </c>
      <c r="B627" s="41" t="s">
        <v>1033</v>
      </c>
      <c r="C627" s="41" t="s">
        <v>251</v>
      </c>
      <c r="D627" s="41" t="s">
        <v>251</v>
      </c>
      <c r="E627" s="76"/>
      <c r="F627" s="76"/>
      <c r="G627" s="10">
        <f>G628</f>
        <v>57</v>
      </c>
    </row>
    <row r="628" spans="1:7" s="253" customFormat="1" ht="51.75" customHeight="1">
      <c r="A628" s="32" t="s">
        <v>1290</v>
      </c>
      <c r="B628" s="20" t="s">
        <v>1204</v>
      </c>
      <c r="C628" s="41" t="s">
        <v>251</v>
      </c>
      <c r="D628" s="41" t="s">
        <v>251</v>
      </c>
      <c r="E628" s="76"/>
      <c r="F628" s="76"/>
      <c r="G628" s="10">
        <f>G629</f>
        <v>57</v>
      </c>
    </row>
    <row r="629" spans="1:7" s="253" customFormat="1" ht="35.25" customHeight="1">
      <c r="A629" s="25" t="s">
        <v>148</v>
      </c>
      <c r="B629" s="20" t="s">
        <v>1204</v>
      </c>
      <c r="C629" s="41" t="s">
        <v>251</v>
      </c>
      <c r="D629" s="41" t="s">
        <v>251</v>
      </c>
      <c r="E629" s="2">
        <v>200</v>
      </c>
      <c r="F629" s="76"/>
      <c r="G629" s="10">
        <f>G630</f>
        <v>57</v>
      </c>
    </row>
    <row r="630" spans="1:7" s="253" customFormat="1" ht="34.5" customHeight="1">
      <c r="A630" s="25" t="s">
        <v>150</v>
      </c>
      <c r="B630" s="20" t="s">
        <v>1204</v>
      </c>
      <c r="C630" s="41" t="s">
        <v>251</v>
      </c>
      <c r="D630" s="41" t="s">
        <v>251</v>
      </c>
      <c r="E630" s="2">
        <v>240</v>
      </c>
      <c r="F630" s="76"/>
      <c r="G630" s="10">
        <f>G631</f>
        <v>57</v>
      </c>
    </row>
    <row r="631" spans="1:7" s="253" customFormat="1" ht="52.5" customHeight="1">
      <c r="A631" s="32" t="s">
        <v>1332</v>
      </c>
      <c r="B631" s="20" t="s">
        <v>1204</v>
      </c>
      <c r="C631" s="41" t="s">
        <v>251</v>
      </c>
      <c r="D631" s="41" t="s">
        <v>251</v>
      </c>
      <c r="E631" s="2">
        <v>240</v>
      </c>
      <c r="F631" s="2">
        <v>908</v>
      </c>
      <c r="G631" s="10">
        <f>'Пр.6 ведом.20'!G980</f>
        <v>57</v>
      </c>
    </row>
    <row r="632" spans="1:7" s="1" customFormat="1" ht="15.75" hidden="1">
      <c r="A632" s="25" t="s">
        <v>280</v>
      </c>
      <c r="B632" s="41" t="s">
        <v>1033</v>
      </c>
      <c r="C632" s="41" t="s">
        <v>281</v>
      </c>
      <c r="D632" s="77"/>
      <c r="E632" s="77"/>
      <c r="F632" s="77"/>
      <c r="G632" s="10">
        <f>G633+G638</f>
        <v>0</v>
      </c>
    </row>
    <row r="633" spans="1:7" s="1" customFormat="1" ht="15.75" hidden="1">
      <c r="A633" s="25" t="s">
        <v>421</v>
      </c>
      <c r="B633" s="41" t="s">
        <v>1033</v>
      </c>
      <c r="C633" s="41" t="s">
        <v>281</v>
      </c>
      <c r="D633" s="41" t="s">
        <v>135</v>
      </c>
      <c r="E633" s="77"/>
      <c r="F633" s="77"/>
      <c r="G633" s="10">
        <f>G634</f>
        <v>0</v>
      </c>
    </row>
    <row r="634" spans="1:7" s="1" customFormat="1" ht="47.25" hidden="1">
      <c r="A634" s="32" t="s">
        <v>1291</v>
      </c>
      <c r="B634" s="20" t="s">
        <v>1034</v>
      </c>
      <c r="C634" s="41" t="s">
        <v>281</v>
      </c>
      <c r="D634" s="41" t="s">
        <v>135</v>
      </c>
      <c r="E634" s="76"/>
      <c r="F634" s="76"/>
      <c r="G634" s="10">
        <f>G635</f>
        <v>0</v>
      </c>
    </row>
    <row r="635" spans="1:7" s="1" customFormat="1" ht="31.5" hidden="1">
      <c r="A635" s="32" t="s">
        <v>289</v>
      </c>
      <c r="B635" s="20" t="s">
        <v>1034</v>
      </c>
      <c r="C635" s="41" t="s">
        <v>281</v>
      </c>
      <c r="D635" s="41" t="s">
        <v>135</v>
      </c>
      <c r="E635" s="41" t="s">
        <v>290</v>
      </c>
      <c r="F635" s="76"/>
      <c r="G635" s="10">
        <f>G636</f>
        <v>0</v>
      </c>
    </row>
    <row r="636" spans="1:7" s="1" customFormat="1" ht="15.75" hidden="1">
      <c r="A636" s="32" t="s">
        <v>291</v>
      </c>
      <c r="B636" s="20" t="s">
        <v>1034</v>
      </c>
      <c r="C636" s="41" t="s">
        <v>281</v>
      </c>
      <c r="D636" s="41" t="s">
        <v>135</v>
      </c>
      <c r="E636" s="41" t="s">
        <v>292</v>
      </c>
      <c r="F636" s="76"/>
      <c r="G636" s="10">
        <f>'Пр.6 ведом.20'!G553</f>
        <v>0</v>
      </c>
    </row>
    <row r="637" spans="1:7" s="253" customFormat="1" ht="31.5" hidden="1">
      <c r="A637" s="32" t="s">
        <v>420</v>
      </c>
      <c r="B637" s="20" t="s">
        <v>1034</v>
      </c>
      <c r="C637" s="41" t="s">
        <v>281</v>
      </c>
      <c r="D637" s="41" t="s">
        <v>135</v>
      </c>
      <c r="E637" s="41" t="s">
        <v>292</v>
      </c>
      <c r="F637" s="2">
        <v>906</v>
      </c>
      <c r="G637" s="10">
        <f>G636</f>
        <v>0</v>
      </c>
    </row>
    <row r="638" spans="1:7" s="1" customFormat="1" ht="15.75" hidden="1">
      <c r="A638" s="30" t="s">
        <v>442</v>
      </c>
      <c r="B638" s="41" t="s">
        <v>1033</v>
      </c>
      <c r="C638" s="41" t="s">
        <v>281</v>
      </c>
      <c r="D638" s="41" t="s">
        <v>230</v>
      </c>
      <c r="E638" s="41"/>
      <c r="F638" s="77"/>
      <c r="G638" s="10">
        <f>G639</f>
        <v>0</v>
      </c>
    </row>
    <row r="639" spans="1:7" s="1" customFormat="1" ht="47.25" hidden="1">
      <c r="A639" s="32" t="s">
        <v>1291</v>
      </c>
      <c r="B639" s="20" t="s">
        <v>1034</v>
      </c>
      <c r="C639" s="41" t="s">
        <v>281</v>
      </c>
      <c r="D639" s="41" t="s">
        <v>230</v>
      </c>
      <c r="E639" s="41"/>
      <c r="F639" s="76"/>
      <c r="G639" s="10">
        <f>G640</f>
        <v>0</v>
      </c>
    </row>
    <row r="640" spans="1:7" s="1" customFormat="1" ht="31.5" hidden="1">
      <c r="A640" s="32" t="s">
        <v>289</v>
      </c>
      <c r="B640" s="20" t="s">
        <v>1034</v>
      </c>
      <c r="C640" s="41" t="s">
        <v>281</v>
      </c>
      <c r="D640" s="41" t="s">
        <v>230</v>
      </c>
      <c r="E640" s="41" t="s">
        <v>290</v>
      </c>
      <c r="F640" s="76"/>
      <c r="G640" s="10">
        <f>G641</f>
        <v>0</v>
      </c>
    </row>
    <row r="641" spans="1:7" s="1" customFormat="1" ht="15.75" hidden="1">
      <c r="A641" s="32" t="s">
        <v>291</v>
      </c>
      <c r="B641" s="20" t="s">
        <v>1034</v>
      </c>
      <c r="C641" s="41" t="s">
        <v>281</v>
      </c>
      <c r="D641" s="41" t="s">
        <v>230</v>
      </c>
      <c r="E641" s="41" t="s">
        <v>292</v>
      </c>
      <c r="F641" s="76"/>
      <c r="G641" s="10">
        <f>'Пр.6 ведом.20'!G631</f>
        <v>0</v>
      </c>
    </row>
    <row r="642" spans="1:7" s="1" customFormat="1" ht="31.5" hidden="1">
      <c r="A642" s="32" t="s">
        <v>420</v>
      </c>
      <c r="B642" s="20" t="s">
        <v>1034</v>
      </c>
      <c r="C642" s="41" t="s">
        <v>281</v>
      </c>
      <c r="D642" s="41" t="s">
        <v>230</v>
      </c>
      <c r="E642" s="41" t="s">
        <v>292</v>
      </c>
      <c r="F642" s="2">
        <v>906</v>
      </c>
      <c r="G642" s="10">
        <f>G641</f>
        <v>0</v>
      </c>
    </row>
    <row r="643" spans="1:7" s="253" customFormat="1" ht="15.75">
      <c r="A643" s="32" t="s">
        <v>315</v>
      </c>
      <c r="B643" s="20" t="s">
        <v>1033</v>
      </c>
      <c r="C643" s="41" t="s">
        <v>316</v>
      </c>
      <c r="D643" s="41"/>
      <c r="E643" s="41"/>
      <c r="F643" s="2"/>
      <c r="G643" s="10">
        <f>G644</f>
        <v>100</v>
      </c>
    </row>
    <row r="644" spans="1:7" s="253" customFormat="1" ht="15.75">
      <c r="A644" s="32" t="s">
        <v>317</v>
      </c>
      <c r="B644" s="20" t="s">
        <v>1033</v>
      </c>
      <c r="C644" s="41" t="s">
        <v>316</v>
      </c>
      <c r="D644" s="41" t="s">
        <v>135</v>
      </c>
      <c r="E644" s="41"/>
      <c r="F644" s="2"/>
      <c r="G644" s="10">
        <f>G645</f>
        <v>100</v>
      </c>
    </row>
    <row r="645" spans="1:7" s="253" customFormat="1" ht="47.25">
      <c r="A645" s="32" t="s">
        <v>1290</v>
      </c>
      <c r="B645" s="20" t="s">
        <v>1204</v>
      </c>
      <c r="C645" s="41" t="s">
        <v>316</v>
      </c>
      <c r="D645" s="41" t="s">
        <v>135</v>
      </c>
      <c r="E645" s="41"/>
      <c r="F645" s="2"/>
      <c r="G645" s="10">
        <f>G646</f>
        <v>100</v>
      </c>
    </row>
    <row r="646" spans="1:7" s="253" customFormat="1" ht="31.5">
      <c r="A646" s="25" t="s">
        <v>148</v>
      </c>
      <c r="B646" s="20" t="s">
        <v>1204</v>
      </c>
      <c r="C646" s="41" t="s">
        <v>316</v>
      </c>
      <c r="D646" s="41" t="s">
        <v>135</v>
      </c>
      <c r="E646" s="41" t="s">
        <v>149</v>
      </c>
      <c r="F646" s="2"/>
      <c r="G646" s="10">
        <f>G647</f>
        <v>100</v>
      </c>
    </row>
    <row r="647" spans="1:7" s="253" customFormat="1" ht="31.5">
      <c r="A647" s="25" t="s">
        <v>150</v>
      </c>
      <c r="B647" s="20" t="s">
        <v>1204</v>
      </c>
      <c r="C647" s="41" t="s">
        <v>316</v>
      </c>
      <c r="D647" s="41" t="s">
        <v>135</v>
      </c>
      <c r="E647" s="41" t="s">
        <v>151</v>
      </c>
      <c r="F647" s="2"/>
      <c r="G647" s="10">
        <f>'Пр.6 ведом.20'!G383</f>
        <v>100</v>
      </c>
    </row>
    <row r="648" spans="1:7" s="253" customFormat="1" ht="47.25">
      <c r="A648" s="25" t="s">
        <v>278</v>
      </c>
      <c r="B648" s="20" t="s">
        <v>1204</v>
      </c>
      <c r="C648" s="41" t="s">
        <v>316</v>
      </c>
      <c r="D648" s="41" t="s">
        <v>135</v>
      </c>
      <c r="E648" s="41" t="s">
        <v>151</v>
      </c>
      <c r="F648" s="2">
        <v>903</v>
      </c>
      <c r="G648" s="10">
        <f>G647</f>
        <v>100</v>
      </c>
    </row>
    <row r="649" spans="1:7" s="1" customFormat="1" ht="15.75" customHeight="1" hidden="1">
      <c r="A649" s="77" t="s">
        <v>507</v>
      </c>
      <c r="B649" s="41" t="s">
        <v>1033</v>
      </c>
      <c r="C649" s="41" t="s">
        <v>508</v>
      </c>
      <c r="D649" s="77"/>
      <c r="E649" s="77"/>
      <c r="F649" s="77"/>
      <c r="G649" s="10">
        <f aca="true" t="shared" si="76" ref="G649">G650</f>
        <v>0</v>
      </c>
    </row>
    <row r="650" spans="1:7" s="1" customFormat="1" ht="15.75" customHeight="1" hidden="1">
      <c r="A650" s="77" t="s">
        <v>509</v>
      </c>
      <c r="B650" s="41" t="s">
        <v>1033</v>
      </c>
      <c r="C650" s="41" t="s">
        <v>508</v>
      </c>
      <c r="D650" s="41" t="s">
        <v>135</v>
      </c>
      <c r="E650" s="77"/>
      <c r="F650" s="77"/>
      <c r="G650" s="10">
        <f aca="true" t="shared" si="77" ref="G650">G651</f>
        <v>0</v>
      </c>
    </row>
    <row r="651" spans="1:7" s="1" customFormat="1" ht="47.25" customHeight="1" hidden="1">
      <c r="A651" s="32" t="s">
        <v>1291</v>
      </c>
      <c r="B651" s="41" t="s">
        <v>1034</v>
      </c>
      <c r="C651" s="41" t="s">
        <v>508</v>
      </c>
      <c r="D651" s="41" t="s">
        <v>135</v>
      </c>
      <c r="E651" s="77"/>
      <c r="F651" s="77"/>
      <c r="G651" s="10">
        <f>G652</f>
        <v>0</v>
      </c>
    </row>
    <row r="652" spans="1:7" s="1" customFormat="1" ht="31.5" customHeight="1" hidden="1">
      <c r="A652" s="25" t="s">
        <v>289</v>
      </c>
      <c r="B652" s="41" t="s">
        <v>1034</v>
      </c>
      <c r="C652" s="41" t="s">
        <v>508</v>
      </c>
      <c r="D652" s="41" t="s">
        <v>135</v>
      </c>
      <c r="E652" s="41" t="s">
        <v>290</v>
      </c>
      <c r="F652" s="77"/>
      <c r="G652" s="10">
        <f>G653</f>
        <v>0</v>
      </c>
    </row>
    <row r="653" spans="1:7" s="1" customFormat="1" ht="15.75" customHeight="1" hidden="1">
      <c r="A653" s="25" t="s">
        <v>291</v>
      </c>
      <c r="B653" s="41" t="s">
        <v>1034</v>
      </c>
      <c r="C653" s="41" t="s">
        <v>508</v>
      </c>
      <c r="D653" s="41" t="s">
        <v>135</v>
      </c>
      <c r="E653" s="41" t="s">
        <v>292</v>
      </c>
      <c r="F653" s="77"/>
      <c r="G653" s="10"/>
    </row>
    <row r="654" spans="1:7" s="1" customFormat="1" ht="31.5" customHeight="1" hidden="1">
      <c r="A654" s="46" t="s">
        <v>497</v>
      </c>
      <c r="B654" s="41" t="s">
        <v>1034</v>
      </c>
      <c r="C654" s="41" t="s">
        <v>508</v>
      </c>
      <c r="D654" s="41" t="s">
        <v>135</v>
      </c>
      <c r="E654" s="41" t="s">
        <v>292</v>
      </c>
      <c r="F654" s="2">
        <v>907</v>
      </c>
      <c r="G654" s="10">
        <f>G653</f>
        <v>0</v>
      </c>
    </row>
    <row r="655" spans="1:7" ht="47.25">
      <c r="A655" s="42" t="s">
        <v>559</v>
      </c>
      <c r="B655" s="7" t="s">
        <v>560</v>
      </c>
      <c r="C655" s="2"/>
      <c r="D655" s="2"/>
      <c r="E655" s="2"/>
      <c r="F655" s="2"/>
      <c r="G655" s="62">
        <f aca="true" t="shared" si="78" ref="G655">G656+G678</f>
        <v>3793.9</v>
      </c>
    </row>
    <row r="656" spans="1:7" ht="47.25">
      <c r="A656" s="42" t="s">
        <v>561</v>
      </c>
      <c r="B656" s="7" t="s">
        <v>562</v>
      </c>
      <c r="C656" s="7"/>
      <c r="D656" s="7"/>
      <c r="E656" s="3"/>
      <c r="F656" s="3"/>
      <c r="G656" s="62">
        <f aca="true" t="shared" si="79" ref="G656">G658</f>
        <v>1740</v>
      </c>
    </row>
    <row r="657" spans="1:7" s="252" customFormat="1" ht="31.5">
      <c r="A657" s="23" t="s">
        <v>1130</v>
      </c>
      <c r="B657" s="7" t="s">
        <v>1128</v>
      </c>
      <c r="C657" s="7"/>
      <c r="D657" s="7"/>
      <c r="E657" s="3"/>
      <c r="F657" s="3"/>
      <c r="G657" s="62">
        <f>G658</f>
        <v>1740</v>
      </c>
    </row>
    <row r="658" spans="1:7" ht="15.75">
      <c r="A658" s="77" t="s">
        <v>407</v>
      </c>
      <c r="B658" s="41" t="s">
        <v>1128</v>
      </c>
      <c r="C658" s="41" t="s">
        <v>251</v>
      </c>
      <c r="D658" s="41"/>
      <c r="E658" s="2"/>
      <c r="F658" s="2"/>
      <c r="G658" s="10">
        <f aca="true" t="shared" si="80" ref="G658">G659</f>
        <v>1740</v>
      </c>
    </row>
    <row r="659" spans="1:7" ht="15.75">
      <c r="A659" s="77" t="s">
        <v>558</v>
      </c>
      <c r="B659" s="41" t="s">
        <v>1128</v>
      </c>
      <c r="C659" s="41" t="s">
        <v>251</v>
      </c>
      <c r="D659" s="41" t="s">
        <v>232</v>
      </c>
      <c r="E659" s="2"/>
      <c r="F659" s="2"/>
      <c r="G659" s="10">
        <f aca="true" t="shared" si="81" ref="G659">G660+G664+G674</f>
        <v>1740</v>
      </c>
    </row>
    <row r="660" spans="1:7" ht="15.75" customHeight="1">
      <c r="A660" s="25" t="s">
        <v>563</v>
      </c>
      <c r="B660" s="20" t="s">
        <v>1129</v>
      </c>
      <c r="C660" s="41" t="s">
        <v>251</v>
      </c>
      <c r="D660" s="41" t="s">
        <v>232</v>
      </c>
      <c r="E660" s="2"/>
      <c r="F660" s="2"/>
      <c r="G660" s="10">
        <f aca="true" t="shared" si="82" ref="G660:G661">G661</f>
        <v>90</v>
      </c>
    </row>
    <row r="661" spans="1:7" ht="41.25" customHeight="1">
      <c r="A661" s="25" t="s">
        <v>148</v>
      </c>
      <c r="B661" s="20" t="s">
        <v>1129</v>
      </c>
      <c r="C661" s="41" t="s">
        <v>251</v>
      </c>
      <c r="D661" s="41" t="s">
        <v>232</v>
      </c>
      <c r="E661" s="2">
        <v>200</v>
      </c>
      <c r="F661" s="2"/>
      <c r="G661" s="10">
        <f t="shared" si="82"/>
        <v>90</v>
      </c>
    </row>
    <row r="662" spans="1:7" ht="31.5" customHeight="1">
      <c r="A662" s="25" t="s">
        <v>150</v>
      </c>
      <c r="B662" s="20" t="s">
        <v>1129</v>
      </c>
      <c r="C662" s="41" t="s">
        <v>251</v>
      </c>
      <c r="D662" s="41" t="s">
        <v>232</v>
      </c>
      <c r="E662" s="2">
        <v>240</v>
      </c>
      <c r="F662" s="2"/>
      <c r="G662" s="10">
        <f>'Пр.6 ведом.20'!G908</f>
        <v>90</v>
      </c>
    </row>
    <row r="663" spans="1:7" s="252" customFormat="1" ht="31.5" customHeight="1">
      <c r="A663" s="46" t="s">
        <v>641</v>
      </c>
      <c r="B663" s="20" t="s">
        <v>1129</v>
      </c>
      <c r="C663" s="41" t="s">
        <v>251</v>
      </c>
      <c r="D663" s="41" t="s">
        <v>232</v>
      </c>
      <c r="E663" s="2">
        <v>240</v>
      </c>
      <c r="F663" s="2">
        <v>908</v>
      </c>
      <c r="G663" s="10">
        <f>G662</f>
        <v>90</v>
      </c>
    </row>
    <row r="664" spans="1:7" ht="17.25" customHeight="1">
      <c r="A664" s="25" t="s">
        <v>565</v>
      </c>
      <c r="B664" s="20" t="s">
        <v>1131</v>
      </c>
      <c r="C664" s="41" t="s">
        <v>251</v>
      </c>
      <c r="D664" s="41" t="s">
        <v>232</v>
      </c>
      <c r="E664" s="2"/>
      <c r="F664" s="2"/>
      <c r="G664" s="10">
        <f>G665+G668+G671</f>
        <v>650</v>
      </c>
    </row>
    <row r="665" spans="1:7" ht="31.5">
      <c r="A665" s="25" t="s">
        <v>148</v>
      </c>
      <c r="B665" s="20" t="s">
        <v>1131</v>
      </c>
      <c r="C665" s="41" t="s">
        <v>251</v>
      </c>
      <c r="D665" s="41" t="s">
        <v>232</v>
      </c>
      <c r="E665" s="2">
        <v>200</v>
      </c>
      <c r="F665" s="2"/>
      <c r="G665" s="10">
        <f aca="true" t="shared" si="83" ref="G665">G666</f>
        <v>650</v>
      </c>
    </row>
    <row r="666" spans="1:7" ht="31.5">
      <c r="A666" s="25" t="s">
        <v>150</v>
      </c>
      <c r="B666" s="20" t="s">
        <v>1131</v>
      </c>
      <c r="C666" s="41" t="s">
        <v>251</v>
      </c>
      <c r="D666" s="41" t="s">
        <v>232</v>
      </c>
      <c r="E666" s="2">
        <v>240</v>
      </c>
      <c r="F666" s="2"/>
      <c r="G666" s="10">
        <f>'Пр.6 ведом.20'!G911</f>
        <v>650</v>
      </c>
    </row>
    <row r="667" spans="1:7" s="252" customFormat="1" ht="31.5">
      <c r="A667" s="46" t="s">
        <v>641</v>
      </c>
      <c r="B667" s="20" t="s">
        <v>1131</v>
      </c>
      <c r="C667" s="41" t="s">
        <v>251</v>
      </c>
      <c r="D667" s="41" t="s">
        <v>232</v>
      </c>
      <c r="E667" s="2">
        <v>240</v>
      </c>
      <c r="F667" s="2">
        <v>908</v>
      </c>
      <c r="G667" s="10">
        <f>G666</f>
        <v>650</v>
      </c>
    </row>
    <row r="668" spans="1:7" ht="15.75" hidden="1">
      <c r="A668" s="25" t="s">
        <v>152</v>
      </c>
      <c r="B668" s="20" t="s">
        <v>1131</v>
      </c>
      <c r="C668" s="41" t="s">
        <v>251</v>
      </c>
      <c r="D668" s="41" t="s">
        <v>232</v>
      </c>
      <c r="E668" s="2">
        <v>800</v>
      </c>
      <c r="F668" s="2"/>
      <c r="G668" s="10">
        <f>G669</f>
        <v>0</v>
      </c>
    </row>
    <row r="669" spans="1:7" s="252" customFormat="1" ht="47.25" hidden="1">
      <c r="A669" s="25" t="s">
        <v>886</v>
      </c>
      <c r="B669" s="20" t="s">
        <v>1131</v>
      </c>
      <c r="C669" s="41" t="s">
        <v>251</v>
      </c>
      <c r="D669" s="41" t="s">
        <v>232</v>
      </c>
      <c r="E669" s="2">
        <v>830</v>
      </c>
      <c r="F669" s="2"/>
      <c r="G669" s="10">
        <f>'Пр.5 Рд,пр, ЦС,ВР 20'!F394</f>
        <v>0</v>
      </c>
    </row>
    <row r="670" spans="1:7" s="252" customFormat="1" ht="31.5" hidden="1">
      <c r="A670" s="46" t="s">
        <v>641</v>
      </c>
      <c r="B670" s="20" t="s">
        <v>1131</v>
      </c>
      <c r="C670" s="41" t="s">
        <v>251</v>
      </c>
      <c r="D670" s="41" t="s">
        <v>232</v>
      </c>
      <c r="E670" s="2">
        <v>830</v>
      </c>
      <c r="F670" s="2">
        <v>908</v>
      </c>
      <c r="G670" s="10">
        <f>G669</f>
        <v>0</v>
      </c>
    </row>
    <row r="671" spans="1:7" s="252" customFormat="1" ht="15.75" hidden="1">
      <c r="A671" s="25" t="s">
        <v>152</v>
      </c>
      <c r="B671" s="20" t="s">
        <v>1131</v>
      </c>
      <c r="C671" s="41" t="s">
        <v>251</v>
      </c>
      <c r="D671" s="41" t="s">
        <v>232</v>
      </c>
      <c r="E671" s="2">
        <v>800</v>
      </c>
      <c r="F671" s="2"/>
      <c r="G671" s="10">
        <f>G672</f>
        <v>0</v>
      </c>
    </row>
    <row r="672" spans="1:7" ht="15.75" hidden="1">
      <c r="A672" s="25" t="s">
        <v>1287</v>
      </c>
      <c r="B672" s="20" t="s">
        <v>1131</v>
      </c>
      <c r="C672" s="41" t="s">
        <v>251</v>
      </c>
      <c r="D672" s="41" t="s">
        <v>232</v>
      </c>
      <c r="E672" s="2">
        <v>850</v>
      </c>
      <c r="F672" s="2"/>
      <c r="G672" s="10">
        <f>'Пр.5 Рд,пр, ЦС,ВР 20'!F395</f>
        <v>0</v>
      </c>
    </row>
    <row r="673" spans="1:7" s="252" customFormat="1" ht="31.5" hidden="1">
      <c r="A673" s="46" t="s">
        <v>641</v>
      </c>
      <c r="B673" s="20" t="s">
        <v>1131</v>
      </c>
      <c r="C673" s="41" t="s">
        <v>251</v>
      </c>
      <c r="D673" s="41" t="s">
        <v>232</v>
      </c>
      <c r="E673" s="2">
        <v>850</v>
      </c>
      <c r="F673" s="2">
        <v>908</v>
      </c>
      <c r="G673" s="10">
        <f>G672</f>
        <v>0</v>
      </c>
    </row>
    <row r="674" spans="1:7" ht="15.75">
      <c r="A674" s="25" t="s">
        <v>567</v>
      </c>
      <c r="B674" s="20" t="s">
        <v>1132</v>
      </c>
      <c r="C674" s="41" t="s">
        <v>251</v>
      </c>
      <c r="D674" s="41" t="s">
        <v>232</v>
      </c>
      <c r="E674" s="2"/>
      <c r="F674" s="2"/>
      <c r="G674" s="10">
        <f aca="true" t="shared" si="84" ref="G674">G675</f>
        <v>1000</v>
      </c>
    </row>
    <row r="675" spans="1:7" ht="31.5">
      <c r="A675" s="25" t="s">
        <v>148</v>
      </c>
      <c r="B675" s="20" t="s">
        <v>1132</v>
      </c>
      <c r="C675" s="41" t="s">
        <v>251</v>
      </c>
      <c r="D675" s="41" t="s">
        <v>232</v>
      </c>
      <c r="E675" s="2">
        <v>200</v>
      </c>
      <c r="F675" s="2"/>
      <c r="G675" s="10">
        <f>G676</f>
        <v>1000</v>
      </c>
    </row>
    <row r="676" spans="1:7" ht="31.5">
      <c r="A676" s="25" t="s">
        <v>150</v>
      </c>
      <c r="B676" s="20" t="s">
        <v>1132</v>
      </c>
      <c r="C676" s="41" t="s">
        <v>251</v>
      </c>
      <c r="D676" s="41" t="s">
        <v>232</v>
      </c>
      <c r="E676" s="2">
        <v>240</v>
      </c>
      <c r="F676" s="2"/>
      <c r="G676" s="10">
        <f>'Пр.6 ведом.20'!G917</f>
        <v>1000</v>
      </c>
    </row>
    <row r="677" spans="1:7" ht="31.5">
      <c r="A677" s="46" t="s">
        <v>641</v>
      </c>
      <c r="B677" s="20" t="s">
        <v>1132</v>
      </c>
      <c r="C677" s="41" t="s">
        <v>251</v>
      </c>
      <c r="D677" s="41" t="s">
        <v>232</v>
      </c>
      <c r="E677" s="2">
        <v>240</v>
      </c>
      <c r="F677" s="2">
        <v>908</v>
      </c>
      <c r="G677" s="10">
        <f>G676</f>
        <v>1000</v>
      </c>
    </row>
    <row r="678" spans="1:7" ht="47.25">
      <c r="A678" s="23" t="s">
        <v>569</v>
      </c>
      <c r="B678" s="7" t="s">
        <v>570</v>
      </c>
      <c r="C678" s="7"/>
      <c r="D678" s="7"/>
      <c r="E678" s="3"/>
      <c r="F678" s="3"/>
      <c r="G678" s="62">
        <f>G680+G701</f>
        <v>2053.9</v>
      </c>
    </row>
    <row r="679" spans="1:7" s="252" customFormat="1" ht="31.5">
      <c r="A679" s="23" t="s">
        <v>1148</v>
      </c>
      <c r="B679" s="7" t="s">
        <v>1133</v>
      </c>
      <c r="C679" s="7"/>
      <c r="D679" s="7"/>
      <c r="E679" s="3"/>
      <c r="F679" s="3"/>
      <c r="G679" s="62">
        <f>G680</f>
        <v>390</v>
      </c>
    </row>
    <row r="680" spans="1:7" ht="15.75">
      <c r="A680" s="77" t="s">
        <v>407</v>
      </c>
      <c r="B680" s="41" t="s">
        <v>1133</v>
      </c>
      <c r="C680" s="41" t="s">
        <v>251</v>
      </c>
      <c r="D680" s="41"/>
      <c r="E680" s="2"/>
      <c r="F680" s="2"/>
      <c r="G680" s="10">
        <f aca="true" t="shared" si="85" ref="G680">G681</f>
        <v>390</v>
      </c>
    </row>
    <row r="681" spans="1:7" ht="15.75">
      <c r="A681" s="77" t="s">
        <v>558</v>
      </c>
      <c r="B681" s="41" t="s">
        <v>1133</v>
      </c>
      <c r="C681" s="41" t="s">
        <v>251</v>
      </c>
      <c r="D681" s="41" t="s">
        <v>232</v>
      </c>
      <c r="E681" s="2"/>
      <c r="F681" s="2"/>
      <c r="G681" s="10">
        <f>G697+G682+G686+G693</f>
        <v>390</v>
      </c>
    </row>
    <row r="682" spans="1:7" ht="15.75">
      <c r="A682" s="25" t="s">
        <v>572</v>
      </c>
      <c r="B682" s="20" t="s">
        <v>1135</v>
      </c>
      <c r="C682" s="41" t="s">
        <v>251</v>
      </c>
      <c r="D682" s="41" t="s">
        <v>232</v>
      </c>
      <c r="E682" s="2"/>
      <c r="F682" s="2"/>
      <c r="G682" s="10">
        <f aca="true" t="shared" si="86" ref="G682:G683">G683</f>
        <v>4</v>
      </c>
    </row>
    <row r="683" spans="1:7" ht="31.5">
      <c r="A683" s="25" t="s">
        <v>148</v>
      </c>
      <c r="B683" s="20" t="s">
        <v>1135</v>
      </c>
      <c r="C683" s="41" t="s">
        <v>251</v>
      </c>
      <c r="D683" s="41" t="s">
        <v>232</v>
      </c>
      <c r="E683" s="2">
        <v>200</v>
      </c>
      <c r="F683" s="2"/>
      <c r="G683" s="10">
        <f t="shared" si="86"/>
        <v>4</v>
      </c>
    </row>
    <row r="684" spans="1:7" ht="31.5">
      <c r="A684" s="25" t="s">
        <v>150</v>
      </c>
      <c r="B684" s="20" t="s">
        <v>1135</v>
      </c>
      <c r="C684" s="41" t="s">
        <v>251</v>
      </c>
      <c r="D684" s="41" t="s">
        <v>232</v>
      </c>
      <c r="E684" s="2">
        <v>240</v>
      </c>
      <c r="F684" s="2"/>
      <c r="G684" s="10">
        <f>'Пр.6 ведом.20'!G922</f>
        <v>4</v>
      </c>
    </row>
    <row r="685" spans="1:7" s="252" customFormat="1" ht="31.5">
      <c r="A685" s="46" t="s">
        <v>641</v>
      </c>
      <c r="B685" s="20" t="s">
        <v>1135</v>
      </c>
      <c r="C685" s="41" t="s">
        <v>251</v>
      </c>
      <c r="D685" s="41" t="s">
        <v>232</v>
      </c>
      <c r="E685" s="2">
        <v>240</v>
      </c>
      <c r="F685" s="2">
        <v>908</v>
      </c>
      <c r="G685" s="10">
        <f>G684</f>
        <v>4</v>
      </c>
    </row>
    <row r="686" spans="1:7" ht="47.25">
      <c r="A686" s="46" t="s">
        <v>574</v>
      </c>
      <c r="B686" s="20" t="s">
        <v>1136</v>
      </c>
      <c r="C686" s="41" t="s">
        <v>251</v>
      </c>
      <c r="D686" s="41" t="s">
        <v>232</v>
      </c>
      <c r="E686" s="2"/>
      <c r="F686" s="2"/>
      <c r="G686" s="10">
        <f>G687+G690</f>
        <v>375</v>
      </c>
    </row>
    <row r="687" spans="1:7" ht="31.5">
      <c r="A687" s="25" t="s">
        <v>148</v>
      </c>
      <c r="B687" s="20" t="s">
        <v>1136</v>
      </c>
      <c r="C687" s="41" t="s">
        <v>251</v>
      </c>
      <c r="D687" s="41" t="s">
        <v>232</v>
      </c>
      <c r="E687" s="2">
        <v>200</v>
      </c>
      <c r="F687" s="2"/>
      <c r="G687" s="10">
        <f aca="true" t="shared" si="87" ref="G687">G688</f>
        <v>300</v>
      </c>
    </row>
    <row r="688" spans="1:7" ht="31.5">
      <c r="A688" s="25" t="s">
        <v>150</v>
      </c>
      <c r="B688" s="20" t="s">
        <v>1136</v>
      </c>
      <c r="C688" s="41" t="s">
        <v>251</v>
      </c>
      <c r="D688" s="41" t="s">
        <v>232</v>
      </c>
      <c r="E688" s="2">
        <v>240</v>
      </c>
      <c r="F688" s="2"/>
      <c r="G688" s="10">
        <f>'Пр.6 ведом.20'!G925</f>
        <v>300</v>
      </c>
    </row>
    <row r="689" spans="1:7" s="252" customFormat="1" ht="31.5">
      <c r="A689" s="46" t="s">
        <v>641</v>
      </c>
      <c r="B689" s="20" t="s">
        <v>1136</v>
      </c>
      <c r="C689" s="41" t="s">
        <v>251</v>
      </c>
      <c r="D689" s="41" t="s">
        <v>232</v>
      </c>
      <c r="E689" s="2">
        <v>240</v>
      </c>
      <c r="F689" s="2">
        <v>908</v>
      </c>
      <c r="G689" s="10">
        <f>G688</f>
        <v>300</v>
      </c>
    </row>
    <row r="690" spans="1:7" s="252" customFormat="1" ht="15.75">
      <c r="A690" s="30" t="s">
        <v>152</v>
      </c>
      <c r="B690" s="20" t="s">
        <v>1136</v>
      </c>
      <c r="C690" s="41" t="s">
        <v>251</v>
      </c>
      <c r="D690" s="41" t="s">
        <v>232</v>
      </c>
      <c r="E690" s="2">
        <v>800</v>
      </c>
      <c r="F690" s="2"/>
      <c r="G690" s="10">
        <f>G691</f>
        <v>75</v>
      </c>
    </row>
    <row r="691" spans="1:7" s="252" customFormat="1" ht="15.75">
      <c r="A691" s="25" t="s">
        <v>729</v>
      </c>
      <c r="B691" s="20" t="s">
        <v>1136</v>
      </c>
      <c r="C691" s="41" t="s">
        <v>251</v>
      </c>
      <c r="D691" s="41" t="s">
        <v>232</v>
      </c>
      <c r="E691" s="2">
        <v>850</v>
      </c>
      <c r="F691" s="2"/>
      <c r="G691" s="10">
        <f>'Пр.6 ведом.20'!G927</f>
        <v>75</v>
      </c>
    </row>
    <row r="692" spans="1:7" s="252" customFormat="1" ht="31.5">
      <c r="A692" s="46" t="s">
        <v>641</v>
      </c>
      <c r="B692" s="20" t="s">
        <v>1136</v>
      </c>
      <c r="C692" s="41" t="s">
        <v>251</v>
      </c>
      <c r="D692" s="41" t="s">
        <v>232</v>
      </c>
      <c r="E692" s="2">
        <v>850</v>
      </c>
      <c r="F692" s="2">
        <v>908</v>
      </c>
      <c r="G692" s="10">
        <f>G691</f>
        <v>75</v>
      </c>
    </row>
    <row r="693" spans="1:7" ht="15.75" customHeight="1" hidden="1">
      <c r="A693" s="46" t="s">
        <v>576</v>
      </c>
      <c r="B693" s="20" t="s">
        <v>1137</v>
      </c>
      <c r="C693" s="41" t="s">
        <v>251</v>
      </c>
      <c r="D693" s="41" t="s">
        <v>232</v>
      </c>
      <c r="E693" s="2"/>
      <c r="F693" s="2"/>
      <c r="G693" s="10">
        <f aca="true" t="shared" si="88" ref="G693:G694">G694</f>
        <v>0</v>
      </c>
    </row>
    <row r="694" spans="1:7" ht="31.5" customHeight="1" hidden="1">
      <c r="A694" s="25" t="s">
        <v>148</v>
      </c>
      <c r="B694" s="20" t="s">
        <v>1137</v>
      </c>
      <c r="C694" s="41" t="s">
        <v>251</v>
      </c>
      <c r="D694" s="41" t="s">
        <v>232</v>
      </c>
      <c r="E694" s="2">
        <v>200</v>
      </c>
      <c r="F694" s="2"/>
      <c r="G694" s="10">
        <f t="shared" si="88"/>
        <v>0</v>
      </c>
    </row>
    <row r="695" spans="1:7" ht="31.5" customHeight="1" hidden="1">
      <c r="A695" s="25" t="s">
        <v>150</v>
      </c>
      <c r="B695" s="20" t="s">
        <v>1137</v>
      </c>
      <c r="C695" s="41" t="s">
        <v>251</v>
      </c>
      <c r="D695" s="41" t="s">
        <v>232</v>
      </c>
      <c r="E695" s="2">
        <v>240</v>
      </c>
      <c r="F695" s="2"/>
      <c r="G695" s="10">
        <f>'Пр.5 Рд,пр, ЦС,ВР 20'!F414</f>
        <v>0</v>
      </c>
    </row>
    <row r="696" spans="1:7" ht="31.5" hidden="1">
      <c r="A696" s="46" t="s">
        <v>641</v>
      </c>
      <c r="B696" s="20" t="s">
        <v>1137</v>
      </c>
      <c r="C696" s="41" t="s">
        <v>251</v>
      </c>
      <c r="D696" s="41" t="s">
        <v>232</v>
      </c>
      <c r="E696" s="2">
        <v>850</v>
      </c>
      <c r="F696" s="2">
        <v>908</v>
      </c>
      <c r="G696" s="10">
        <f>G695</f>
        <v>0</v>
      </c>
    </row>
    <row r="697" spans="1:7" s="252" customFormat="1" ht="31.5">
      <c r="A697" s="342" t="s">
        <v>1312</v>
      </c>
      <c r="B697" s="20" t="s">
        <v>1313</v>
      </c>
      <c r="C697" s="41" t="s">
        <v>251</v>
      </c>
      <c r="D697" s="41" t="s">
        <v>232</v>
      </c>
      <c r="E697" s="2"/>
      <c r="F697" s="2"/>
      <c r="G697" s="10">
        <f>G698</f>
        <v>11</v>
      </c>
    </row>
    <row r="698" spans="1:7" s="252" customFormat="1" ht="31.5">
      <c r="A698" s="25" t="s">
        <v>148</v>
      </c>
      <c r="B698" s="20" t="s">
        <v>1313</v>
      </c>
      <c r="C698" s="41" t="s">
        <v>251</v>
      </c>
      <c r="D698" s="41" t="s">
        <v>232</v>
      </c>
      <c r="E698" s="2">
        <v>200</v>
      </c>
      <c r="F698" s="2"/>
      <c r="G698" s="10">
        <f>G699</f>
        <v>11</v>
      </c>
    </row>
    <row r="699" spans="1:7" s="252" customFormat="1" ht="31.5">
      <c r="A699" s="25" t="s">
        <v>150</v>
      </c>
      <c r="B699" s="20" t="s">
        <v>1313</v>
      </c>
      <c r="C699" s="41" t="s">
        <v>251</v>
      </c>
      <c r="D699" s="41" t="s">
        <v>232</v>
      </c>
      <c r="E699" s="2">
        <v>240</v>
      </c>
      <c r="F699" s="2"/>
      <c r="G699" s="10">
        <f>'Пр.6 ведом.20'!G933</f>
        <v>11</v>
      </c>
    </row>
    <row r="700" spans="1:7" s="252" customFormat="1" ht="31.5">
      <c r="A700" s="46" t="s">
        <v>641</v>
      </c>
      <c r="B700" s="20" t="s">
        <v>1313</v>
      </c>
      <c r="C700" s="41" t="s">
        <v>251</v>
      </c>
      <c r="D700" s="41" t="s">
        <v>232</v>
      </c>
      <c r="E700" s="2">
        <v>240</v>
      </c>
      <c r="F700" s="2">
        <v>908</v>
      </c>
      <c r="G700" s="10">
        <f>G699</f>
        <v>11</v>
      </c>
    </row>
    <row r="701" spans="1:7" s="252" customFormat="1" ht="31.5">
      <c r="A701" s="23" t="s">
        <v>955</v>
      </c>
      <c r="B701" s="24" t="s">
        <v>1138</v>
      </c>
      <c r="C701" s="7"/>
      <c r="D701" s="7"/>
      <c r="E701" s="3"/>
      <c r="F701" s="3"/>
      <c r="G701" s="62">
        <f>G702</f>
        <v>1663.9</v>
      </c>
    </row>
    <row r="702" spans="1:7" s="252" customFormat="1" ht="15.75">
      <c r="A702" s="77" t="s">
        <v>407</v>
      </c>
      <c r="B702" s="41" t="s">
        <v>1138</v>
      </c>
      <c r="C702" s="41" t="s">
        <v>251</v>
      </c>
      <c r="D702" s="41"/>
      <c r="E702" s="2"/>
      <c r="F702" s="2"/>
      <c r="G702" s="10">
        <f aca="true" t="shared" si="89" ref="G702">G703</f>
        <v>1663.9</v>
      </c>
    </row>
    <row r="703" spans="1:7" s="252" customFormat="1" ht="15.75">
      <c r="A703" s="77" t="s">
        <v>558</v>
      </c>
      <c r="B703" s="41" t="s">
        <v>1138</v>
      </c>
      <c r="C703" s="41" t="s">
        <v>251</v>
      </c>
      <c r="D703" s="41" t="s">
        <v>232</v>
      </c>
      <c r="E703" s="2"/>
      <c r="F703" s="2"/>
      <c r="G703" s="10">
        <f>G704+G708</f>
        <v>1663.9</v>
      </c>
    </row>
    <row r="704" spans="1:7" s="252" customFormat="1" ht="31.5">
      <c r="A704" s="25" t="s">
        <v>708</v>
      </c>
      <c r="B704" s="20" t="s">
        <v>1139</v>
      </c>
      <c r="C704" s="41" t="s">
        <v>251</v>
      </c>
      <c r="D704" s="41" t="s">
        <v>232</v>
      </c>
      <c r="E704" s="2"/>
      <c r="F704" s="2"/>
      <c r="G704" s="10">
        <f>G705</f>
        <v>244</v>
      </c>
    </row>
    <row r="705" spans="1:7" s="252" customFormat="1" ht="31.5">
      <c r="A705" s="25" t="s">
        <v>148</v>
      </c>
      <c r="B705" s="20" t="s">
        <v>1139</v>
      </c>
      <c r="C705" s="41" t="s">
        <v>251</v>
      </c>
      <c r="D705" s="41" t="s">
        <v>232</v>
      </c>
      <c r="E705" s="20" t="s">
        <v>149</v>
      </c>
      <c r="F705" s="2"/>
      <c r="G705" s="10">
        <f>G706</f>
        <v>244</v>
      </c>
    </row>
    <row r="706" spans="1:7" s="252" customFormat="1" ht="31.5">
      <c r="A706" s="25" t="s">
        <v>150</v>
      </c>
      <c r="B706" s="20" t="s">
        <v>1139</v>
      </c>
      <c r="C706" s="41" t="s">
        <v>251</v>
      </c>
      <c r="D706" s="41" t="s">
        <v>232</v>
      </c>
      <c r="E706" s="20" t="s">
        <v>151</v>
      </c>
      <c r="F706" s="2"/>
      <c r="G706" s="10">
        <f>'Пр.5 Рд,пр, ЦС,ВР 20'!F418</f>
        <v>244</v>
      </c>
    </row>
    <row r="707" spans="1:7" s="252" customFormat="1" ht="31.5">
      <c r="A707" s="46" t="s">
        <v>641</v>
      </c>
      <c r="B707" s="20" t="s">
        <v>1139</v>
      </c>
      <c r="C707" s="41" t="s">
        <v>251</v>
      </c>
      <c r="D707" s="41" t="s">
        <v>232</v>
      </c>
      <c r="E707" s="20" t="s">
        <v>151</v>
      </c>
      <c r="F707" s="2">
        <v>908</v>
      </c>
      <c r="G707" s="10">
        <f>G706</f>
        <v>244</v>
      </c>
    </row>
    <row r="708" spans="1:7" s="252" customFormat="1" ht="63">
      <c r="A708" s="25" t="s">
        <v>1266</v>
      </c>
      <c r="B708" s="20" t="s">
        <v>1267</v>
      </c>
      <c r="C708" s="41" t="s">
        <v>251</v>
      </c>
      <c r="D708" s="41" t="s">
        <v>232</v>
      </c>
      <c r="E708" s="20"/>
      <c r="F708" s="2"/>
      <c r="G708" s="10">
        <f>G709</f>
        <v>1419.9</v>
      </c>
    </row>
    <row r="709" spans="1:7" s="252" customFormat="1" ht="31.5">
      <c r="A709" s="25" t="s">
        <v>148</v>
      </c>
      <c r="B709" s="20" t="s">
        <v>1267</v>
      </c>
      <c r="C709" s="41" t="s">
        <v>251</v>
      </c>
      <c r="D709" s="41" t="s">
        <v>232</v>
      </c>
      <c r="E709" s="20" t="s">
        <v>149</v>
      </c>
      <c r="F709" s="2"/>
      <c r="G709" s="10">
        <f>G710</f>
        <v>1419.9</v>
      </c>
    </row>
    <row r="710" spans="1:7" s="252" customFormat="1" ht="31.5">
      <c r="A710" s="25" t="s">
        <v>150</v>
      </c>
      <c r="B710" s="20" t="s">
        <v>1267</v>
      </c>
      <c r="C710" s="41" t="s">
        <v>251</v>
      </c>
      <c r="D710" s="41" t="s">
        <v>232</v>
      </c>
      <c r="E710" s="20" t="s">
        <v>151</v>
      </c>
      <c r="F710" s="2"/>
      <c r="G710" s="10">
        <f>'Пр.5 Рд,пр, ЦС,ВР 20'!F421</f>
        <v>1419.9</v>
      </c>
    </row>
    <row r="711" spans="1:7" s="252" customFormat="1" ht="31.5">
      <c r="A711" s="46" t="s">
        <v>641</v>
      </c>
      <c r="B711" s="20" t="s">
        <v>1267</v>
      </c>
      <c r="C711" s="41" t="s">
        <v>251</v>
      </c>
      <c r="D711" s="41" t="s">
        <v>232</v>
      </c>
      <c r="E711" s="20" t="s">
        <v>151</v>
      </c>
      <c r="F711" s="2">
        <v>908</v>
      </c>
      <c r="G711" s="10">
        <f>G710</f>
        <v>1419.9</v>
      </c>
    </row>
    <row r="712" spans="1:7" ht="47.25">
      <c r="A712" s="35" t="s">
        <v>198</v>
      </c>
      <c r="B712" s="232" t="s">
        <v>199</v>
      </c>
      <c r="C712" s="7"/>
      <c r="D712" s="7"/>
      <c r="E712" s="7"/>
      <c r="F712" s="3"/>
      <c r="G712" s="62">
        <f>G713+G724</f>
        <v>355</v>
      </c>
    </row>
    <row r="713" spans="1:7" s="252" customFormat="1" ht="31.5">
      <c r="A713" s="35" t="s">
        <v>1168</v>
      </c>
      <c r="B713" s="232" t="s">
        <v>928</v>
      </c>
      <c r="C713" s="7"/>
      <c r="D713" s="7"/>
      <c r="E713" s="7"/>
      <c r="F713" s="3"/>
      <c r="G713" s="62">
        <f>G714</f>
        <v>256</v>
      </c>
    </row>
    <row r="714" spans="1:7" ht="15.75">
      <c r="A714" s="30" t="s">
        <v>249</v>
      </c>
      <c r="B714" s="5" t="s">
        <v>928</v>
      </c>
      <c r="C714" s="41" t="s">
        <v>167</v>
      </c>
      <c r="D714" s="41"/>
      <c r="E714" s="41"/>
      <c r="F714" s="2"/>
      <c r="G714" s="10">
        <f aca="true" t="shared" si="90" ref="G714:G717">G715</f>
        <v>256</v>
      </c>
    </row>
    <row r="715" spans="1:7" ht="15.75">
      <c r="A715" s="30" t="s">
        <v>250</v>
      </c>
      <c r="B715" s="31" t="s">
        <v>928</v>
      </c>
      <c r="C715" s="41" t="s">
        <v>167</v>
      </c>
      <c r="D715" s="41" t="s">
        <v>251</v>
      </c>
      <c r="E715" s="41"/>
      <c r="F715" s="2"/>
      <c r="G715" s="10">
        <f>G716+G720</f>
        <v>256</v>
      </c>
    </row>
    <row r="716" spans="1:7" ht="15.75">
      <c r="A716" s="25" t="s">
        <v>929</v>
      </c>
      <c r="B716" s="20" t="s">
        <v>973</v>
      </c>
      <c r="C716" s="41" t="s">
        <v>167</v>
      </c>
      <c r="D716" s="41" t="s">
        <v>251</v>
      </c>
      <c r="E716" s="41"/>
      <c r="F716" s="2"/>
      <c r="G716" s="10">
        <f t="shared" si="90"/>
        <v>1</v>
      </c>
    </row>
    <row r="717" spans="1:7" ht="15.75">
      <c r="A717" s="30" t="s">
        <v>152</v>
      </c>
      <c r="B717" s="20" t="s">
        <v>973</v>
      </c>
      <c r="C717" s="41" t="s">
        <v>167</v>
      </c>
      <c r="D717" s="41" t="s">
        <v>251</v>
      </c>
      <c r="E717" s="41" t="s">
        <v>162</v>
      </c>
      <c r="F717" s="2"/>
      <c r="G717" s="10">
        <f t="shared" si="90"/>
        <v>1</v>
      </c>
    </row>
    <row r="718" spans="1:7" ht="47.25">
      <c r="A718" s="30" t="s">
        <v>201</v>
      </c>
      <c r="B718" s="20" t="s">
        <v>973</v>
      </c>
      <c r="C718" s="41" t="s">
        <v>167</v>
      </c>
      <c r="D718" s="41" t="s">
        <v>251</v>
      </c>
      <c r="E718" s="41" t="s">
        <v>177</v>
      </c>
      <c r="F718" s="2"/>
      <c r="G718" s="10">
        <f>'Пр.6 ведом.20'!G153</f>
        <v>1</v>
      </c>
    </row>
    <row r="719" spans="1:7" ht="15.75">
      <c r="A719" s="30" t="s">
        <v>165</v>
      </c>
      <c r="B719" s="20" t="s">
        <v>973</v>
      </c>
      <c r="C719" s="41" t="s">
        <v>167</v>
      </c>
      <c r="D719" s="41" t="s">
        <v>251</v>
      </c>
      <c r="E719" s="41" t="s">
        <v>177</v>
      </c>
      <c r="F719" s="2">
        <v>902</v>
      </c>
      <c r="G719" s="10">
        <f>G718</f>
        <v>1</v>
      </c>
    </row>
    <row r="720" spans="1:7" s="252" customFormat="1" ht="31.5">
      <c r="A720" s="25" t="s">
        <v>252</v>
      </c>
      <c r="B720" s="20" t="s">
        <v>932</v>
      </c>
      <c r="C720" s="41" t="s">
        <v>167</v>
      </c>
      <c r="D720" s="41" t="s">
        <v>251</v>
      </c>
      <c r="E720" s="41"/>
      <c r="F720" s="2"/>
      <c r="G720" s="10">
        <f>G721</f>
        <v>255</v>
      </c>
    </row>
    <row r="721" spans="1:7" s="252" customFormat="1" ht="15.75">
      <c r="A721" s="25" t="s">
        <v>152</v>
      </c>
      <c r="B721" s="20" t="s">
        <v>932</v>
      </c>
      <c r="C721" s="41" t="s">
        <v>167</v>
      </c>
      <c r="D721" s="41" t="s">
        <v>251</v>
      </c>
      <c r="E721" s="41" t="s">
        <v>162</v>
      </c>
      <c r="F721" s="2"/>
      <c r="G721" s="10">
        <f>G722</f>
        <v>255</v>
      </c>
    </row>
    <row r="722" spans="1:7" s="252" customFormat="1" ht="47.25">
      <c r="A722" s="25" t="s">
        <v>201</v>
      </c>
      <c r="B722" s="20" t="s">
        <v>932</v>
      </c>
      <c r="C722" s="41" t="s">
        <v>167</v>
      </c>
      <c r="D722" s="41" t="s">
        <v>251</v>
      </c>
      <c r="E722" s="41" t="s">
        <v>177</v>
      </c>
      <c r="F722" s="2"/>
      <c r="G722" s="10">
        <f>'Пр.5 Рд,пр, ЦС,ВР 20'!F238</f>
        <v>255</v>
      </c>
    </row>
    <row r="723" spans="1:7" s="252" customFormat="1" ht="15.75">
      <c r="A723" s="30" t="s">
        <v>165</v>
      </c>
      <c r="B723" s="20" t="s">
        <v>932</v>
      </c>
      <c r="C723" s="41" t="s">
        <v>167</v>
      </c>
      <c r="D723" s="41" t="s">
        <v>251</v>
      </c>
      <c r="E723" s="41" t="s">
        <v>177</v>
      </c>
      <c r="F723" s="2">
        <v>902</v>
      </c>
      <c r="G723" s="10">
        <f>G722</f>
        <v>255</v>
      </c>
    </row>
    <row r="724" spans="1:7" s="252" customFormat="1" ht="47.25">
      <c r="A724" s="314" t="s">
        <v>1169</v>
      </c>
      <c r="B724" s="24" t="s">
        <v>931</v>
      </c>
      <c r="C724" s="41"/>
      <c r="D724" s="41"/>
      <c r="E724" s="41"/>
      <c r="F724" s="2"/>
      <c r="G724" s="10">
        <f>G725</f>
        <v>99</v>
      </c>
    </row>
    <row r="725" spans="1:7" s="252" customFormat="1" ht="15.75">
      <c r="A725" s="30" t="s">
        <v>249</v>
      </c>
      <c r="B725" s="5" t="s">
        <v>928</v>
      </c>
      <c r="C725" s="41" t="s">
        <v>167</v>
      </c>
      <c r="D725" s="41"/>
      <c r="E725" s="41"/>
      <c r="F725" s="2"/>
      <c r="G725" s="10">
        <f>G726</f>
        <v>99</v>
      </c>
    </row>
    <row r="726" spans="1:7" s="252" customFormat="1" ht="15.75">
      <c r="A726" s="30" t="s">
        <v>250</v>
      </c>
      <c r="B726" s="31" t="s">
        <v>928</v>
      </c>
      <c r="C726" s="41" t="s">
        <v>167</v>
      </c>
      <c r="D726" s="41" t="s">
        <v>251</v>
      </c>
      <c r="E726" s="41"/>
      <c r="F726" s="2"/>
      <c r="G726" s="10">
        <f>G727</f>
        <v>99</v>
      </c>
    </row>
    <row r="727" spans="1:7" s="252" customFormat="1" ht="15.75">
      <c r="A727" s="25" t="s">
        <v>930</v>
      </c>
      <c r="B727" s="5" t="s">
        <v>974</v>
      </c>
      <c r="C727" s="41" t="s">
        <v>167</v>
      </c>
      <c r="D727" s="41" t="s">
        <v>251</v>
      </c>
      <c r="E727" s="41"/>
      <c r="F727" s="2"/>
      <c r="G727" s="10">
        <f>G728</f>
        <v>99</v>
      </c>
    </row>
    <row r="728" spans="1:7" s="252" customFormat="1" ht="15.75">
      <c r="A728" s="30" t="s">
        <v>152</v>
      </c>
      <c r="B728" s="5" t="s">
        <v>974</v>
      </c>
      <c r="C728" s="41" t="s">
        <v>167</v>
      </c>
      <c r="D728" s="41" t="s">
        <v>251</v>
      </c>
      <c r="E728" s="41" t="s">
        <v>162</v>
      </c>
      <c r="F728" s="2"/>
      <c r="G728" s="10">
        <f>G729</f>
        <v>99</v>
      </c>
    </row>
    <row r="729" spans="1:7" s="252" customFormat="1" ht="47.25">
      <c r="A729" s="30" t="s">
        <v>201</v>
      </c>
      <c r="B729" s="5" t="s">
        <v>974</v>
      </c>
      <c r="C729" s="41" t="s">
        <v>167</v>
      </c>
      <c r="D729" s="41" t="s">
        <v>251</v>
      </c>
      <c r="E729" s="41" t="s">
        <v>177</v>
      </c>
      <c r="F729" s="2"/>
      <c r="G729" s="10">
        <f>'Пр.5 Рд,пр, ЦС,ВР 20'!F242</f>
        <v>99</v>
      </c>
    </row>
    <row r="730" spans="1:7" s="252" customFormat="1" ht="15.75">
      <c r="A730" s="30" t="s">
        <v>165</v>
      </c>
      <c r="B730" s="20" t="s">
        <v>932</v>
      </c>
      <c r="C730" s="41" t="s">
        <v>167</v>
      </c>
      <c r="D730" s="41" t="s">
        <v>251</v>
      </c>
      <c r="E730" s="41" t="s">
        <v>177</v>
      </c>
      <c r="F730" s="2">
        <v>902</v>
      </c>
      <c r="G730" s="10">
        <f>G729</f>
        <v>99</v>
      </c>
    </row>
    <row r="731" spans="1:7" ht="52.5" customHeight="1" hidden="1">
      <c r="A731" s="42" t="s">
        <v>1394</v>
      </c>
      <c r="B731" s="7" t="s">
        <v>535</v>
      </c>
      <c r="C731" s="7"/>
      <c r="D731" s="7"/>
      <c r="E731" s="76"/>
      <c r="F731" s="3"/>
      <c r="G731" s="62">
        <f>G732+G739+G746+G753+G760+G767+G774</f>
        <v>0</v>
      </c>
    </row>
    <row r="732" spans="1:7" s="252" customFormat="1" ht="31.5" customHeight="1" hidden="1">
      <c r="A732" s="23" t="s">
        <v>1107</v>
      </c>
      <c r="B732" s="24" t="s">
        <v>1109</v>
      </c>
      <c r="C732" s="41"/>
      <c r="D732" s="41"/>
      <c r="E732" s="41"/>
      <c r="F732" s="2"/>
      <c r="G732" s="62">
        <f>G733</f>
        <v>0</v>
      </c>
    </row>
    <row r="733" spans="1:7" s="252" customFormat="1" ht="18" customHeight="1" hidden="1">
      <c r="A733" s="30" t="s">
        <v>407</v>
      </c>
      <c r="B733" s="41" t="s">
        <v>1109</v>
      </c>
      <c r="C733" s="41" t="s">
        <v>251</v>
      </c>
      <c r="D733" s="41"/>
      <c r="E733" s="77"/>
      <c r="F733" s="2"/>
      <c r="G733" s="10">
        <f aca="true" t="shared" si="91" ref="G733">G734</f>
        <v>0</v>
      </c>
    </row>
    <row r="734" spans="1:7" s="252" customFormat="1" ht="19.5" customHeight="1" hidden="1">
      <c r="A734" s="30" t="s">
        <v>534</v>
      </c>
      <c r="B734" s="41" t="s">
        <v>1109</v>
      </c>
      <c r="C734" s="41" t="s">
        <v>251</v>
      </c>
      <c r="D734" s="41" t="s">
        <v>230</v>
      </c>
      <c r="E734" s="77"/>
      <c r="F734" s="2"/>
      <c r="G734" s="10">
        <f>G735</f>
        <v>0</v>
      </c>
    </row>
    <row r="735" spans="1:7" ht="15.75" hidden="1">
      <c r="A735" s="46" t="s">
        <v>538</v>
      </c>
      <c r="B735" s="20" t="s">
        <v>1110</v>
      </c>
      <c r="C735" s="41" t="s">
        <v>251</v>
      </c>
      <c r="D735" s="41" t="s">
        <v>230</v>
      </c>
      <c r="E735" s="41"/>
      <c r="F735" s="2"/>
      <c r="G735" s="10">
        <f aca="true" t="shared" si="92" ref="G735:G736">G736</f>
        <v>0</v>
      </c>
    </row>
    <row r="736" spans="1:7" ht="31.5" hidden="1">
      <c r="A736" s="32" t="s">
        <v>148</v>
      </c>
      <c r="B736" s="20" t="s">
        <v>1110</v>
      </c>
      <c r="C736" s="41" t="s">
        <v>251</v>
      </c>
      <c r="D736" s="41" t="s">
        <v>230</v>
      </c>
      <c r="E736" s="41" t="s">
        <v>149</v>
      </c>
      <c r="F736" s="2"/>
      <c r="G736" s="10">
        <f t="shared" si="92"/>
        <v>0</v>
      </c>
    </row>
    <row r="737" spans="1:7" ht="31.5" hidden="1">
      <c r="A737" s="32" t="s">
        <v>150</v>
      </c>
      <c r="B737" s="20" t="s">
        <v>1110</v>
      </c>
      <c r="C737" s="41" t="s">
        <v>251</v>
      </c>
      <c r="D737" s="41" t="s">
        <v>230</v>
      </c>
      <c r="E737" s="41" t="s">
        <v>151</v>
      </c>
      <c r="F737" s="2"/>
      <c r="G737" s="10">
        <f>'Пр.5 Рд,пр, ЦС,ВР 20'!F353</f>
        <v>0</v>
      </c>
    </row>
    <row r="738" spans="1:7" s="252" customFormat="1" ht="31.5" hidden="1">
      <c r="A738" s="46" t="s">
        <v>641</v>
      </c>
      <c r="B738" s="20" t="s">
        <v>1110</v>
      </c>
      <c r="C738" s="41" t="s">
        <v>251</v>
      </c>
      <c r="D738" s="41" t="s">
        <v>230</v>
      </c>
      <c r="E738" s="41" t="s">
        <v>151</v>
      </c>
      <c r="F738" s="2">
        <v>908</v>
      </c>
      <c r="G738" s="6">
        <f>G737</f>
        <v>0</v>
      </c>
    </row>
    <row r="739" spans="1:7" s="252" customFormat="1" ht="31.5" hidden="1">
      <c r="A739" s="35" t="s">
        <v>1111</v>
      </c>
      <c r="B739" s="24" t="s">
        <v>1112</v>
      </c>
      <c r="C739" s="41"/>
      <c r="D739" s="41"/>
      <c r="E739" s="41"/>
      <c r="F739" s="2"/>
      <c r="G739" s="62">
        <f>G740</f>
        <v>0</v>
      </c>
    </row>
    <row r="740" spans="1:7" s="252" customFormat="1" ht="15.75" hidden="1">
      <c r="A740" s="30" t="s">
        <v>407</v>
      </c>
      <c r="B740" s="41" t="s">
        <v>1112</v>
      </c>
      <c r="C740" s="41" t="s">
        <v>251</v>
      </c>
      <c r="D740" s="41"/>
      <c r="E740" s="77"/>
      <c r="F740" s="2"/>
      <c r="G740" s="10">
        <f aca="true" t="shared" si="93" ref="G740">G741</f>
        <v>0</v>
      </c>
    </row>
    <row r="741" spans="1:7" s="252" customFormat="1" ht="15.75" hidden="1">
      <c r="A741" s="30" t="s">
        <v>534</v>
      </c>
      <c r="B741" s="41" t="s">
        <v>1112</v>
      </c>
      <c r="C741" s="41" t="s">
        <v>251</v>
      </c>
      <c r="D741" s="41" t="s">
        <v>230</v>
      </c>
      <c r="E741" s="77"/>
      <c r="F741" s="2"/>
      <c r="G741" s="10">
        <f>G742</f>
        <v>0</v>
      </c>
    </row>
    <row r="742" spans="1:7" ht="15.75" customHeight="1" hidden="1">
      <c r="A742" s="46" t="s">
        <v>540</v>
      </c>
      <c r="B742" s="20" t="s">
        <v>1115</v>
      </c>
      <c r="C742" s="41" t="s">
        <v>251</v>
      </c>
      <c r="D742" s="41" t="s">
        <v>230</v>
      </c>
      <c r="E742" s="41"/>
      <c r="F742" s="2"/>
      <c r="G742" s="10">
        <f>G743</f>
        <v>0</v>
      </c>
    </row>
    <row r="743" spans="1:7" ht="31.5" customHeight="1" hidden="1">
      <c r="A743" s="32" t="s">
        <v>148</v>
      </c>
      <c r="B743" s="20" t="s">
        <v>1115</v>
      </c>
      <c r="C743" s="41" t="s">
        <v>251</v>
      </c>
      <c r="D743" s="41" t="s">
        <v>230</v>
      </c>
      <c r="E743" s="41" t="s">
        <v>149</v>
      </c>
      <c r="F743" s="2"/>
      <c r="G743" s="10">
        <f aca="true" t="shared" si="94" ref="G743">G744</f>
        <v>0</v>
      </c>
    </row>
    <row r="744" spans="1:7" ht="31.5" customHeight="1" hidden="1">
      <c r="A744" s="32" t="s">
        <v>150</v>
      </c>
      <c r="B744" s="20" t="s">
        <v>1115</v>
      </c>
      <c r="C744" s="41" t="s">
        <v>251</v>
      </c>
      <c r="D744" s="41" t="s">
        <v>230</v>
      </c>
      <c r="E744" s="41" t="s">
        <v>151</v>
      </c>
      <c r="F744" s="2"/>
      <c r="G744" s="10">
        <f>'Пр.5 Рд,пр, ЦС,ВР 20'!F357</f>
        <v>0</v>
      </c>
    </row>
    <row r="745" spans="1:7" s="252" customFormat="1" ht="31.5" customHeight="1" hidden="1">
      <c r="A745" s="46" t="s">
        <v>641</v>
      </c>
      <c r="B745" s="20" t="s">
        <v>1115</v>
      </c>
      <c r="C745" s="41" t="s">
        <v>251</v>
      </c>
      <c r="D745" s="41" t="s">
        <v>230</v>
      </c>
      <c r="E745" s="41" t="s">
        <v>151</v>
      </c>
      <c r="F745" s="2">
        <v>908</v>
      </c>
      <c r="G745" s="6">
        <f>G744</f>
        <v>0</v>
      </c>
    </row>
    <row r="746" spans="1:7" s="252" customFormat="1" ht="15.75" customHeight="1" hidden="1">
      <c r="A746" s="60" t="s">
        <v>1113</v>
      </c>
      <c r="B746" s="24" t="s">
        <v>1114</v>
      </c>
      <c r="C746" s="41"/>
      <c r="D746" s="41"/>
      <c r="E746" s="41"/>
      <c r="F746" s="2"/>
      <c r="G746" s="62">
        <f>G747</f>
        <v>0</v>
      </c>
    </row>
    <row r="747" spans="1:7" s="252" customFormat="1" ht="15.75" customHeight="1" hidden="1">
      <c r="A747" s="30" t="s">
        <v>407</v>
      </c>
      <c r="B747" s="41" t="s">
        <v>1114</v>
      </c>
      <c r="C747" s="41" t="s">
        <v>251</v>
      </c>
      <c r="D747" s="41"/>
      <c r="E747" s="77"/>
      <c r="F747" s="2"/>
      <c r="G747" s="10">
        <f aca="true" t="shared" si="95" ref="G747">G748</f>
        <v>0</v>
      </c>
    </row>
    <row r="748" spans="1:7" s="252" customFormat="1" ht="15.75" customHeight="1" hidden="1">
      <c r="A748" s="30" t="s">
        <v>534</v>
      </c>
      <c r="B748" s="41" t="s">
        <v>1114</v>
      </c>
      <c r="C748" s="41" t="s">
        <v>251</v>
      </c>
      <c r="D748" s="41" t="s">
        <v>230</v>
      </c>
      <c r="E748" s="77"/>
      <c r="F748" s="2"/>
      <c r="G748" s="10">
        <f>G749</f>
        <v>0</v>
      </c>
    </row>
    <row r="749" spans="1:7" ht="15.75" customHeight="1" hidden="1">
      <c r="A749" s="46" t="s">
        <v>542</v>
      </c>
      <c r="B749" s="20" t="s">
        <v>1116</v>
      </c>
      <c r="C749" s="41" t="s">
        <v>251</v>
      </c>
      <c r="D749" s="41" t="s">
        <v>230</v>
      </c>
      <c r="E749" s="41"/>
      <c r="F749" s="2"/>
      <c r="G749" s="10">
        <f>G750</f>
        <v>0</v>
      </c>
    </row>
    <row r="750" spans="1:7" ht="31.5" customHeight="1" hidden="1">
      <c r="A750" s="32" t="s">
        <v>148</v>
      </c>
      <c r="B750" s="20" t="s">
        <v>1116</v>
      </c>
      <c r="C750" s="41" t="s">
        <v>251</v>
      </c>
      <c r="D750" s="41" t="s">
        <v>230</v>
      </c>
      <c r="E750" s="41" t="s">
        <v>149</v>
      </c>
      <c r="F750" s="2"/>
      <c r="G750" s="10">
        <f aca="true" t="shared" si="96" ref="G750">G751</f>
        <v>0</v>
      </c>
    </row>
    <row r="751" spans="1:7" ht="31.5" customHeight="1" hidden="1">
      <c r="A751" s="32" t="s">
        <v>150</v>
      </c>
      <c r="B751" s="20" t="s">
        <v>1116</v>
      </c>
      <c r="C751" s="41" t="s">
        <v>251</v>
      </c>
      <c r="D751" s="41" t="s">
        <v>230</v>
      </c>
      <c r="E751" s="41" t="s">
        <v>151</v>
      </c>
      <c r="F751" s="2"/>
      <c r="G751" s="10">
        <f>'Пр.5 Рд,пр, ЦС,ВР 20'!F361</f>
        <v>0</v>
      </c>
    </row>
    <row r="752" spans="1:7" s="252" customFormat="1" ht="31.5" customHeight="1" hidden="1">
      <c r="A752" s="46" t="s">
        <v>641</v>
      </c>
      <c r="B752" s="20" t="s">
        <v>1116</v>
      </c>
      <c r="C752" s="41" t="s">
        <v>251</v>
      </c>
      <c r="D752" s="41" t="s">
        <v>230</v>
      </c>
      <c r="E752" s="41" t="s">
        <v>151</v>
      </c>
      <c r="F752" s="2">
        <v>908</v>
      </c>
      <c r="G752" s="6">
        <f>G751</f>
        <v>0</v>
      </c>
    </row>
    <row r="753" spans="1:7" s="252" customFormat="1" ht="15.75" customHeight="1" hidden="1">
      <c r="A753" s="60" t="s">
        <v>1117</v>
      </c>
      <c r="B753" s="24" t="s">
        <v>1118</v>
      </c>
      <c r="C753" s="41"/>
      <c r="D753" s="41"/>
      <c r="E753" s="41"/>
      <c r="F753" s="2"/>
      <c r="G753" s="62">
        <f>G754</f>
        <v>0</v>
      </c>
    </row>
    <row r="754" spans="1:7" s="252" customFormat="1" ht="15.75" customHeight="1" hidden="1">
      <c r="A754" s="30" t="s">
        <v>407</v>
      </c>
      <c r="B754" s="41" t="s">
        <v>1118</v>
      </c>
      <c r="C754" s="41" t="s">
        <v>251</v>
      </c>
      <c r="D754" s="41"/>
      <c r="E754" s="77"/>
      <c r="F754" s="2"/>
      <c r="G754" s="10">
        <f>G755</f>
        <v>0</v>
      </c>
    </row>
    <row r="755" spans="1:7" s="252" customFormat="1" ht="15.75" customHeight="1" hidden="1">
      <c r="A755" s="30" t="s">
        <v>534</v>
      </c>
      <c r="B755" s="41" t="s">
        <v>1118</v>
      </c>
      <c r="C755" s="41" t="s">
        <v>251</v>
      </c>
      <c r="D755" s="41" t="s">
        <v>230</v>
      </c>
      <c r="E755" s="77"/>
      <c r="F755" s="2"/>
      <c r="G755" s="10">
        <f>G756</f>
        <v>0</v>
      </c>
    </row>
    <row r="756" spans="1:7" ht="15.75" hidden="1">
      <c r="A756" s="46" t="s">
        <v>544</v>
      </c>
      <c r="B756" s="20" t="s">
        <v>1119</v>
      </c>
      <c r="C756" s="41" t="s">
        <v>251</v>
      </c>
      <c r="D756" s="41" t="s">
        <v>230</v>
      </c>
      <c r="E756" s="41"/>
      <c r="F756" s="2"/>
      <c r="G756" s="10">
        <f aca="true" t="shared" si="97" ref="G756:G757">G757</f>
        <v>0</v>
      </c>
    </row>
    <row r="757" spans="1:7" ht="31.5" hidden="1">
      <c r="A757" s="32" t="s">
        <v>148</v>
      </c>
      <c r="B757" s="20" t="s">
        <v>1119</v>
      </c>
      <c r="C757" s="41" t="s">
        <v>251</v>
      </c>
      <c r="D757" s="41" t="s">
        <v>230</v>
      </c>
      <c r="E757" s="41" t="s">
        <v>149</v>
      </c>
      <c r="F757" s="2"/>
      <c r="G757" s="10">
        <f t="shared" si="97"/>
        <v>0</v>
      </c>
    </row>
    <row r="758" spans="1:7" ht="31.5" hidden="1">
      <c r="A758" s="32" t="s">
        <v>150</v>
      </c>
      <c r="B758" s="20" t="s">
        <v>1119</v>
      </c>
      <c r="C758" s="41" t="s">
        <v>251</v>
      </c>
      <c r="D758" s="41" t="s">
        <v>230</v>
      </c>
      <c r="E758" s="41" t="s">
        <v>151</v>
      </c>
      <c r="F758" s="2"/>
      <c r="G758" s="10">
        <f>'Пр.5 Рд,пр, ЦС,ВР 20'!F365</f>
        <v>0</v>
      </c>
    </row>
    <row r="759" spans="1:7" s="252" customFormat="1" ht="31.5" hidden="1">
      <c r="A759" s="46" t="s">
        <v>641</v>
      </c>
      <c r="B759" s="20" t="s">
        <v>1119</v>
      </c>
      <c r="C759" s="41" t="s">
        <v>251</v>
      </c>
      <c r="D759" s="41" t="s">
        <v>230</v>
      </c>
      <c r="E759" s="41" t="s">
        <v>151</v>
      </c>
      <c r="F759" s="2">
        <v>908</v>
      </c>
      <c r="G759" s="6">
        <f>G758</f>
        <v>0</v>
      </c>
    </row>
    <row r="760" spans="1:7" s="252" customFormat="1" ht="31.5" hidden="1">
      <c r="A760" s="35" t="s">
        <v>1181</v>
      </c>
      <c r="B760" s="24" t="s">
        <v>1182</v>
      </c>
      <c r="C760" s="41"/>
      <c r="D760" s="41"/>
      <c r="E760" s="41"/>
      <c r="F760" s="2"/>
      <c r="G760" s="62">
        <f>G761</f>
        <v>0</v>
      </c>
    </row>
    <row r="761" spans="1:7" s="252" customFormat="1" ht="15.75" hidden="1">
      <c r="A761" s="30" t="s">
        <v>407</v>
      </c>
      <c r="B761" s="41" t="s">
        <v>535</v>
      </c>
      <c r="C761" s="41" t="s">
        <v>251</v>
      </c>
      <c r="D761" s="41"/>
      <c r="E761" s="77"/>
      <c r="F761" s="2"/>
      <c r="G761" s="10">
        <f aca="true" t="shared" si="98" ref="G761">G762</f>
        <v>0</v>
      </c>
    </row>
    <row r="762" spans="1:7" s="252" customFormat="1" ht="15.75" hidden="1">
      <c r="A762" s="30" t="s">
        <v>534</v>
      </c>
      <c r="B762" s="41" t="s">
        <v>535</v>
      </c>
      <c r="C762" s="41" t="s">
        <v>251</v>
      </c>
      <c r="D762" s="41" t="s">
        <v>230</v>
      </c>
      <c r="E762" s="77"/>
      <c r="F762" s="2"/>
      <c r="G762" s="10">
        <f>G763</f>
        <v>0</v>
      </c>
    </row>
    <row r="763" spans="1:7" ht="15.75" customHeight="1" hidden="1">
      <c r="A763" s="46" t="s">
        <v>546</v>
      </c>
      <c r="B763" s="20" t="s">
        <v>1185</v>
      </c>
      <c r="C763" s="41" t="s">
        <v>251</v>
      </c>
      <c r="D763" s="41" t="s">
        <v>230</v>
      </c>
      <c r="E763" s="41"/>
      <c r="F763" s="2"/>
      <c r="G763" s="10">
        <f aca="true" t="shared" si="99" ref="G763:G764">G764</f>
        <v>0</v>
      </c>
    </row>
    <row r="764" spans="1:7" ht="31.5" customHeight="1" hidden="1">
      <c r="A764" s="32" t="s">
        <v>148</v>
      </c>
      <c r="B764" s="20" t="s">
        <v>1185</v>
      </c>
      <c r="C764" s="41" t="s">
        <v>251</v>
      </c>
      <c r="D764" s="41" t="s">
        <v>230</v>
      </c>
      <c r="E764" s="41" t="s">
        <v>149</v>
      </c>
      <c r="F764" s="2"/>
      <c r="G764" s="10">
        <f t="shared" si="99"/>
        <v>0</v>
      </c>
    </row>
    <row r="765" spans="1:7" ht="31.5" customHeight="1" hidden="1">
      <c r="A765" s="32" t="s">
        <v>150</v>
      </c>
      <c r="B765" s="20" t="s">
        <v>1185</v>
      </c>
      <c r="C765" s="41" t="s">
        <v>251</v>
      </c>
      <c r="D765" s="41" t="s">
        <v>230</v>
      </c>
      <c r="E765" s="41" t="s">
        <v>151</v>
      </c>
      <c r="F765" s="2"/>
      <c r="G765" s="10">
        <f>'Пр.5 Рд,пр, ЦС,ВР 20'!F369</f>
        <v>0</v>
      </c>
    </row>
    <row r="766" spans="1:7" s="252" customFormat="1" ht="31.5" customHeight="1" hidden="1">
      <c r="A766" s="46" t="s">
        <v>641</v>
      </c>
      <c r="B766" s="20" t="s">
        <v>1185</v>
      </c>
      <c r="C766" s="41" t="s">
        <v>251</v>
      </c>
      <c r="D766" s="41" t="s">
        <v>230</v>
      </c>
      <c r="E766" s="41" t="s">
        <v>151</v>
      </c>
      <c r="F766" s="2">
        <v>908</v>
      </c>
      <c r="G766" s="6">
        <f>G765</f>
        <v>0</v>
      </c>
    </row>
    <row r="767" spans="1:7" s="252" customFormat="1" ht="31.5" customHeight="1" hidden="1">
      <c r="A767" s="321" t="s">
        <v>1183</v>
      </c>
      <c r="B767" s="24" t="s">
        <v>1184</v>
      </c>
      <c r="C767" s="41"/>
      <c r="D767" s="41"/>
      <c r="E767" s="41"/>
      <c r="F767" s="2"/>
      <c r="G767" s="62">
        <f>G768</f>
        <v>0</v>
      </c>
    </row>
    <row r="768" spans="1:7" s="252" customFormat="1" ht="16.5" customHeight="1" hidden="1">
      <c r="A768" s="30" t="s">
        <v>407</v>
      </c>
      <c r="B768" s="41" t="s">
        <v>535</v>
      </c>
      <c r="C768" s="41" t="s">
        <v>251</v>
      </c>
      <c r="D768" s="41"/>
      <c r="E768" s="77"/>
      <c r="F768" s="2"/>
      <c r="G768" s="10">
        <f aca="true" t="shared" si="100" ref="G768">G769</f>
        <v>0</v>
      </c>
    </row>
    <row r="769" spans="1:7" s="252" customFormat="1" ht="19.5" customHeight="1" hidden="1">
      <c r="A769" s="30" t="s">
        <v>534</v>
      </c>
      <c r="B769" s="41" t="s">
        <v>535</v>
      </c>
      <c r="C769" s="41" t="s">
        <v>251</v>
      </c>
      <c r="D769" s="41" t="s">
        <v>230</v>
      </c>
      <c r="E769" s="77"/>
      <c r="F769" s="2"/>
      <c r="G769" s="10">
        <f>G770</f>
        <v>0</v>
      </c>
    </row>
    <row r="770" spans="1:7" ht="31.5" customHeight="1" hidden="1">
      <c r="A770" s="188" t="s">
        <v>548</v>
      </c>
      <c r="B770" s="20" t="s">
        <v>1186</v>
      </c>
      <c r="C770" s="41" t="s">
        <v>251</v>
      </c>
      <c r="D770" s="41" t="s">
        <v>230</v>
      </c>
      <c r="E770" s="41"/>
      <c r="F770" s="2"/>
      <c r="G770" s="10">
        <f aca="true" t="shared" si="101" ref="G770:G771">G771</f>
        <v>0</v>
      </c>
    </row>
    <row r="771" spans="1:7" ht="31.5" customHeight="1" hidden="1">
      <c r="A771" s="32" t="s">
        <v>148</v>
      </c>
      <c r="B771" s="20" t="s">
        <v>1186</v>
      </c>
      <c r="C771" s="41" t="s">
        <v>251</v>
      </c>
      <c r="D771" s="41" t="s">
        <v>230</v>
      </c>
      <c r="E771" s="41" t="s">
        <v>149</v>
      </c>
      <c r="F771" s="2"/>
      <c r="G771" s="10">
        <f t="shared" si="101"/>
        <v>0</v>
      </c>
    </row>
    <row r="772" spans="1:7" ht="31.5" customHeight="1" hidden="1">
      <c r="A772" s="32" t="s">
        <v>150</v>
      </c>
      <c r="B772" s="20" t="s">
        <v>1186</v>
      </c>
      <c r="C772" s="41" t="s">
        <v>251</v>
      </c>
      <c r="D772" s="41" t="s">
        <v>230</v>
      </c>
      <c r="E772" s="41" t="s">
        <v>151</v>
      </c>
      <c r="F772" s="2"/>
      <c r="G772" s="10">
        <f>'Пр.5 Рд,пр, ЦС,ВР 20'!F373</f>
        <v>0</v>
      </c>
    </row>
    <row r="773" spans="1:7" s="252" customFormat="1" ht="31.5" customHeight="1" hidden="1">
      <c r="A773" s="46" t="s">
        <v>641</v>
      </c>
      <c r="B773" s="20" t="s">
        <v>1186</v>
      </c>
      <c r="C773" s="41" t="s">
        <v>251</v>
      </c>
      <c r="D773" s="41" t="s">
        <v>230</v>
      </c>
      <c r="E773" s="41" t="s">
        <v>151</v>
      </c>
      <c r="F773" s="2">
        <v>908</v>
      </c>
      <c r="G773" s="6">
        <f>G772</f>
        <v>0</v>
      </c>
    </row>
    <row r="774" spans="1:7" s="252" customFormat="1" ht="31.5" customHeight="1" hidden="1">
      <c r="A774" s="321" t="s">
        <v>1121</v>
      </c>
      <c r="B774" s="24" t="s">
        <v>1122</v>
      </c>
      <c r="C774" s="41"/>
      <c r="D774" s="41"/>
      <c r="E774" s="41"/>
      <c r="F774" s="2"/>
      <c r="G774" s="62">
        <f>G775</f>
        <v>0</v>
      </c>
    </row>
    <row r="775" spans="1:7" s="252" customFormat="1" ht="17.25" customHeight="1" hidden="1">
      <c r="A775" s="30" t="s">
        <v>407</v>
      </c>
      <c r="B775" s="41" t="s">
        <v>535</v>
      </c>
      <c r="C775" s="41" t="s">
        <v>251</v>
      </c>
      <c r="D775" s="41"/>
      <c r="E775" s="77"/>
      <c r="F775" s="2"/>
      <c r="G775" s="10">
        <f>G776</f>
        <v>0</v>
      </c>
    </row>
    <row r="776" spans="1:7" s="252" customFormat="1" ht="20.25" customHeight="1" hidden="1">
      <c r="A776" s="30" t="s">
        <v>534</v>
      </c>
      <c r="B776" s="41" t="s">
        <v>535</v>
      </c>
      <c r="C776" s="41" t="s">
        <v>251</v>
      </c>
      <c r="D776" s="41" t="s">
        <v>230</v>
      </c>
      <c r="E776" s="77"/>
      <c r="F776" s="2"/>
      <c r="G776" s="10">
        <f>G777</f>
        <v>0</v>
      </c>
    </row>
    <row r="777" spans="1:7" ht="15.75" hidden="1">
      <c r="A777" s="188" t="s">
        <v>550</v>
      </c>
      <c r="B777" s="20" t="s">
        <v>1120</v>
      </c>
      <c r="C777" s="41" t="s">
        <v>251</v>
      </c>
      <c r="D777" s="41" t="s">
        <v>230</v>
      </c>
      <c r="E777" s="41"/>
      <c r="F777" s="2"/>
      <c r="G777" s="10">
        <f aca="true" t="shared" si="102" ref="G777:G778">G778</f>
        <v>0</v>
      </c>
    </row>
    <row r="778" spans="1:7" ht="31.5" hidden="1">
      <c r="A778" s="25" t="s">
        <v>148</v>
      </c>
      <c r="B778" s="20" t="s">
        <v>1120</v>
      </c>
      <c r="C778" s="41" t="s">
        <v>251</v>
      </c>
      <c r="D778" s="41" t="s">
        <v>230</v>
      </c>
      <c r="E778" s="2">
        <v>200</v>
      </c>
      <c r="F778" s="81"/>
      <c r="G778" s="6">
        <f t="shared" si="102"/>
        <v>0</v>
      </c>
    </row>
    <row r="779" spans="1:7" ht="31.5" hidden="1">
      <c r="A779" s="25" t="s">
        <v>150</v>
      </c>
      <c r="B779" s="20" t="s">
        <v>1120</v>
      </c>
      <c r="C779" s="41" t="s">
        <v>251</v>
      </c>
      <c r="D779" s="41" t="s">
        <v>230</v>
      </c>
      <c r="E779" s="2">
        <v>240</v>
      </c>
      <c r="F779" s="81"/>
      <c r="G779" s="6">
        <f>'Пр.5 Рд,пр, ЦС,ВР 20'!F377</f>
        <v>0</v>
      </c>
    </row>
    <row r="780" spans="1:7" ht="31.5" hidden="1">
      <c r="A780" s="46" t="s">
        <v>641</v>
      </c>
      <c r="B780" s="20" t="s">
        <v>1120</v>
      </c>
      <c r="C780" s="41" t="s">
        <v>251</v>
      </c>
      <c r="D780" s="41" t="s">
        <v>230</v>
      </c>
      <c r="E780" s="2">
        <v>240</v>
      </c>
      <c r="F780" s="2">
        <v>908</v>
      </c>
      <c r="G780" s="6">
        <f>G779</f>
        <v>0</v>
      </c>
    </row>
    <row r="781" spans="1:7" ht="47.25">
      <c r="A781" s="23" t="s">
        <v>351</v>
      </c>
      <c r="B781" s="24" t="s">
        <v>352</v>
      </c>
      <c r="C781" s="7"/>
      <c r="D781" s="7"/>
      <c r="E781" s="3"/>
      <c r="F781" s="3"/>
      <c r="G781" s="4">
        <f>G782</f>
        <v>175</v>
      </c>
    </row>
    <row r="782" spans="1:7" s="252" customFormat="1" ht="31.5">
      <c r="A782" s="23" t="s">
        <v>1242</v>
      </c>
      <c r="B782" s="24" t="s">
        <v>1243</v>
      </c>
      <c r="C782" s="7"/>
      <c r="D782" s="7"/>
      <c r="E782" s="3"/>
      <c r="F782" s="3"/>
      <c r="G782" s="4">
        <f>G783</f>
        <v>175</v>
      </c>
    </row>
    <row r="783" spans="1:7" ht="15.75">
      <c r="A783" s="30" t="s">
        <v>134</v>
      </c>
      <c r="B783" s="20" t="s">
        <v>1243</v>
      </c>
      <c r="C783" s="41" t="s">
        <v>135</v>
      </c>
      <c r="D783" s="41"/>
      <c r="E783" s="2"/>
      <c r="F783" s="2"/>
      <c r="G783" s="6">
        <f>G784</f>
        <v>175</v>
      </c>
    </row>
    <row r="784" spans="1:7" ht="15.75">
      <c r="A784" s="30" t="s">
        <v>156</v>
      </c>
      <c r="B784" s="20" t="s">
        <v>1243</v>
      </c>
      <c r="C784" s="41" t="s">
        <v>135</v>
      </c>
      <c r="D784" s="41" t="s">
        <v>157</v>
      </c>
      <c r="E784" s="2"/>
      <c r="F784" s="2"/>
      <c r="G784" s="6">
        <f>G785+G792+G796+G800+G804+G808+G812</f>
        <v>175</v>
      </c>
    </row>
    <row r="785" spans="1:7" ht="31.5">
      <c r="A785" s="25" t="s">
        <v>353</v>
      </c>
      <c r="B785" s="20" t="s">
        <v>1244</v>
      </c>
      <c r="C785" s="41" t="s">
        <v>135</v>
      </c>
      <c r="D785" s="41" t="s">
        <v>157</v>
      </c>
      <c r="E785" s="2"/>
      <c r="F785" s="2"/>
      <c r="G785" s="6">
        <f>G786+G789</f>
        <v>120</v>
      </c>
    </row>
    <row r="786" spans="1:7" ht="31.5">
      <c r="A786" s="25" t="s">
        <v>148</v>
      </c>
      <c r="B786" s="20" t="s">
        <v>1244</v>
      </c>
      <c r="C786" s="41" t="s">
        <v>135</v>
      </c>
      <c r="D786" s="41" t="s">
        <v>157</v>
      </c>
      <c r="E786" s="2">
        <v>200</v>
      </c>
      <c r="F786" s="2"/>
      <c r="G786" s="6">
        <f aca="true" t="shared" si="103" ref="G786">G787</f>
        <v>50</v>
      </c>
    </row>
    <row r="787" spans="1:7" ht="31.5">
      <c r="A787" s="25" t="s">
        <v>150</v>
      </c>
      <c r="B787" s="20" t="s">
        <v>1244</v>
      </c>
      <c r="C787" s="41" t="s">
        <v>135</v>
      </c>
      <c r="D787" s="41" t="s">
        <v>157</v>
      </c>
      <c r="E787" s="2">
        <v>240</v>
      </c>
      <c r="F787" s="2"/>
      <c r="G787" s="6">
        <f>'Пр.6 ведом.20'!G493</f>
        <v>50</v>
      </c>
    </row>
    <row r="788" spans="1:7" s="252" customFormat="1" ht="31.5">
      <c r="A788" s="46" t="s">
        <v>420</v>
      </c>
      <c r="B788" s="20" t="s">
        <v>1244</v>
      </c>
      <c r="C788" s="41" t="s">
        <v>135</v>
      </c>
      <c r="D788" s="41" t="s">
        <v>157</v>
      </c>
      <c r="E788" s="2">
        <v>240</v>
      </c>
      <c r="F788" s="2">
        <v>906</v>
      </c>
      <c r="G788" s="6">
        <f>G787</f>
        <v>50</v>
      </c>
    </row>
    <row r="789" spans="1:7" s="252" customFormat="1" ht="31.5">
      <c r="A789" s="25" t="s">
        <v>148</v>
      </c>
      <c r="B789" s="20" t="s">
        <v>1244</v>
      </c>
      <c r="C789" s="41" t="s">
        <v>135</v>
      </c>
      <c r="D789" s="41" t="s">
        <v>157</v>
      </c>
      <c r="E789" s="2">
        <v>200</v>
      </c>
      <c r="F789" s="2"/>
      <c r="G789" s="6">
        <f aca="true" t="shared" si="104" ref="G789">G790</f>
        <v>70</v>
      </c>
    </row>
    <row r="790" spans="1:7" s="252" customFormat="1" ht="31.5">
      <c r="A790" s="25" t="s">
        <v>150</v>
      </c>
      <c r="B790" s="20" t="s">
        <v>1244</v>
      </c>
      <c r="C790" s="41" t="s">
        <v>135</v>
      </c>
      <c r="D790" s="41" t="s">
        <v>157</v>
      </c>
      <c r="E790" s="2">
        <v>240</v>
      </c>
      <c r="F790" s="2"/>
      <c r="G790" s="6">
        <f>'Пр.6 ведом.20'!G712</f>
        <v>70</v>
      </c>
    </row>
    <row r="791" spans="1:7" s="252" customFormat="1" ht="31.5">
      <c r="A791" s="46" t="s">
        <v>497</v>
      </c>
      <c r="B791" s="20" t="s">
        <v>1244</v>
      </c>
      <c r="C791" s="41" t="s">
        <v>135</v>
      </c>
      <c r="D791" s="41" t="s">
        <v>157</v>
      </c>
      <c r="E791" s="2">
        <v>240</v>
      </c>
      <c r="F791" s="2">
        <v>907</v>
      </c>
      <c r="G791" s="6">
        <f>G790</f>
        <v>70</v>
      </c>
    </row>
    <row r="792" spans="1:7" s="252" customFormat="1" ht="31.5" hidden="1">
      <c r="A792" s="25" t="s">
        <v>353</v>
      </c>
      <c r="B792" s="20" t="s">
        <v>1249</v>
      </c>
      <c r="C792" s="41" t="s">
        <v>135</v>
      </c>
      <c r="D792" s="41" t="s">
        <v>157</v>
      </c>
      <c r="E792" s="2"/>
      <c r="F792" s="2"/>
      <c r="G792" s="6">
        <f>G793</f>
        <v>0</v>
      </c>
    </row>
    <row r="793" spans="1:7" s="252" customFormat="1" ht="31.5" hidden="1">
      <c r="A793" s="25" t="s">
        <v>148</v>
      </c>
      <c r="B793" s="20" t="s">
        <v>1249</v>
      </c>
      <c r="C793" s="41" t="s">
        <v>135</v>
      </c>
      <c r="D793" s="41" t="s">
        <v>157</v>
      </c>
      <c r="E793" s="2">
        <v>200</v>
      </c>
      <c r="F793" s="2"/>
      <c r="G793" s="6">
        <f aca="true" t="shared" si="105" ref="G793">G794</f>
        <v>0</v>
      </c>
    </row>
    <row r="794" spans="1:7" s="252" customFormat="1" ht="31.5" hidden="1">
      <c r="A794" s="25" t="s">
        <v>150</v>
      </c>
      <c r="B794" s="20" t="s">
        <v>1249</v>
      </c>
      <c r="C794" s="41" t="s">
        <v>135</v>
      </c>
      <c r="D794" s="41" t="s">
        <v>157</v>
      </c>
      <c r="E794" s="2">
        <v>240</v>
      </c>
      <c r="F794" s="2"/>
      <c r="G794" s="6">
        <f>'Пр.5 Рд,пр, ЦС,ВР 20'!F163</f>
        <v>0</v>
      </c>
    </row>
    <row r="795" spans="1:7" s="252" customFormat="1" ht="31.5" hidden="1">
      <c r="A795" s="46" t="s">
        <v>420</v>
      </c>
      <c r="B795" s="20" t="s">
        <v>1249</v>
      </c>
      <c r="C795" s="41" t="s">
        <v>135</v>
      </c>
      <c r="D795" s="41" t="s">
        <v>157</v>
      </c>
      <c r="E795" s="2">
        <v>240</v>
      </c>
      <c r="F795" s="2">
        <v>906</v>
      </c>
      <c r="G795" s="6">
        <f>G794</f>
        <v>0</v>
      </c>
    </row>
    <row r="796" spans="1:7" ht="23.25" customHeight="1">
      <c r="A796" s="25" t="s">
        <v>355</v>
      </c>
      <c r="B796" s="20" t="s">
        <v>1245</v>
      </c>
      <c r="C796" s="41" t="s">
        <v>135</v>
      </c>
      <c r="D796" s="41" t="s">
        <v>157</v>
      </c>
      <c r="E796" s="2"/>
      <c r="F796" s="2"/>
      <c r="G796" s="6">
        <f aca="true" t="shared" si="106" ref="G796:G797">G797</f>
        <v>25</v>
      </c>
    </row>
    <row r="797" spans="1:7" ht="31.5">
      <c r="A797" s="25" t="s">
        <v>148</v>
      </c>
      <c r="B797" s="20" t="s">
        <v>1245</v>
      </c>
      <c r="C797" s="41" t="s">
        <v>135</v>
      </c>
      <c r="D797" s="41" t="s">
        <v>157</v>
      </c>
      <c r="E797" s="2">
        <v>200</v>
      </c>
      <c r="F797" s="2"/>
      <c r="G797" s="6">
        <f t="shared" si="106"/>
        <v>25</v>
      </c>
    </row>
    <row r="798" spans="1:7" ht="31.5">
      <c r="A798" s="25" t="s">
        <v>150</v>
      </c>
      <c r="B798" s="20" t="s">
        <v>1245</v>
      </c>
      <c r="C798" s="41" t="s">
        <v>135</v>
      </c>
      <c r="D798" s="41" t="s">
        <v>157</v>
      </c>
      <c r="E798" s="2">
        <v>240</v>
      </c>
      <c r="F798" s="2"/>
      <c r="G798" s="6">
        <f>'Пр.6 ведом.20'!G217</f>
        <v>25</v>
      </c>
    </row>
    <row r="799" spans="1:7" s="252" customFormat="1" ht="47.25">
      <c r="A799" s="46" t="s">
        <v>278</v>
      </c>
      <c r="B799" s="20" t="s">
        <v>1245</v>
      </c>
      <c r="C799" s="41" t="s">
        <v>135</v>
      </c>
      <c r="D799" s="41" t="s">
        <v>157</v>
      </c>
      <c r="E799" s="2">
        <v>240</v>
      </c>
      <c r="F799" s="2">
        <v>903</v>
      </c>
      <c r="G799" s="6">
        <f>G798</f>
        <v>25</v>
      </c>
    </row>
    <row r="800" spans="1:7" ht="47.25">
      <c r="A800" s="32" t="s">
        <v>796</v>
      </c>
      <c r="B800" s="20" t="s">
        <v>1246</v>
      </c>
      <c r="C800" s="41" t="s">
        <v>135</v>
      </c>
      <c r="D800" s="41" t="s">
        <v>157</v>
      </c>
      <c r="E800" s="2"/>
      <c r="F800" s="2"/>
      <c r="G800" s="6">
        <f aca="true" t="shared" si="107" ref="G800:G801">G801</f>
        <v>10</v>
      </c>
    </row>
    <row r="801" spans="1:7" ht="31.5">
      <c r="A801" s="25" t="s">
        <v>148</v>
      </c>
      <c r="B801" s="20" t="s">
        <v>1246</v>
      </c>
      <c r="C801" s="20" t="s">
        <v>135</v>
      </c>
      <c r="D801" s="20" t="s">
        <v>157</v>
      </c>
      <c r="E801" s="20" t="s">
        <v>149</v>
      </c>
      <c r="F801" s="192"/>
      <c r="G801" s="6">
        <f t="shared" si="107"/>
        <v>10</v>
      </c>
    </row>
    <row r="802" spans="1:7" ht="31.5">
      <c r="A802" s="25" t="s">
        <v>150</v>
      </c>
      <c r="B802" s="20" t="s">
        <v>1246</v>
      </c>
      <c r="C802" s="20" t="s">
        <v>135</v>
      </c>
      <c r="D802" s="20" t="s">
        <v>157</v>
      </c>
      <c r="E802" s="20" t="s">
        <v>151</v>
      </c>
      <c r="F802" s="192"/>
      <c r="G802" s="6">
        <f>'Пр.6 ведом.20'!G220</f>
        <v>10</v>
      </c>
    </row>
    <row r="803" spans="1:7" s="252" customFormat="1" ht="47.25">
      <c r="A803" s="46" t="s">
        <v>278</v>
      </c>
      <c r="B803" s="20" t="s">
        <v>1246</v>
      </c>
      <c r="C803" s="41" t="s">
        <v>135</v>
      </c>
      <c r="D803" s="41" t="s">
        <v>157</v>
      </c>
      <c r="E803" s="2">
        <v>240</v>
      </c>
      <c r="F803" s="2">
        <v>903</v>
      </c>
      <c r="G803" s="6">
        <f>G802</f>
        <v>10</v>
      </c>
    </row>
    <row r="804" spans="1:7" ht="31.5" hidden="1">
      <c r="A804" s="25" t="s">
        <v>697</v>
      </c>
      <c r="B804" s="20" t="s">
        <v>1247</v>
      </c>
      <c r="C804" s="41" t="s">
        <v>135</v>
      </c>
      <c r="D804" s="41" t="s">
        <v>157</v>
      </c>
      <c r="E804" s="2"/>
      <c r="F804" s="192"/>
      <c r="G804" s="6">
        <f aca="true" t="shared" si="108" ref="G804:G805">G805</f>
        <v>0</v>
      </c>
    </row>
    <row r="805" spans="1:7" ht="31.5" hidden="1">
      <c r="A805" s="25" t="s">
        <v>148</v>
      </c>
      <c r="B805" s="20" t="s">
        <v>1247</v>
      </c>
      <c r="C805" s="41" t="s">
        <v>135</v>
      </c>
      <c r="D805" s="41" t="s">
        <v>157</v>
      </c>
      <c r="E805" s="2">
        <v>200</v>
      </c>
      <c r="F805" s="192"/>
      <c r="G805" s="6">
        <f t="shared" si="108"/>
        <v>0</v>
      </c>
    </row>
    <row r="806" spans="1:7" ht="31.5" hidden="1">
      <c r="A806" s="25" t="s">
        <v>150</v>
      </c>
      <c r="B806" s="20" t="s">
        <v>1247</v>
      </c>
      <c r="C806" s="41" t="s">
        <v>135</v>
      </c>
      <c r="D806" s="41" t="s">
        <v>157</v>
      </c>
      <c r="E806" s="2">
        <v>240</v>
      </c>
      <c r="F806" s="192"/>
      <c r="G806" s="6">
        <f>'Пр.6 ведом.20'!G223</f>
        <v>0</v>
      </c>
    </row>
    <row r="807" spans="1:7" s="252" customFormat="1" ht="47.25" hidden="1">
      <c r="A807" s="46" t="s">
        <v>278</v>
      </c>
      <c r="B807" s="20" t="s">
        <v>1247</v>
      </c>
      <c r="C807" s="41" t="s">
        <v>135</v>
      </c>
      <c r="D807" s="41" t="s">
        <v>157</v>
      </c>
      <c r="E807" s="2">
        <v>240</v>
      </c>
      <c r="F807" s="2">
        <v>903</v>
      </c>
      <c r="G807" s="6">
        <f>G806</f>
        <v>0</v>
      </c>
    </row>
    <row r="808" spans="1:7" s="252" customFormat="1" ht="15.75" hidden="1">
      <c r="A808" s="32" t="s">
        <v>798</v>
      </c>
      <c r="B808" s="20" t="s">
        <v>1277</v>
      </c>
      <c r="C808" s="41" t="s">
        <v>135</v>
      </c>
      <c r="D808" s="41" t="s">
        <v>157</v>
      </c>
      <c r="E808" s="2"/>
      <c r="F808" s="2"/>
      <c r="G808" s="6">
        <f aca="true" t="shared" si="109" ref="G808:G809">G809</f>
        <v>0</v>
      </c>
    </row>
    <row r="809" spans="1:7" s="252" customFormat="1" ht="31.5" hidden="1">
      <c r="A809" s="25" t="s">
        <v>148</v>
      </c>
      <c r="B809" s="20" t="s">
        <v>1277</v>
      </c>
      <c r="C809" s="41" t="s">
        <v>135</v>
      </c>
      <c r="D809" s="41" t="s">
        <v>157</v>
      </c>
      <c r="E809" s="2">
        <v>200</v>
      </c>
      <c r="F809" s="2"/>
      <c r="G809" s="6">
        <f t="shared" si="109"/>
        <v>0</v>
      </c>
    </row>
    <row r="810" spans="1:7" s="252" customFormat="1" ht="31.5" hidden="1">
      <c r="A810" s="25" t="s">
        <v>150</v>
      </c>
      <c r="B810" s="20" t="s">
        <v>1277</v>
      </c>
      <c r="C810" s="41" t="s">
        <v>135</v>
      </c>
      <c r="D810" s="41" t="s">
        <v>157</v>
      </c>
      <c r="E810" s="2">
        <v>240</v>
      </c>
      <c r="F810" s="2"/>
      <c r="G810" s="6">
        <f>'Пр.5 Рд,пр, ЦС,ВР 20'!F175</f>
        <v>0</v>
      </c>
    </row>
    <row r="811" spans="1:7" s="252" customFormat="1" ht="31.5" hidden="1">
      <c r="A811" s="46" t="s">
        <v>420</v>
      </c>
      <c r="B811" s="20" t="s">
        <v>1277</v>
      </c>
      <c r="C811" s="41" t="s">
        <v>135</v>
      </c>
      <c r="D811" s="41" t="s">
        <v>157</v>
      </c>
      <c r="E811" s="2">
        <v>240</v>
      </c>
      <c r="F811" s="2">
        <v>906</v>
      </c>
      <c r="G811" s="6">
        <f>G810</f>
        <v>0</v>
      </c>
    </row>
    <row r="812" spans="1:7" ht="31.5" customHeight="1">
      <c r="A812" s="32" t="s">
        <v>797</v>
      </c>
      <c r="B812" s="20" t="s">
        <v>1248</v>
      </c>
      <c r="C812" s="20" t="s">
        <v>135</v>
      </c>
      <c r="D812" s="20" t="s">
        <v>157</v>
      </c>
      <c r="E812" s="20"/>
      <c r="F812" s="192"/>
      <c r="G812" s="6">
        <f aca="true" t="shared" si="110" ref="G812:G813">G813</f>
        <v>20</v>
      </c>
    </row>
    <row r="813" spans="1:7" ht="31.5" customHeight="1">
      <c r="A813" s="25" t="s">
        <v>148</v>
      </c>
      <c r="B813" s="20" t="s">
        <v>1248</v>
      </c>
      <c r="C813" s="20" t="s">
        <v>135</v>
      </c>
      <c r="D813" s="20" t="s">
        <v>157</v>
      </c>
      <c r="E813" s="20" t="s">
        <v>149</v>
      </c>
      <c r="F813" s="192"/>
      <c r="G813" s="6">
        <f t="shared" si="110"/>
        <v>20</v>
      </c>
    </row>
    <row r="814" spans="1:7" ht="31.5" customHeight="1">
      <c r="A814" s="25" t="s">
        <v>150</v>
      </c>
      <c r="B814" s="20" t="s">
        <v>1248</v>
      </c>
      <c r="C814" s="20" t="s">
        <v>135</v>
      </c>
      <c r="D814" s="20" t="s">
        <v>157</v>
      </c>
      <c r="E814" s="20" t="s">
        <v>151</v>
      </c>
      <c r="F814" s="192"/>
      <c r="G814" s="6">
        <f>'Пр.6 ведом.20'!G226</f>
        <v>20</v>
      </c>
    </row>
    <row r="815" spans="1:7" ht="47.25">
      <c r="A815" s="46" t="s">
        <v>278</v>
      </c>
      <c r="B815" s="20" t="s">
        <v>1248</v>
      </c>
      <c r="C815" s="20" t="s">
        <v>135</v>
      </c>
      <c r="D815" s="20" t="s">
        <v>157</v>
      </c>
      <c r="E815" s="20" t="s">
        <v>151</v>
      </c>
      <c r="F815" s="2">
        <v>903</v>
      </c>
      <c r="G815" s="6">
        <f>G814</f>
        <v>20</v>
      </c>
    </row>
    <row r="816" spans="1:7" ht="48.75" customHeight="1">
      <c r="A816" s="42" t="s">
        <v>1188</v>
      </c>
      <c r="B816" s="24" t="s">
        <v>730</v>
      </c>
      <c r="C816" s="7"/>
      <c r="D816" s="7"/>
      <c r="E816" s="3"/>
      <c r="F816" s="3"/>
      <c r="G816" s="4">
        <f>G817+G828+G867</f>
        <v>3295.6</v>
      </c>
    </row>
    <row r="817" spans="1:7" s="252" customFormat="1" ht="48.75" customHeight="1">
      <c r="A817" s="311" t="s">
        <v>897</v>
      </c>
      <c r="B817" s="24" t="s">
        <v>903</v>
      </c>
      <c r="C817" s="7"/>
      <c r="D817" s="7"/>
      <c r="E817" s="3"/>
      <c r="F817" s="3"/>
      <c r="G817" s="4">
        <f>G818</f>
        <v>33</v>
      </c>
    </row>
    <row r="818" spans="1:7" s="131" customFormat="1" ht="15.75">
      <c r="A818" s="30" t="s">
        <v>134</v>
      </c>
      <c r="B818" s="20" t="s">
        <v>903</v>
      </c>
      <c r="C818" s="41" t="s">
        <v>135</v>
      </c>
      <c r="D818" s="41"/>
      <c r="E818" s="2"/>
      <c r="F818" s="2"/>
      <c r="G818" s="6">
        <f aca="true" t="shared" si="111" ref="G818">G819</f>
        <v>33</v>
      </c>
    </row>
    <row r="819" spans="1:7" s="131" customFormat="1" ht="15.75">
      <c r="A819" s="30" t="s">
        <v>156</v>
      </c>
      <c r="B819" s="20" t="s">
        <v>903</v>
      </c>
      <c r="C819" s="41" t="s">
        <v>135</v>
      </c>
      <c r="D819" s="41" t="s">
        <v>157</v>
      </c>
      <c r="E819" s="2"/>
      <c r="F819" s="2"/>
      <c r="G819" s="6">
        <f>G820+G824</f>
        <v>33</v>
      </c>
    </row>
    <row r="820" spans="1:7" ht="31.5">
      <c r="A820" s="107" t="s">
        <v>801</v>
      </c>
      <c r="B820" s="20" t="s">
        <v>898</v>
      </c>
      <c r="C820" s="41" t="s">
        <v>135</v>
      </c>
      <c r="D820" s="41" t="s">
        <v>157</v>
      </c>
      <c r="E820" s="2"/>
      <c r="F820" s="2"/>
      <c r="G820" s="6">
        <f aca="true" t="shared" si="112" ref="G820:G821">G821</f>
        <v>28</v>
      </c>
    </row>
    <row r="821" spans="1:7" ht="31.5">
      <c r="A821" s="25" t="s">
        <v>148</v>
      </c>
      <c r="B821" s="20" t="s">
        <v>898</v>
      </c>
      <c r="C821" s="41" t="s">
        <v>135</v>
      </c>
      <c r="D821" s="41" t="s">
        <v>157</v>
      </c>
      <c r="E821" s="2">
        <v>200</v>
      </c>
      <c r="F821" s="2"/>
      <c r="G821" s="6">
        <f t="shared" si="112"/>
        <v>28</v>
      </c>
    </row>
    <row r="822" spans="1:7" ht="31.5">
      <c r="A822" s="25" t="s">
        <v>150</v>
      </c>
      <c r="B822" s="20" t="s">
        <v>898</v>
      </c>
      <c r="C822" s="41" t="s">
        <v>135</v>
      </c>
      <c r="D822" s="41" t="s">
        <v>157</v>
      </c>
      <c r="E822" s="2">
        <v>240</v>
      </c>
      <c r="F822" s="2"/>
      <c r="G822" s="6">
        <f>'Пр.6 ведом.20'!G106</f>
        <v>28</v>
      </c>
    </row>
    <row r="823" spans="1:7" s="252" customFormat="1" ht="15.75">
      <c r="A823" s="30" t="s">
        <v>165</v>
      </c>
      <c r="B823" s="20" t="s">
        <v>898</v>
      </c>
      <c r="C823" s="41" t="s">
        <v>135</v>
      </c>
      <c r="D823" s="41" t="s">
        <v>157</v>
      </c>
      <c r="E823" s="2">
        <v>240</v>
      </c>
      <c r="F823" s="2">
        <v>902</v>
      </c>
      <c r="G823" s="6">
        <f>G822</f>
        <v>28</v>
      </c>
    </row>
    <row r="824" spans="1:7" s="252" customFormat="1" ht="31.5">
      <c r="A824" s="107" t="s">
        <v>801</v>
      </c>
      <c r="B824" s="20" t="s">
        <v>898</v>
      </c>
      <c r="C824" s="41" t="s">
        <v>135</v>
      </c>
      <c r="D824" s="41" t="s">
        <v>157</v>
      </c>
      <c r="E824" s="2"/>
      <c r="F824" s="2"/>
      <c r="G824" s="6">
        <f>G825</f>
        <v>5</v>
      </c>
    </row>
    <row r="825" spans="1:7" s="252" customFormat="1" ht="31.5">
      <c r="A825" s="25" t="s">
        <v>148</v>
      </c>
      <c r="B825" s="20" t="s">
        <v>898</v>
      </c>
      <c r="C825" s="41" t="s">
        <v>135</v>
      </c>
      <c r="D825" s="41" t="s">
        <v>157</v>
      </c>
      <c r="E825" s="2">
        <v>200</v>
      </c>
      <c r="F825" s="2"/>
      <c r="G825" s="6">
        <f>G826</f>
        <v>5</v>
      </c>
    </row>
    <row r="826" spans="1:7" s="252" customFormat="1" ht="31.5">
      <c r="A826" s="25" t="s">
        <v>150</v>
      </c>
      <c r="B826" s="20" t="s">
        <v>898</v>
      </c>
      <c r="C826" s="41" t="s">
        <v>135</v>
      </c>
      <c r="D826" s="41" t="s">
        <v>157</v>
      </c>
      <c r="E826" s="2">
        <v>240</v>
      </c>
      <c r="F826" s="2"/>
      <c r="G826" s="6">
        <f>'Пр.6 ведом.20'!G231</f>
        <v>5</v>
      </c>
    </row>
    <row r="827" spans="1:7" s="252" customFormat="1" ht="47.25">
      <c r="A827" s="25" t="s">
        <v>278</v>
      </c>
      <c r="B827" s="20" t="s">
        <v>898</v>
      </c>
      <c r="C827" s="41" t="s">
        <v>135</v>
      </c>
      <c r="D827" s="41" t="s">
        <v>157</v>
      </c>
      <c r="E827" s="2">
        <v>240</v>
      </c>
      <c r="F827" s="2">
        <v>903</v>
      </c>
      <c r="G827" s="6">
        <f>G826</f>
        <v>5</v>
      </c>
    </row>
    <row r="828" spans="1:7" s="252" customFormat="1" ht="47.25">
      <c r="A828" s="42" t="s">
        <v>954</v>
      </c>
      <c r="B828" s="24" t="s">
        <v>952</v>
      </c>
      <c r="C828" s="41"/>
      <c r="D828" s="41"/>
      <c r="E828" s="2"/>
      <c r="F828" s="2"/>
      <c r="G828" s="4">
        <f>G829+G849+G855+G861</f>
        <v>3247.6</v>
      </c>
    </row>
    <row r="829" spans="1:7" s="252" customFormat="1" ht="15.75">
      <c r="A829" s="30" t="s">
        <v>280</v>
      </c>
      <c r="B829" s="20" t="s">
        <v>952</v>
      </c>
      <c r="C829" s="41" t="s">
        <v>281</v>
      </c>
      <c r="D829" s="41"/>
      <c r="E829" s="2"/>
      <c r="F829" s="2"/>
      <c r="G829" s="6">
        <f>G830+G836+G840</f>
        <v>1709.3</v>
      </c>
    </row>
    <row r="830" spans="1:7" s="252" customFormat="1" ht="15.75">
      <c r="A830" s="30" t="s">
        <v>421</v>
      </c>
      <c r="B830" s="20" t="s">
        <v>952</v>
      </c>
      <c r="C830" s="41" t="s">
        <v>281</v>
      </c>
      <c r="D830" s="41" t="s">
        <v>135</v>
      </c>
      <c r="E830" s="2"/>
      <c r="F830" s="2"/>
      <c r="G830" s="6">
        <f>G831</f>
        <v>464.3</v>
      </c>
    </row>
    <row r="831" spans="1:7" s="252" customFormat="1" ht="47.25">
      <c r="A831" s="46" t="s">
        <v>805</v>
      </c>
      <c r="B831" s="20" t="s">
        <v>1035</v>
      </c>
      <c r="C831" s="41" t="s">
        <v>281</v>
      </c>
      <c r="D831" s="41" t="s">
        <v>135</v>
      </c>
      <c r="E831" s="2"/>
      <c r="F831" s="2"/>
      <c r="G831" s="6">
        <f>G832</f>
        <v>464.3</v>
      </c>
    </row>
    <row r="832" spans="1:7" s="252" customFormat="1" ht="31.5">
      <c r="A832" s="30" t="s">
        <v>289</v>
      </c>
      <c r="B832" s="20" t="s">
        <v>1035</v>
      </c>
      <c r="C832" s="41" t="s">
        <v>281</v>
      </c>
      <c r="D832" s="41" t="s">
        <v>135</v>
      </c>
      <c r="E832" s="2">
        <v>600</v>
      </c>
      <c r="F832" s="2"/>
      <c r="G832" s="6">
        <f>G833</f>
        <v>464.3</v>
      </c>
    </row>
    <row r="833" spans="1:7" s="252" customFormat="1" ht="15.75">
      <c r="A833" s="208" t="s">
        <v>291</v>
      </c>
      <c r="B833" s="20" t="s">
        <v>1035</v>
      </c>
      <c r="C833" s="41" t="s">
        <v>281</v>
      </c>
      <c r="D833" s="41" t="s">
        <v>135</v>
      </c>
      <c r="E833" s="2">
        <v>610</v>
      </c>
      <c r="F833" s="2"/>
      <c r="G833" s="6">
        <f>'Пр.6 ведом.20'!G558</f>
        <v>464.3</v>
      </c>
    </row>
    <row r="834" spans="1:7" s="252" customFormat="1" ht="31.5">
      <c r="A834" s="46" t="s">
        <v>420</v>
      </c>
      <c r="B834" s="20" t="s">
        <v>1035</v>
      </c>
      <c r="C834" s="41" t="s">
        <v>281</v>
      </c>
      <c r="D834" s="41" t="s">
        <v>135</v>
      </c>
      <c r="E834" s="2">
        <v>610</v>
      </c>
      <c r="F834" s="2">
        <v>906</v>
      </c>
      <c r="G834" s="6">
        <f>G833</f>
        <v>464.3</v>
      </c>
    </row>
    <row r="835" spans="1:7" s="252" customFormat="1" ht="15.75">
      <c r="A835" s="46" t="s">
        <v>442</v>
      </c>
      <c r="B835" s="20" t="s">
        <v>952</v>
      </c>
      <c r="C835" s="41" t="s">
        <v>281</v>
      </c>
      <c r="D835" s="41" t="s">
        <v>230</v>
      </c>
      <c r="E835" s="2"/>
      <c r="F835" s="2"/>
      <c r="G835" s="6">
        <f>G836</f>
        <v>723.3</v>
      </c>
    </row>
    <row r="836" spans="1:7" s="252" customFormat="1" ht="47.25">
      <c r="A836" s="46" t="s">
        <v>805</v>
      </c>
      <c r="B836" s="20" t="s">
        <v>1035</v>
      </c>
      <c r="C836" s="41" t="s">
        <v>281</v>
      </c>
      <c r="D836" s="41" t="s">
        <v>230</v>
      </c>
      <c r="E836" s="2"/>
      <c r="F836" s="2"/>
      <c r="G836" s="6">
        <f>G837</f>
        <v>723.3</v>
      </c>
    </row>
    <row r="837" spans="1:7" s="252" customFormat="1" ht="31.5">
      <c r="A837" s="30" t="s">
        <v>289</v>
      </c>
      <c r="B837" s="20" t="s">
        <v>1035</v>
      </c>
      <c r="C837" s="41" t="s">
        <v>281</v>
      </c>
      <c r="D837" s="41" t="s">
        <v>230</v>
      </c>
      <c r="E837" s="2">
        <v>600</v>
      </c>
      <c r="F837" s="2"/>
      <c r="G837" s="6">
        <f>G838</f>
        <v>723.3</v>
      </c>
    </row>
    <row r="838" spans="1:7" s="252" customFormat="1" ht="15.75">
      <c r="A838" s="208" t="s">
        <v>291</v>
      </c>
      <c r="B838" s="20" t="s">
        <v>1035</v>
      </c>
      <c r="C838" s="41" t="s">
        <v>281</v>
      </c>
      <c r="D838" s="41" t="s">
        <v>230</v>
      </c>
      <c r="E838" s="2">
        <v>610</v>
      </c>
      <c r="F838" s="2"/>
      <c r="G838" s="6">
        <f>'Пр.6 ведом.20'!G636</f>
        <v>723.3</v>
      </c>
    </row>
    <row r="839" spans="1:7" s="252" customFormat="1" ht="31.5">
      <c r="A839" s="46" t="s">
        <v>420</v>
      </c>
      <c r="B839" s="20" t="s">
        <v>1035</v>
      </c>
      <c r="C839" s="41" t="s">
        <v>281</v>
      </c>
      <c r="D839" s="41" t="s">
        <v>230</v>
      </c>
      <c r="E839" s="2">
        <v>610</v>
      </c>
      <c r="F839" s="2">
        <v>906</v>
      </c>
      <c r="G839" s="6">
        <f>G838</f>
        <v>723.3</v>
      </c>
    </row>
    <row r="840" spans="1:7" s="252" customFormat="1" ht="15.75">
      <c r="A840" s="46" t="s">
        <v>282</v>
      </c>
      <c r="B840" s="20" t="s">
        <v>952</v>
      </c>
      <c r="C840" s="41" t="s">
        <v>281</v>
      </c>
      <c r="D840" s="41" t="s">
        <v>232</v>
      </c>
      <c r="E840" s="2"/>
      <c r="F840" s="2"/>
      <c r="G840" s="6">
        <f>G841+G845</f>
        <v>521.7</v>
      </c>
    </row>
    <row r="841" spans="1:7" s="252" customFormat="1" ht="47.25">
      <c r="A841" s="46" t="s">
        <v>805</v>
      </c>
      <c r="B841" s="20" t="s">
        <v>1035</v>
      </c>
      <c r="C841" s="41" t="s">
        <v>281</v>
      </c>
      <c r="D841" s="41" t="s">
        <v>232</v>
      </c>
      <c r="E841" s="2"/>
      <c r="F841" s="2"/>
      <c r="G841" s="6">
        <f>G842</f>
        <v>300.7</v>
      </c>
    </row>
    <row r="842" spans="1:7" s="252" customFormat="1" ht="31.5">
      <c r="A842" s="30" t="s">
        <v>289</v>
      </c>
      <c r="B842" s="20" t="s">
        <v>1035</v>
      </c>
      <c r="C842" s="41" t="s">
        <v>281</v>
      </c>
      <c r="D842" s="41" t="s">
        <v>232</v>
      </c>
      <c r="E842" s="2">
        <v>600</v>
      </c>
      <c r="F842" s="2"/>
      <c r="G842" s="6">
        <f>G843</f>
        <v>300.7</v>
      </c>
    </row>
    <row r="843" spans="1:7" s="252" customFormat="1" ht="15.75">
      <c r="A843" s="208" t="s">
        <v>291</v>
      </c>
      <c r="B843" s="20" t="s">
        <v>1035</v>
      </c>
      <c r="C843" s="41" t="s">
        <v>281</v>
      </c>
      <c r="D843" s="41" t="s">
        <v>232</v>
      </c>
      <c r="E843" s="2">
        <v>610</v>
      </c>
      <c r="F843" s="2"/>
      <c r="G843" s="6">
        <f>'Пр.6 ведом.20'!G667</f>
        <v>300.7</v>
      </c>
    </row>
    <row r="844" spans="1:7" s="252" customFormat="1" ht="31.5">
      <c r="A844" s="46" t="s">
        <v>420</v>
      </c>
      <c r="B844" s="20" t="s">
        <v>1035</v>
      </c>
      <c r="C844" s="41" t="s">
        <v>281</v>
      </c>
      <c r="D844" s="41" t="s">
        <v>232</v>
      </c>
      <c r="E844" s="2">
        <v>610</v>
      </c>
      <c r="F844" s="2">
        <v>906</v>
      </c>
      <c r="G844" s="6">
        <f>G843</f>
        <v>300.7</v>
      </c>
    </row>
    <row r="845" spans="1:7" s="252" customFormat="1" ht="31.5">
      <c r="A845" s="107" t="s">
        <v>1166</v>
      </c>
      <c r="B845" s="20" t="s">
        <v>953</v>
      </c>
      <c r="C845" s="41" t="s">
        <v>281</v>
      </c>
      <c r="D845" s="41" t="s">
        <v>232</v>
      </c>
      <c r="E845" s="2"/>
      <c r="F845" s="2"/>
      <c r="G845" s="6">
        <f>G846</f>
        <v>221</v>
      </c>
    </row>
    <row r="846" spans="1:7" s="252" customFormat="1" ht="31.5">
      <c r="A846" s="25" t="s">
        <v>148</v>
      </c>
      <c r="B846" s="20" t="s">
        <v>953</v>
      </c>
      <c r="C846" s="41" t="s">
        <v>281</v>
      </c>
      <c r="D846" s="41" t="s">
        <v>232</v>
      </c>
      <c r="E846" s="2">
        <v>200</v>
      </c>
      <c r="F846" s="2"/>
      <c r="G846" s="6">
        <f>G847</f>
        <v>221</v>
      </c>
    </row>
    <row r="847" spans="1:7" s="252" customFormat="1" ht="31.5">
      <c r="A847" s="25" t="s">
        <v>150</v>
      </c>
      <c r="B847" s="20" t="s">
        <v>953</v>
      </c>
      <c r="C847" s="41" t="s">
        <v>281</v>
      </c>
      <c r="D847" s="41" t="s">
        <v>232</v>
      </c>
      <c r="E847" s="2">
        <v>240</v>
      </c>
      <c r="F847" s="2"/>
      <c r="G847" s="6">
        <f>'Пр.6 ведом.20'!G301</f>
        <v>221</v>
      </c>
    </row>
    <row r="848" spans="1:7" s="252" customFormat="1" ht="47.25">
      <c r="A848" s="25" t="s">
        <v>278</v>
      </c>
      <c r="B848" s="20" t="s">
        <v>953</v>
      </c>
      <c r="C848" s="41" t="s">
        <v>281</v>
      </c>
      <c r="D848" s="41" t="s">
        <v>232</v>
      </c>
      <c r="E848" s="2">
        <v>240</v>
      </c>
      <c r="F848" s="2">
        <v>903</v>
      </c>
      <c r="G848" s="6">
        <f>G847</f>
        <v>221</v>
      </c>
    </row>
    <row r="849" spans="1:7" s="252" customFormat="1" ht="15.75">
      <c r="A849" s="25" t="s">
        <v>315</v>
      </c>
      <c r="B849" s="20" t="s">
        <v>952</v>
      </c>
      <c r="C849" s="41" t="s">
        <v>316</v>
      </c>
      <c r="D849" s="41"/>
      <c r="E849" s="2"/>
      <c r="F849" s="2"/>
      <c r="G849" s="6">
        <f>G850</f>
        <v>793.2</v>
      </c>
    </row>
    <row r="850" spans="1:7" s="252" customFormat="1" ht="15.75">
      <c r="A850" s="25" t="s">
        <v>317</v>
      </c>
      <c r="B850" s="20" t="s">
        <v>952</v>
      </c>
      <c r="C850" s="41" t="s">
        <v>316</v>
      </c>
      <c r="D850" s="41" t="s">
        <v>135</v>
      </c>
      <c r="E850" s="2"/>
      <c r="F850" s="2"/>
      <c r="G850" s="6">
        <f>G851</f>
        <v>793.2</v>
      </c>
    </row>
    <row r="851" spans="1:7" s="252" customFormat="1" ht="31.5">
      <c r="A851" s="46" t="s">
        <v>803</v>
      </c>
      <c r="B851" s="20" t="s">
        <v>953</v>
      </c>
      <c r="C851" s="41" t="s">
        <v>316</v>
      </c>
      <c r="D851" s="41" t="s">
        <v>135</v>
      </c>
      <c r="E851" s="2"/>
      <c r="F851" s="2"/>
      <c r="G851" s="6">
        <f>G852</f>
        <v>793.2</v>
      </c>
    </row>
    <row r="852" spans="1:7" s="252" customFormat="1" ht="31.5">
      <c r="A852" s="25" t="s">
        <v>148</v>
      </c>
      <c r="B852" s="20" t="s">
        <v>953</v>
      </c>
      <c r="C852" s="41" t="s">
        <v>316</v>
      </c>
      <c r="D852" s="41" t="s">
        <v>135</v>
      </c>
      <c r="E852" s="2">
        <v>200</v>
      </c>
      <c r="F852" s="2"/>
      <c r="G852" s="6">
        <f>G853</f>
        <v>793.2</v>
      </c>
    </row>
    <row r="853" spans="1:7" s="252" customFormat="1" ht="31.5">
      <c r="A853" s="25" t="s">
        <v>150</v>
      </c>
      <c r="B853" s="20" t="s">
        <v>953</v>
      </c>
      <c r="C853" s="41" t="s">
        <v>316</v>
      </c>
      <c r="D853" s="41" t="s">
        <v>135</v>
      </c>
      <c r="E853" s="2">
        <v>240</v>
      </c>
      <c r="F853" s="2"/>
      <c r="G853" s="6">
        <f>'Пр.6 ведом.20'!G388</f>
        <v>793.2</v>
      </c>
    </row>
    <row r="854" spans="1:7" s="252" customFormat="1" ht="47.25">
      <c r="A854" s="25" t="s">
        <v>278</v>
      </c>
      <c r="B854" s="20" t="s">
        <v>953</v>
      </c>
      <c r="C854" s="41" t="s">
        <v>316</v>
      </c>
      <c r="D854" s="41" t="s">
        <v>135</v>
      </c>
      <c r="E854" s="2">
        <v>240</v>
      </c>
      <c r="F854" s="2">
        <v>903</v>
      </c>
      <c r="G854" s="6">
        <f>G853</f>
        <v>793.2</v>
      </c>
    </row>
    <row r="855" spans="1:7" s="252" customFormat="1" ht="15.75">
      <c r="A855" s="25" t="s">
        <v>507</v>
      </c>
      <c r="B855" s="20" t="s">
        <v>952</v>
      </c>
      <c r="C855" s="41" t="s">
        <v>508</v>
      </c>
      <c r="D855" s="41"/>
      <c r="E855" s="2"/>
      <c r="F855" s="2"/>
      <c r="G855" s="6">
        <f>G856</f>
        <v>540.1</v>
      </c>
    </row>
    <row r="856" spans="1:7" s="252" customFormat="1" ht="15.75">
      <c r="A856" s="25" t="s">
        <v>1288</v>
      </c>
      <c r="B856" s="20" t="s">
        <v>952</v>
      </c>
      <c r="C856" s="41" t="s">
        <v>508</v>
      </c>
      <c r="D856" s="41" t="s">
        <v>135</v>
      </c>
      <c r="E856" s="2"/>
      <c r="F856" s="2"/>
      <c r="G856" s="6">
        <f>G857</f>
        <v>540.1</v>
      </c>
    </row>
    <row r="857" spans="1:7" s="252" customFormat="1" ht="47.25">
      <c r="A857" s="46" t="s">
        <v>805</v>
      </c>
      <c r="B857" s="20" t="s">
        <v>1035</v>
      </c>
      <c r="C857" s="41" t="s">
        <v>508</v>
      </c>
      <c r="D857" s="41" t="s">
        <v>135</v>
      </c>
      <c r="E857" s="2"/>
      <c r="F857" s="2"/>
      <c r="G857" s="6">
        <f>G858</f>
        <v>540.1</v>
      </c>
    </row>
    <row r="858" spans="1:7" s="252" customFormat="1" ht="31.5">
      <c r="A858" s="30" t="s">
        <v>289</v>
      </c>
      <c r="B858" s="20" t="s">
        <v>1035</v>
      </c>
      <c r="C858" s="41" t="s">
        <v>508</v>
      </c>
      <c r="D858" s="41" t="s">
        <v>135</v>
      </c>
      <c r="E858" s="2">
        <v>600</v>
      </c>
      <c r="F858" s="2"/>
      <c r="G858" s="6">
        <f>G859</f>
        <v>540.1</v>
      </c>
    </row>
    <row r="859" spans="1:7" s="252" customFormat="1" ht="15.75">
      <c r="A859" s="208" t="s">
        <v>291</v>
      </c>
      <c r="B859" s="20" t="s">
        <v>1035</v>
      </c>
      <c r="C859" s="41" t="s">
        <v>508</v>
      </c>
      <c r="D859" s="41" t="s">
        <v>135</v>
      </c>
      <c r="E859" s="2">
        <v>610</v>
      </c>
      <c r="F859" s="2"/>
      <c r="G859" s="6">
        <f>'Пр.6 ведом.20'!G752</f>
        <v>540.1</v>
      </c>
    </row>
    <row r="860" spans="1:7" s="252" customFormat="1" ht="31.5">
      <c r="A860" s="46" t="s">
        <v>497</v>
      </c>
      <c r="B860" s="20" t="s">
        <v>1035</v>
      </c>
      <c r="C860" s="41" t="s">
        <v>508</v>
      </c>
      <c r="D860" s="41" t="s">
        <v>135</v>
      </c>
      <c r="E860" s="2">
        <v>610</v>
      </c>
      <c r="F860" s="2">
        <v>907</v>
      </c>
      <c r="G860" s="6">
        <f>G859</f>
        <v>540.1</v>
      </c>
    </row>
    <row r="861" spans="1:7" s="252" customFormat="1" ht="15.75">
      <c r="A861" s="30" t="s">
        <v>599</v>
      </c>
      <c r="B861" s="20" t="s">
        <v>952</v>
      </c>
      <c r="C861" s="41" t="s">
        <v>255</v>
      </c>
      <c r="D861" s="41"/>
      <c r="E861" s="2"/>
      <c r="F861" s="2"/>
      <c r="G861" s="6">
        <f>G862</f>
        <v>205</v>
      </c>
    </row>
    <row r="862" spans="1:7" s="252" customFormat="1" ht="15.75">
      <c r="A862" s="30" t="s">
        <v>600</v>
      </c>
      <c r="B862" s="20" t="s">
        <v>952</v>
      </c>
      <c r="C862" s="41" t="s">
        <v>255</v>
      </c>
      <c r="D862" s="41" t="s">
        <v>230</v>
      </c>
      <c r="E862" s="2"/>
      <c r="F862" s="2"/>
      <c r="G862" s="6">
        <f>G863</f>
        <v>205</v>
      </c>
    </row>
    <row r="863" spans="1:7" s="252" customFormat="1" ht="31.5">
      <c r="A863" s="46" t="s">
        <v>803</v>
      </c>
      <c r="B863" s="20" t="s">
        <v>953</v>
      </c>
      <c r="C863" s="41" t="s">
        <v>255</v>
      </c>
      <c r="D863" s="41" t="s">
        <v>230</v>
      </c>
      <c r="E863" s="2"/>
      <c r="F863" s="2"/>
      <c r="G863" s="6">
        <f>G864</f>
        <v>205</v>
      </c>
    </row>
    <row r="864" spans="1:7" s="252" customFormat="1" ht="31.5">
      <c r="A864" s="25" t="s">
        <v>148</v>
      </c>
      <c r="B864" s="20" t="s">
        <v>953</v>
      </c>
      <c r="C864" s="41" t="s">
        <v>255</v>
      </c>
      <c r="D864" s="41" t="s">
        <v>230</v>
      </c>
      <c r="E864" s="2">
        <v>200</v>
      </c>
      <c r="F864" s="2"/>
      <c r="G864" s="6">
        <f>G865</f>
        <v>205</v>
      </c>
    </row>
    <row r="865" spans="1:7" s="252" customFormat="1" ht="31.5">
      <c r="A865" s="25" t="s">
        <v>150</v>
      </c>
      <c r="B865" s="20" t="s">
        <v>953</v>
      </c>
      <c r="C865" s="41" t="s">
        <v>255</v>
      </c>
      <c r="D865" s="41" t="s">
        <v>230</v>
      </c>
      <c r="E865" s="2">
        <v>240</v>
      </c>
      <c r="F865" s="2"/>
      <c r="G865" s="6">
        <f>'Пр.6 ведом.20'!G1051</f>
        <v>205</v>
      </c>
    </row>
    <row r="866" spans="1:7" s="252" customFormat="1" ht="15.75">
      <c r="A866" s="46" t="s">
        <v>598</v>
      </c>
      <c r="B866" s="20" t="s">
        <v>953</v>
      </c>
      <c r="C866" s="41" t="s">
        <v>255</v>
      </c>
      <c r="D866" s="41" t="s">
        <v>230</v>
      </c>
      <c r="E866" s="2">
        <v>240</v>
      </c>
      <c r="F866" s="2">
        <v>913</v>
      </c>
      <c r="G866" s="6">
        <f>G863</f>
        <v>205</v>
      </c>
    </row>
    <row r="867" spans="1:7" s="252" customFormat="1" ht="31.5">
      <c r="A867" s="312" t="s">
        <v>1199</v>
      </c>
      <c r="B867" s="24" t="s">
        <v>904</v>
      </c>
      <c r="C867" s="7"/>
      <c r="D867" s="7"/>
      <c r="E867" s="3"/>
      <c r="F867" s="3"/>
      <c r="G867" s="4">
        <f>G868</f>
        <v>15</v>
      </c>
    </row>
    <row r="868" spans="1:7" s="252" customFormat="1" ht="15.75">
      <c r="A868" s="329" t="s">
        <v>134</v>
      </c>
      <c r="B868" s="20" t="s">
        <v>904</v>
      </c>
      <c r="C868" s="41" t="s">
        <v>135</v>
      </c>
      <c r="D868" s="41"/>
      <c r="E868" s="2"/>
      <c r="F868" s="2"/>
      <c r="G868" s="6">
        <f>G869</f>
        <v>15</v>
      </c>
    </row>
    <row r="869" spans="1:7" s="252" customFormat="1" ht="15.75">
      <c r="A869" s="329" t="s">
        <v>156</v>
      </c>
      <c r="B869" s="20" t="s">
        <v>904</v>
      </c>
      <c r="C869" s="41" t="s">
        <v>135</v>
      </c>
      <c r="D869" s="41" t="s">
        <v>157</v>
      </c>
      <c r="E869" s="2"/>
      <c r="F869" s="2"/>
      <c r="G869" s="6">
        <f>G870</f>
        <v>15</v>
      </c>
    </row>
    <row r="870" spans="1:7" ht="47.25">
      <c r="A870" s="391" t="s">
        <v>1167</v>
      </c>
      <c r="B870" s="20" t="s">
        <v>899</v>
      </c>
      <c r="C870" s="41" t="s">
        <v>135</v>
      </c>
      <c r="D870" s="41" t="s">
        <v>157</v>
      </c>
      <c r="E870" s="2"/>
      <c r="F870" s="2"/>
      <c r="G870" s="6">
        <f aca="true" t="shared" si="113" ref="G870:G871">G871</f>
        <v>15</v>
      </c>
    </row>
    <row r="871" spans="1:7" ht="31.5">
      <c r="A871" s="25" t="s">
        <v>148</v>
      </c>
      <c r="B871" s="20" t="s">
        <v>899</v>
      </c>
      <c r="C871" s="41" t="s">
        <v>135</v>
      </c>
      <c r="D871" s="41" t="s">
        <v>157</v>
      </c>
      <c r="E871" s="2">
        <v>200</v>
      </c>
      <c r="F871" s="2"/>
      <c r="G871" s="6">
        <f t="shared" si="113"/>
        <v>15</v>
      </c>
    </row>
    <row r="872" spans="1:7" ht="31.5">
      <c r="A872" s="25" t="s">
        <v>150</v>
      </c>
      <c r="B872" s="20" t="s">
        <v>899</v>
      </c>
      <c r="C872" s="41" t="s">
        <v>135</v>
      </c>
      <c r="D872" s="41" t="s">
        <v>157</v>
      </c>
      <c r="E872" s="2">
        <v>240</v>
      </c>
      <c r="F872" s="2"/>
      <c r="G872" s="6">
        <f>'Пр.6 ведом.20'!G110</f>
        <v>15</v>
      </c>
    </row>
    <row r="873" spans="1:7" ht="15.75">
      <c r="A873" s="30" t="s">
        <v>165</v>
      </c>
      <c r="B873" s="20" t="s">
        <v>899</v>
      </c>
      <c r="C873" s="41" t="s">
        <v>135</v>
      </c>
      <c r="D873" s="41" t="s">
        <v>157</v>
      </c>
      <c r="E873" s="2">
        <v>240</v>
      </c>
      <c r="F873" s="2">
        <v>902</v>
      </c>
      <c r="G873" s="6">
        <f>G872</f>
        <v>15</v>
      </c>
    </row>
    <row r="874" spans="1:7" ht="63">
      <c r="A874" s="23" t="s">
        <v>824</v>
      </c>
      <c r="B874" s="24" t="s">
        <v>736</v>
      </c>
      <c r="C874" s="7"/>
      <c r="D874" s="7"/>
      <c r="E874" s="3"/>
      <c r="F874" s="3"/>
      <c r="G874" s="4">
        <f>G875</f>
        <v>500</v>
      </c>
    </row>
    <row r="875" spans="1:7" s="252" customFormat="1" ht="31.5">
      <c r="A875" s="23" t="s">
        <v>1262</v>
      </c>
      <c r="B875" s="24" t="s">
        <v>1311</v>
      </c>
      <c r="C875" s="7"/>
      <c r="D875" s="7"/>
      <c r="E875" s="3"/>
      <c r="F875" s="3"/>
      <c r="G875" s="4">
        <f>G876</f>
        <v>500</v>
      </c>
    </row>
    <row r="876" spans="1:7" ht="15.75">
      <c r="A876" s="25" t="s">
        <v>407</v>
      </c>
      <c r="B876" s="20" t="s">
        <v>885</v>
      </c>
      <c r="C876" s="41" t="s">
        <v>251</v>
      </c>
      <c r="D876" s="41"/>
      <c r="E876" s="2"/>
      <c r="F876" s="2"/>
      <c r="G876" s="6">
        <f aca="true" t="shared" si="114" ref="G876:G879">G877</f>
        <v>500</v>
      </c>
    </row>
    <row r="877" spans="1:7" ht="15.75">
      <c r="A877" s="25" t="s">
        <v>558</v>
      </c>
      <c r="B877" s="20" t="s">
        <v>885</v>
      </c>
      <c r="C877" s="41" t="s">
        <v>251</v>
      </c>
      <c r="D877" s="41" t="s">
        <v>232</v>
      </c>
      <c r="E877" s="2"/>
      <c r="F877" s="2"/>
      <c r="G877" s="6">
        <f t="shared" si="114"/>
        <v>500</v>
      </c>
    </row>
    <row r="878" spans="1:7" ht="47.25">
      <c r="A878" s="86" t="s">
        <v>711</v>
      </c>
      <c r="B878" s="20" t="s">
        <v>885</v>
      </c>
      <c r="C878" s="41" t="s">
        <v>251</v>
      </c>
      <c r="D878" s="41" t="s">
        <v>232</v>
      </c>
      <c r="E878" s="2"/>
      <c r="F878" s="2"/>
      <c r="G878" s="6">
        <f t="shared" si="114"/>
        <v>500</v>
      </c>
    </row>
    <row r="879" spans="1:7" ht="31.5">
      <c r="A879" s="25" t="s">
        <v>148</v>
      </c>
      <c r="B879" s="20" t="s">
        <v>885</v>
      </c>
      <c r="C879" s="41" t="s">
        <v>251</v>
      </c>
      <c r="D879" s="41" t="s">
        <v>232</v>
      </c>
      <c r="E879" s="2">
        <v>200</v>
      </c>
      <c r="F879" s="2"/>
      <c r="G879" s="6">
        <f t="shared" si="114"/>
        <v>500</v>
      </c>
    </row>
    <row r="880" spans="1:7" ht="31.5">
      <c r="A880" s="25" t="s">
        <v>150</v>
      </c>
      <c r="B880" s="20" t="s">
        <v>885</v>
      </c>
      <c r="C880" s="41" t="s">
        <v>251</v>
      </c>
      <c r="D880" s="41" t="s">
        <v>232</v>
      </c>
      <c r="E880" s="2">
        <v>240</v>
      </c>
      <c r="F880" s="2"/>
      <c r="G880" s="6">
        <f>'Пр.6 ведом.20'!G945</f>
        <v>500</v>
      </c>
    </row>
    <row r="881" spans="1:7" ht="31.5">
      <c r="A881" s="46" t="s">
        <v>641</v>
      </c>
      <c r="B881" s="20" t="s">
        <v>885</v>
      </c>
      <c r="C881" s="41" t="s">
        <v>251</v>
      </c>
      <c r="D881" s="41" t="s">
        <v>232</v>
      </c>
      <c r="E881" s="2">
        <v>240</v>
      </c>
      <c r="F881" s="2">
        <v>908</v>
      </c>
      <c r="G881" s="6">
        <f aca="true" t="shared" si="115" ref="G881">G874</f>
        <v>500</v>
      </c>
    </row>
    <row r="882" spans="1:7" s="215" customFormat="1" ht="63">
      <c r="A882" s="60" t="s">
        <v>1191</v>
      </c>
      <c r="B882" s="24" t="s">
        <v>808</v>
      </c>
      <c r="C882" s="7"/>
      <c r="D882" s="7"/>
      <c r="E882" s="3"/>
      <c r="F882" s="3"/>
      <c r="G882" s="4">
        <f>G884</f>
        <v>239.82</v>
      </c>
    </row>
    <row r="883" spans="1:7" s="215" customFormat="1" ht="31.5">
      <c r="A883" s="23" t="s">
        <v>1010</v>
      </c>
      <c r="B883" s="24" t="s">
        <v>1193</v>
      </c>
      <c r="C883" s="7"/>
      <c r="D883" s="7"/>
      <c r="E883" s="3"/>
      <c r="F883" s="3"/>
      <c r="G883" s="4">
        <f>G884</f>
        <v>239.82</v>
      </c>
    </row>
    <row r="884" spans="1:7" ht="15.75">
      <c r="A884" s="46" t="s">
        <v>134</v>
      </c>
      <c r="B884" s="20" t="s">
        <v>1193</v>
      </c>
      <c r="C884" s="41" t="s">
        <v>135</v>
      </c>
      <c r="D884" s="41"/>
      <c r="E884" s="2"/>
      <c r="F884" s="2"/>
      <c r="G884" s="6">
        <f>G885</f>
        <v>239.82</v>
      </c>
    </row>
    <row r="885" spans="1:7" ht="15.75">
      <c r="A885" s="46" t="s">
        <v>156</v>
      </c>
      <c r="B885" s="20" t="s">
        <v>1193</v>
      </c>
      <c r="C885" s="41" t="s">
        <v>135</v>
      </c>
      <c r="D885" s="41" t="s">
        <v>157</v>
      </c>
      <c r="E885" s="2"/>
      <c r="F885" s="2"/>
      <c r="G885" s="6">
        <f>G886</f>
        <v>239.82</v>
      </c>
    </row>
    <row r="886" spans="1:7" ht="31.5">
      <c r="A886" s="46" t="s">
        <v>818</v>
      </c>
      <c r="B886" s="20" t="s">
        <v>1194</v>
      </c>
      <c r="C886" s="41" t="s">
        <v>135</v>
      </c>
      <c r="D886" s="41" t="s">
        <v>157</v>
      </c>
      <c r="E886" s="2"/>
      <c r="F886" s="2"/>
      <c r="G886" s="6">
        <f>G887</f>
        <v>239.82</v>
      </c>
    </row>
    <row r="887" spans="1:7" ht="31.5">
      <c r="A887" s="46" t="s">
        <v>148</v>
      </c>
      <c r="B887" s="20" t="s">
        <v>1194</v>
      </c>
      <c r="C887" s="41" t="s">
        <v>135</v>
      </c>
      <c r="D887" s="41" t="s">
        <v>157</v>
      </c>
      <c r="E887" s="2">
        <v>200</v>
      </c>
      <c r="F887" s="2"/>
      <c r="G887" s="6">
        <f>G888</f>
        <v>239.82</v>
      </c>
    </row>
    <row r="888" spans="1:7" ht="31.5">
      <c r="A888" s="46" t="s">
        <v>150</v>
      </c>
      <c r="B888" s="20" t="s">
        <v>1194</v>
      </c>
      <c r="C888" s="41" t="s">
        <v>135</v>
      </c>
      <c r="D888" s="41" t="s">
        <v>157</v>
      </c>
      <c r="E888" s="2">
        <v>240</v>
      </c>
      <c r="F888" s="2"/>
      <c r="G888" s="6">
        <f>'Пр.6 ведом.20'!G475</f>
        <v>239.82</v>
      </c>
    </row>
    <row r="889" spans="1:7" ht="31.5">
      <c r="A889" s="46" t="s">
        <v>404</v>
      </c>
      <c r="B889" s="20" t="s">
        <v>1194</v>
      </c>
      <c r="C889" s="41" t="s">
        <v>135</v>
      </c>
      <c r="D889" s="41" t="s">
        <v>157</v>
      </c>
      <c r="E889" s="2">
        <v>240</v>
      </c>
      <c r="F889" s="2">
        <v>905</v>
      </c>
      <c r="G889" s="6">
        <f>G882</f>
        <v>239.82</v>
      </c>
    </row>
    <row r="890" spans="1:7" ht="78.75">
      <c r="A890" s="42" t="s">
        <v>1195</v>
      </c>
      <c r="B890" s="24" t="s">
        <v>865</v>
      </c>
      <c r="C890" s="7"/>
      <c r="D890" s="7"/>
      <c r="E890" s="3"/>
      <c r="F890" s="3"/>
      <c r="G890" s="4">
        <f>G892</f>
        <v>30</v>
      </c>
    </row>
    <row r="891" spans="1:7" s="252" customFormat="1" ht="47.25">
      <c r="A891" s="313" t="s">
        <v>905</v>
      </c>
      <c r="B891" s="24" t="s">
        <v>1279</v>
      </c>
      <c r="C891" s="7"/>
      <c r="D891" s="7"/>
      <c r="E891" s="3"/>
      <c r="F891" s="3"/>
      <c r="G891" s="4">
        <f>G892</f>
        <v>30</v>
      </c>
    </row>
    <row r="892" spans="1:7" ht="15.75">
      <c r="A892" s="46" t="s">
        <v>134</v>
      </c>
      <c r="B892" s="20" t="s">
        <v>1279</v>
      </c>
      <c r="C892" s="41" t="s">
        <v>135</v>
      </c>
      <c r="D892" s="41"/>
      <c r="E892" s="2"/>
      <c r="F892" s="2"/>
      <c r="G892" s="6">
        <f>G893</f>
        <v>30</v>
      </c>
    </row>
    <row r="893" spans="1:7" ht="15.75">
      <c r="A893" s="46" t="s">
        <v>156</v>
      </c>
      <c r="B893" s="20" t="s">
        <v>1279</v>
      </c>
      <c r="C893" s="41" t="s">
        <v>135</v>
      </c>
      <c r="D893" s="41" t="s">
        <v>157</v>
      </c>
      <c r="E893" s="2"/>
      <c r="F893" s="2"/>
      <c r="G893" s="6">
        <f>G894</f>
        <v>30</v>
      </c>
    </row>
    <row r="894" spans="1:7" ht="31.5">
      <c r="A894" s="105" t="s">
        <v>188</v>
      </c>
      <c r="B894" s="20" t="s">
        <v>906</v>
      </c>
      <c r="C894" s="41" t="s">
        <v>135</v>
      </c>
      <c r="D894" s="41" t="s">
        <v>157</v>
      </c>
      <c r="E894" s="2"/>
      <c r="F894" s="2"/>
      <c r="G894" s="6">
        <f>G895</f>
        <v>30</v>
      </c>
    </row>
    <row r="895" spans="1:7" ht="31.5">
      <c r="A895" s="46" t="s">
        <v>148</v>
      </c>
      <c r="B895" s="20" t="s">
        <v>906</v>
      </c>
      <c r="C895" s="41" t="s">
        <v>135</v>
      </c>
      <c r="D895" s="41" t="s">
        <v>157</v>
      </c>
      <c r="E895" s="2">
        <v>200</v>
      </c>
      <c r="F895" s="2"/>
      <c r="G895" s="6">
        <f>G896</f>
        <v>30</v>
      </c>
    </row>
    <row r="896" spans="1:7" ht="31.5">
      <c r="A896" s="46" t="s">
        <v>150</v>
      </c>
      <c r="B896" s="20" t="s">
        <v>906</v>
      </c>
      <c r="C896" s="41" t="s">
        <v>135</v>
      </c>
      <c r="D896" s="41" t="s">
        <v>157</v>
      </c>
      <c r="E896" s="2">
        <v>240</v>
      </c>
      <c r="F896" s="2"/>
      <c r="G896" s="6">
        <f>'Пр.6 ведом.20'!G115</f>
        <v>30</v>
      </c>
    </row>
    <row r="897" spans="1:7" ht="15.75">
      <c r="A897" s="30" t="s">
        <v>165</v>
      </c>
      <c r="B897" s="20" t="s">
        <v>906</v>
      </c>
      <c r="C897" s="41" t="s">
        <v>135</v>
      </c>
      <c r="D897" s="41" t="s">
        <v>157</v>
      </c>
      <c r="E897" s="2">
        <v>240</v>
      </c>
      <c r="F897" s="2">
        <v>902</v>
      </c>
      <c r="G897" s="6">
        <f>G890</f>
        <v>30</v>
      </c>
    </row>
    <row r="898" spans="1:7" ht="63">
      <c r="A898" s="42" t="s">
        <v>1197</v>
      </c>
      <c r="B898" s="24" t="s">
        <v>866</v>
      </c>
      <c r="C898" s="7"/>
      <c r="D898" s="7"/>
      <c r="E898" s="3"/>
      <c r="F898" s="3"/>
      <c r="G898" s="4">
        <f>G900</f>
        <v>80</v>
      </c>
    </row>
    <row r="899" spans="1:7" s="252" customFormat="1" ht="31.5">
      <c r="A899" s="60" t="s">
        <v>907</v>
      </c>
      <c r="B899" s="24" t="s">
        <v>915</v>
      </c>
      <c r="C899" s="7"/>
      <c r="D899" s="7"/>
      <c r="E899" s="3"/>
      <c r="F899" s="3"/>
      <c r="G899" s="4">
        <f>G900</f>
        <v>80</v>
      </c>
    </row>
    <row r="900" spans="1:7" ht="15.75">
      <c r="A900" s="46" t="s">
        <v>134</v>
      </c>
      <c r="B900" s="20" t="s">
        <v>915</v>
      </c>
      <c r="C900" s="41" t="s">
        <v>135</v>
      </c>
      <c r="D900" s="41"/>
      <c r="E900" s="2"/>
      <c r="F900" s="2"/>
      <c r="G900" s="6">
        <f>G901</f>
        <v>80</v>
      </c>
    </row>
    <row r="901" spans="1:7" ht="15.75">
      <c r="A901" s="46" t="s">
        <v>156</v>
      </c>
      <c r="B901" s="20" t="s">
        <v>915</v>
      </c>
      <c r="C901" s="41" t="s">
        <v>135</v>
      </c>
      <c r="D901" s="41" t="s">
        <v>157</v>
      </c>
      <c r="E901" s="2"/>
      <c r="F901" s="2"/>
      <c r="G901" s="6">
        <f>G902</f>
        <v>80</v>
      </c>
    </row>
    <row r="902" spans="1:7" ht="15.75">
      <c r="A902" s="46" t="s">
        <v>192</v>
      </c>
      <c r="B902" s="20" t="s">
        <v>908</v>
      </c>
      <c r="C902" s="41" t="s">
        <v>135</v>
      </c>
      <c r="D902" s="41" t="s">
        <v>157</v>
      </c>
      <c r="E902" s="2"/>
      <c r="F902" s="2"/>
      <c r="G902" s="6">
        <f>G903</f>
        <v>80</v>
      </c>
    </row>
    <row r="903" spans="1:7" ht="31.5">
      <c r="A903" s="46" t="s">
        <v>148</v>
      </c>
      <c r="B903" s="20" t="s">
        <v>908</v>
      </c>
      <c r="C903" s="41" t="s">
        <v>135</v>
      </c>
      <c r="D903" s="41" t="s">
        <v>157</v>
      </c>
      <c r="E903" s="2">
        <v>200</v>
      </c>
      <c r="F903" s="2"/>
      <c r="G903" s="6">
        <f>G904</f>
        <v>80</v>
      </c>
    </row>
    <row r="904" spans="1:7" ht="31.5">
      <c r="A904" s="46" t="s">
        <v>150</v>
      </c>
      <c r="B904" s="20" t="s">
        <v>908</v>
      </c>
      <c r="C904" s="41" t="s">
        <v>135</v>
      </c>
      <c r="D904" s="41" t="s">
        <v>157</v>
      </c>
      <c r="E904" s="2">
        <v>240</v>
      </c>
      <c r="F904" s="2"/>
      <c r="G904" s="6">
        <f>'Пр.6 ведом.20'!G120</f>
        <v>80</v>
      </c>
    </row>
    <row r="905" spans="1:7" ht="15.75">
      <c r="A905" s="30" t="s">
        <v>165</v>
      </c>
      <c r="B905" s="20" t="s">
        <v>908</v>
      </c>
      <c r="C905" s="41" t="s">
        <v>135</v>
      </c>
      <c r="D905" s="41" t="s">
        <v>157</v>
      </c>
      <c r="E905" s="2">
        <v>240</v>
      </c>
      <c r="F905" s="2">
        <v>902</v>
      </c>
      <c r="G905" s="6">
        <f>G898</f>
        <v>80</v>
      </c>
    </row>
    <row r="906" spans="1:7" ht="15.75">
      <c r="A906" s="76" t="s">
        <v>675</v>
      </c>
      <c r="B906" s="76"/>
      <c r="C906" s="76"/>
      <c r="D906" s="76"/>
      <c r="E906" s="76"/>
      <c r="F906" s="76"/>
      <c r="G906" s="331">
        <f>G898+G890+G882+G874+G816+G781+G712+G655+G624+G482+G421+G413+G377+G365+G159+G26+G8+G731</f>
        <v>410176.49</v>
      </c>
    </row>
  </sheetData>
  <mergeCells count="1">
    <mergeCell ref="A4:G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workbookViewId="0" topLeftCell="A527">
      <selection activeCell="I531" sqref="I531"/>
    </sheetView>
  </sheetViews>
  <sheetFormatPr defaultColWidth="9.140625" defaultRowHeight="15"/>
  <cols>
    <col min="1" max="1" width="38.00390625" style="1" customWidth="1"/>
    <col min="2" max="2" width="17.421875" style="1" customWidth="1"/>
    <col min="3" max="3" width="8.28125" style="1" customWidth="1"/>
    <col min="4" max="4" width="7.28125" style="0" customWidth="1"/>
    <col min="5" max="5" width="8.7109375" style="0" customWidth="1"/>
    <col min="7" max="7" width="15.421875" style="1" customWidth="1"/>
    <col min="9" max="9" width="9.140625" style="115" customWidth="1"/>
  </cols>
  <sheetData>
    <row r="1" spans="4:6" ht="15.75">
      <c r="D1" s="1"/>
      <c r="F1" s="58" t="s">
        <v>634</v>
      </c>
    </row>
    <row r="2" spans="4:6" ht="15.75">
      <c r="D2" s="1"/>
      <c r="F2" s="58" t="s">
        <v>609</v>
      </c>
    </row>
    <row r="3" spans="4:6" ht="15.75">
      <c r="D3" s="1"/>
      <c r="F3" s="58" t="s">
        <v>763</v>
      </c>
    </row>
    <row r="4" spans="4:7" ht="15.75">
      <c r="D4" s="1"/>
      <c r="E4" s="1"/>
      <c r="F4" s="65"/>
      <c r="G4" s="66"/>
    </row>
    <row r="5" spans="1:7" ht="38.25" customHeight="1">
      <c r="A5" s="413" t="s">
        <v>739</v>
      </c>
      <c r="B5" s="413"/>
      <c r="C5" s="413"/>
      <c r="D5" s="413"/>
      <c r="E5" s="413"/>
      <c r="F5" s="413"/>
      <c r="G5" s="413"/>
    </row>
    <row r="6" spans="1:7" ht="16.5">
      <c r="A6" s="185"/>
      <c r="B6" s="185"/>
      <c r="C6" s="185"/>
      <c r="D6" s="185"/>
      <c r="E6" s="185"/>
      <c r="F6" s="185"/>
      <c r="G6" s="185"/>
    </row>
    <row r="7" spans="1:7" ht="15.75">
      <c r="A7" s="65"/>
      <c r="B7" s="65"/>
      <c r="C7" s="65"/>
      <c r="D7" s="65"/>
      <c r="E7" s="68"/>
      <c r="F7" s="68"/>
      <c r="G7" s="69" t="s">
        <v>2</v>
      </c>
    </row>
    <row r="8" spans="1:7" ht="31.5">
      <c r="A8" s="70" t="s">
        <v>610</v>
      </c>
      <c r="B8" s="70" t="s">
        <v>635</v>
      </c>
      <c r="C8" s="70" t="s">
        <v>636</v>
      </c>
      <c r="D8" s="70" t="s">
        <v>637</v>
      </c>
      <c r="E8" s="70" t="s">
        <v>638</v>
      </c>
      <c r="F8" s="70" t="s">
        <v>639</v>
      </c>
      <c r="G8" s="5" t="s">
        <v>5</v>
      </c>
    </row>
    <row r="9" spans="1:7" ht="15.7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5">
        <v>7</v>
      </c>
    </row>
    <row r="10" spans="1:7" ht="78.75">
      <c r="A10" s="60" t="s">
        <v>640</v>
      </c>
      <c r="B10" s="7" t="s">
        <v>527</v>
      </c>
      <c r="C10" s="7"/>
      <c r="D10" s="7"/>
      <c r="E10" s="7"/>
      <c r="F10" s="7"/>
      <c r="G10" s="4" t="e">
        <f>G13</f>
        <v>#REF!</v>
      </c>
    </row>
    <row r="11" spans="1:7" ht="15.75">
      <c r="A11" s="30" t="s">
        <v>249</v>
      </c>
      <c r="B11" s="41" t="s">
        <v>527</v>
      </c>
      <c r="C11" s="41" t="s">
        <v>167</v>
      </c>
      <c r="D11" s="41"/>
      <c r="E11" s="41"/>
      <c r="F11" s="41"/>
      <c r="G11" s="6" t="e">
        <f>G12</f>
        <v>#REF!</v>
      </c>
    </row>
    <row r="12" spans="1:7" ht="31.5">
      <c r="A12" s="30" t="s">
        <v>525</v>
      </c>
      <c r="B12" s="41" t="s">
        <v>527</v>
      </c>
      <c r="C12" s="41" t="s">
        <v>167</v>
      </c>
      <c r="D12" s="41" t="s">
        <v>236</v>
      </c>
      <c r="E12" s="41"/>
      <c r="F12" s="41"/>
      <c r="G12" s="6" t="e">
        <f>G13</f>
        <v>#REF!</v>
      </c>
    </row>
    <row r="13" spans="1:7" ht="15.75">
      <c r="A13" s="30" t="s">
        <v>528</v>
      </c>
      <c r="B13" s="41" t="s">
        <v>529</v>
      </c>
      <c r="C13" s="41" t="s">
        <v>167</v>
      </c>
      <c r="D13" s="41" t="s">
        <v>236</v>
      </c>
      <c r="E13" s="41"/>
      <c r="F13" s="41"/>
      <c r="G13" s="6" t="e">
        <f>G14+G16</f>
        <v>#REF!</v>
      </c>
    </row>
    <row r="14" spans="1:7" ht="47.25">
      <c r="A14" s="30" t="s">
        <v>148</v>
      </c>
      <c r="B14" s="41" t="s">
        <v>529</v>
      </c>
      <c r="C14" s="41" t="s">
        <v>167</v>
      </c>
      <c r="D14" s="41" t="s">
        <v>236</v>
      </c>
      <c r="E14" s="41" t="s">
        <v>149</v>
      </c>
      <c r="F14" s="41"/>
      <c r="G14" s="6" t="e">
        <f>G15</f>
        <v>#REF!</v>
      </c>
    </row>
    <row r="15" spans="1:8" ht="47.25">
      <c r="A15" s="30" t="s">
        <v>150</v>
      </c>
      <c r="B15" s="41" t="s">
        <v>529</v>
      </c>
      <c r="C15" s="41" t="s">
        <v>167</v>
      </c>
      <c r="D15" s="41" t="s">
        <v>236</v>
      </c>
      <c r="E15" s="41" t="s">
        <v>151</v>
      </c>
      <c r="F15" s="41"/>
      <c r="G15" s="6" t="e">
        <f>#REF!</f>
        <v>#REF!</v>
      </c>
      <c r="H15" s="121"/>
    </row>
    <row r="16" spans="1:7" ht="15.75">
      <c r="A16" s="25" t="s">
        <v>152</v>
      </c>
      <c r="B16" s="41" t="s">
        <v>529</v>
      </c>
      <c r="C16" s="41" t="s">
        <v>167</v>
      </c>
      <c r="D16" s="41" t="s">
        <v>236</v>
      </c>
      <c r="E16" s="41" t="s">
        <v>162</v>
      </c>
      <c r="F16" s="41"/>
      <c r="G16" s="6" t="e">
        <f>G17</f>
        <v>#REF!</v>
      </c>
    </row>
    <row r="17" spans="1:8" ht="31.5">
      <c r="A17" s="25" t="s">
        <v>154</v>
      </c>
      <c r="B17" s="41" t="s">
        <v>529</v>
      </c>
      <c r="C17" s="41" t="s">
        <v>167</v>
      </c>
      <c r="D17" s="41" t="s">
        <v>236</v>
      </c>
      <c r="E17" s="41" t="s">
        <v>155</v>
      </c>
      <c r="F17" s="41"/>
      <c r="G17" s="6" t="e">
        <f>#REF!</f>
        <v>#REF!</v>
      </c>
      <c r="H17" s="121"/>
    </row>
    <row r="18" spans="1:7" ht="47.25">
      <c r="A18" s="46" t="s">
        <v>641</v>
      </c>
      <c r="B18" s="41" t="s">
        <v>527</v>
      </c>
      <c r="C18" s="41" t="s">
        <v>167</v>
      </c>
      <c r="D18" s="41" t="s">
        <v>236</v>
      </c>
      <c r="E18" s="41"/>
      <c r="F18" s="41" t="s">
        <v>642</v>
      </c>
      <c r="G18" s="6" t="e">
        <f>G13</f>
        <v>#REF!</v>
      </c>
    </row>
    <row r="19" spans="1:7" ht="78.75">
      <c r="A19" s="60" t="s">
        <v>360</v>
      </c>
      <c r="B19" s="7" t="s">
        <v>361</v>
      </c>
      <c r="C19" s="7"/>
      <c r="D19" s="7"/>
      <c r="E19" s="7"/>
      <c r="F19" s="7"/>
      <c r="G19" s="62" t="e">
        <f>G20+G32+G39+G46+G55+G62+G69+G95</f>
        <v>#REF!</v>
      </c>
    </row>
    <row r="20" spans="1:7" ht="47.25">
      <c r="A20" s="60" t="s">
        <v>643</v>
      </c>
      <c r="B20" s="7" t="s">
        <v>363</v>
      </c>
      <c r="C20" s="7"/>
      <c r="D20" s="7"/>
      <c r="E20" s="7"/>
      <c r="F20" s="7"/>
      <c r="G20" s="62" t="e">
        <f>G21</f>
        <v>#REF!</v>
      </c>
    </row>
    <row r="21" spans="1:7" ht="15.75">
      <c r="A21" s="46" t="s">
        <v>260</v>
      </c>
      <c r="B21" s="41" t="s">
        <v>363</v>
      </c>
      <c r="C21" s="41" t="s">
        <v>261</v>
      </c>
      <c r="D21" s="41"/>
      <c r="E21" s="41"/>
      <c r="F21" s="41"/>
      <c r="G21" s="10" t="e">
        <f>G22</f>
        <v>#REF!</v>
      </c>
    </row>
    <row r="22" spans="1:7" ht="15.75">
      <c r="A22" s="46" t="s">
        <v>269</v>
      </c>
      <c r="B22" s="41" t="s">
        <v>363</v>
      </c>
      <c r="C22" s="41" t="s">
        <v>261</v>
      </c>
      <c r="D22" s="41" t="s">
        <v>232</v>
      </c>
      <c r="E22" s="41"/>
      <c r="F22" s="41"/>
      <c r="G22" s="10" t="e">
        <f>G23+G28</f>
        <v>#REF!</v>
      </c>
    </row>
    <row r="23" spans="1:7" ht="47.25">
      <c r="A23" s="30" t="s">
        <v>174</v>
      </c>
      <c r="B23" s="41" t="s">
        <v>644</v>
      </c>
      <c r="C23" s="41" t="s">
        <v>261</v>
      </c>
      <c r="D23" s="41" t="s">
        <v>232</v>
      </c>
      <c r="E23" s="41"/>
      <c r="F23" s="41"/>
      <c r="G23" s="10" t="e">
        <f>G26</f>
        <v>#REF!</v>
      </c>
    </row>
    <row r="24" spans="1:7" ht="110.25" hidden="1">
      <c r="A24" s="25" t="s">
        <v>144</v>
      </c>
      <c r="B24" s="41" t="s">
        <v>644</v>
      </c>
      <c r="C24" s="41" t="s">
        <v>261</v>
      </c>
      <c r="D24" s="41" t="s">
        <v>232</v>
      </c>
      <c r="E24" s="41" t="s">
        <v>145</v>
      </c>
      <c r="F24" s="41"/>
      <c r="G24" s="10">
        <f>G25</f>
        <v>0</v>
      </c>
    </row>
    <row r="25" spans="1:7" ht="47.25" hidden="1">
      <c r="A25" s="25" t="s">
        <v>146</v>
      </c>
      <c r="B25" s="41" t="s">
        <v>644</v>
      </c>
      <c r="C25" s="41" t="s">
        <v>261</v>
      </c>
      <c r="D25" s="41" t="s">
        <v>232</v>
      </c>
      <c r="E25" s="41" t="s">
        <v>147</v>
      </c>
      <c r="F25" s="41"/>
      <c r="G25" s="10"/>
    </row>
    <row r="26" spans="1:7" ht="47.25">
      <c r="A26" s="30" t="s">
        <v>148</v>
      </c>
      <c r="B26" s="41" t="s">
        <v>644</v>
      </c>
      <c r="C26" s="41" t="s">
        <v>261</v>
      </c>
      <c r="D26" s="41" t="s">
        <v>232</v>
      </c>
      <c r="E26" s="41" t="s">
        <v>149</v>
      </c>
      <c r="F26" s="41"/>
      <c r="G26" s="10" t="e">
        <f>G27</f>
        <v>#REF!</v>
      </c>
    </row>
    <row r="27" spans="1:7" ht="47.25">
      <c r="A27" s="30" t="s">
        <v>150</v>
      </c>
      <c r="B27" s="41" t="s">
        <v>644</v>
      </c>
      <c r="C27" s="41" t="s">
        <v>261</v>
      </c>
      <c r="D27" s="41" t="s">
        <v>232</v>
      </c>
      <c r="E27" s="41" t="s">
        <v>151</v>
      </c>
      <c r="F27" s="41"/>
      <c r="G27" s="6" t="e">
        <f>#REF!</f>
        <v>#REF!</v>
      </c>
    </row>
    <row r="28" spans="1:7" ht="47.25">
      <c r="A28" s="25" t="s">
        <v>367</v>
      </c>
      <c r="B28" s="20" t="s">
        <v>368</v>
      </c>
      <c r="C28" s="41" t="s">
        <v>261</v>
      </c>
      <c r="D28" s="41" t="s">
        <v>232</v>
      </c>
      <c r="E28" s="41"/>
      <c r="F28" s="41"/>
      <c r="G28" s="10" t="e">
        <f>G29</f>
        <v>#REF!</v>
      </c>
    </row>
    <row r="29" spans="1:7" ht="63">
      <c r="A29" s="25" t="s">
        <v>289</v>
      </c>
      <c r="B29" s="20" t="s">
        <v>368</v>
      </c>
      <c r="C29" s="41" t="s">
        <v>261</v>
      </c>
      <c r="D29" s="41" t="s">
        <v>232</v>
      </c>
      <c r="E29" s="41" t="s">
        <v>290</v>
      </c>
      <c r="F29" s="41"/>
      <c r="G29" s="10" t="e">
        <f>G30</f>
        <v>#REF!</v>
      </c>
    </row>
    <row r="30" spans="1:8" ht="15.75">
      <c r="A30" s="25" t="s">
        <v>291</v>
      </c>
      <c r="B30" s="20" t="s">
        <v>368</v>
      </c>
      <c r="C30" s="41" t="s">
        <v>261</v>
      </c>
      <c r="D30" s="41" t="s">
        <v>232</v>
      </c>
      <c r="E30" s="41" t="s">
        <v>292</v>
      </c>
      <c r="F30" s="41"/>
      <c r="G30" s="10" t="e">
        <f>#REF!</f>
        <v>#REF!</v>
      </c>
      <c r="H30" s="121"/>
    </row>
    <row r="31" spans="1:7" ht="63">
      <c r="A31" s="46" t="s">
        <v>278</v>
      </c>
      <c r="B31" s="20" t="s">
        <v>363</v>
      </c>
      <c r="C31" s="41" t="s">
        <v>261</v>
      </c>
      <c r="D31" s="41" t="s">
        <v>232</v>
      </c>
      <c r="E31" s="41"/>
      <c r="F31" s="41" t="s">
        <v>645</v>
      </c>
      <c r="G31" s="6" t="e">
        <f>G20</f>
        <v>#REF!</v>
      </c>
    </row>
    <row r="32" spans="1:7" ht="47.25">
      <c r="A32" s="60" t="s">
        <v>646</v>
      </c>
      <c r="B32" s="7" t="s">
        <v>370</v>
      </c>
      <c r="C32" s="7"/>
      <c r="D32" s="7"/>
      <c r="E32" s="7"/>
      <c r="F32" s="7"/>
      <c r="G32" s="62" t="e">
        <f>G33</f>
        <v>#REF!</v>
      </c>
    </row>
    <row r="33" spans="1:7" ht="15.75">
      <c r="A33" s="46" t="s">
        <v>260</v>
      </c>
      <c r="B33" s="41" t="s">
        <v>370</v>
      </c>
      <c r="C33" s="41" t="s">
        <v>261</v>
      </c>
      <c r="D33" s="41"/>
      <c r="E33" s="41"/>
      <c r="F33" s="41"/>
      <c r="G33" s="10" t="e">
        <f>G34</f>
        <v>#REF!</v>
      </c>
    </row>
    <row r="34" spans="1:7" ht="15.75">
      <c r="A34" s="46" t="s">
        <v>269</v>
      </c>
      <c r="B34" s="41" t="s">
        <v>370</v>
      </c>
      <c r="C34" s="41" t="s">
        <v>261</v>
      </c>
      <c r="D34" s="41" t="s">
        <v>232</v>
      </c>
      <c r="E34" s="41"/>
      <c r="F34" s="41"/>
      <c r="G34" s="10" t="e">
        <f>G35</f>
        <v>#REF!</v>
      </c>
    </row>
    <row r="35" spans="1:7" ht="31.5">
      <c r="A35" s="25" t="s">
        <v>632</v>
      </c>
      <c r="B35" s="20" t="s">
        <v>633</v>
      </c>
      <c r="C35" s="41" t="s">
        <v>261</v>
      </c>
      <c r="D35" s="41" t="s">
        <v>232</v>
      </c>
      <c r="E35" s="41"/>
      <c r="F35" s="41"/>
      <c r="G35" s="10" t="e">
        <f>G36</f>
        <v>#REF!</v>
      </c>
    </row>
    <row r="36" spans="1:7" ht="31.5">
      <c r="A36" s="30" t="s">
        <v>265</v>
      </c>
      <c r="B36" s="20" t="s">
        <v>633</v>
      </c>
      <c r="C36" s="41" t="s">
        <v>261</v>
      </c>
      <c r="D36" s="41" t="s">
        <v>232</v>
      </c>
      <c r="E36" s="41" t="s">
        <v>266</v>
      </c>
      <c r="F36" s="41"/>
      <c r="G36" s="10" t="e">
        <f>G37</f>
        <v>#REF!</v>
      </c>
    </row>
    <row r="37" spans="1:7" ht="47.25">
      <c r="A37" s="30" t="s">
        <v>267</v>
      </c>
      <c r="B37" s="20" t="s">
        <v>633</v>
      </c>
      <c r="C37" s="41" t="s">
        <v>261</v>
      </c>
      <c r="D37" s="41" t="s">
        <v>232</v>
      </c>
      <c r="E37" s="41" t="s">
        <v>268</v>
      </c>
      <c r="F37" s="41"/>
      <c r="G37" s="10" t="e">
        <f>#REF!</f>
        <v>#REF!</v>
      </c>
    </row>
    <row r="38" spans="1:7" ht="63">
      <c r="A38" s="46" t="s">
        <v>278</v>
      </c>
      <c r="B38" s="20" t="s">
        <v>370</v>
      </c>
      <c r="C38" s="41" t="s">
        <v>261</v>
      </c>
      <c r="D38" s="41" t="s">
        <v>232</v>
      </c>
      <c r="E38" s="41"/>
      <c r="F38" s="41" t="s">
        <v>645</v>
      </c>
      <c r="G38" s="10" t="e">
        <f>G32</f>
        <v>#REF!</v>
      </c>
    </row>
    <row r="39" spans="1:7" ht="47.25">
      <c r="A39" s="60" t="s">
        <v>647</v>
      </c>
      <c r="B39" s="7" t="s">
        <v>373</v>
      </c>
      <c r="C39" s="7"/>
      <c r="D39" s="7"/>
      <c r="E39" s="7"/>
      <c r="F39" s="7"/>
      <c r="G39" s="62" t="e">
        <f>G40</f>
        <v>#REF!</v>
      </c>
    </row>
    <row r="40" spans="1:7" ht="15.75">
      <c r="A40" s="46" t="s">
        <v>260</v>
      </c>
      <c r="B40" s="41" t="s">
        <v>373</v>
      </c>
      <c r="C40" s="41" t="s">
        <v>261</v>
      </c>
      <c r="D40" s="41"/>
      <c r="E40" s="41"/>
      <c r="F40" s="41"/>
      <c r="G40" s="10" t="e">
        <f>G41</f>
        <v>#REF!</v>
      </c>
    </row>
    <row r="41" spans="1:7" ht="15.75">
      <c r="A41" s="46" t="s">
        <v>269</v>
      </c>
      <c r="B41" s="41" t="s">
        <v>373</v>
      </c>
      <c r="C41" s="41" t="s">
        <v>261</v>
      </c>
      <c r="D41" s="41" t="s">
        <v>232</v>
      </c>
      <c r="E41" s="41"/>
      <c r="F41" s="41"/>
      <c r="G41" s="10" t="e">
        <f>G42</f>
        <v>#REF!</v>
      </c>
    </row>
    <row r="42" spans="1:7" ht="47.25">
      <c r="A42" s="30" t="s">
        <v>174</v>
      </c>
      <c r="B42" s="41" t="s">
        <v>648</v>
      </c>
      <c r="C42" s="41" t="s">
        <v>261</v>
      </c>
      <c r="D42" s="41" t="s">
        <v>232</v>
      </c>
      <c r="E42" s="41"/>
      <c r="F42" s="41"/>
      <c r="G42" s="10" t="e">
        <f>G43</f>
        <v>#REF!</v>
      </c>
    </row>
    <row r="43" spans="1:7" ht="31.5">
      <c r="A43" s="30" t="s">
        <v>265</v>
      </c>
      <c r="B43" s="41" t="s">
        <v>648</v>
      </c>
      <c r="C43" s="41" t="s">
        <v>261</v>
      </c>
      <c r="D43" s="41" t="s">
        <v>232</v>
      </c>
      <c r="E43" s="41" t="s">
        <v>266</v>
      </c>
      <c r="F43" s="41"/>
      <c r="G43" s="10" t="e">
        <f>G44</f>
        <v>#REF!</v>
      </c>
    </row>
    <row r="44" spans="1:7" ht="31.5">
      <c r="A44" s="30" t="s">
        <v>365</v>
      </c>
      <c r="B44" s="41" t="s">
        <v>648</v>
      </c>
      <c r="C44" s="41" t="s">
        <v>261</v>
      </c>
      <c r="D44" s="41" t="s">
        <v>232</v>
      </c>
      <c r="E44" s="41" t="s">
        <v>366</v>
      </c>
      <c r="F44" s="41"/>
      <c r="G44" s="10" t="e">
        <f>#REF!</f>
        <v>#REF!</v>
      </c>
    </row>
    <row r="45" spans="1:7" ht="63">
      <c r="A45" s="46" t="s">
        <v>278</v>
      </c>
      <c r="B45" s="41" t="s">
        <v>373</v>
      </c>
      <c r="C45" s="41" t="s">
        <v>261</v>
      </c>
      <c r="D45" s="41" t="s">
        <v>232</v>
      </c>
      <c r="E45" s="41"/>
      <c r="F45" s="41" t="s">
        <v>645</v>
      </c>
      <c r="G45" s="10" t="e">
        <f>G39</f>
        <v>#REF!</v>
      </c>
    </row>
    <row r="46" spans="1:7" ht="31.5">
      <c r="A46" s="60" t="s">
        <v>649</v>
      </c>
      <c r="B46" s="7" t="s">
        <v>376</v>
      </c>
      <c r="C46" s="7"/>
      <c r="D46" s="7"/>
      <c r="E46" s="7"/>
      <c r="F46" s="7"/>
      <c r="G46" s="62" t="e">
        <f>G47</f>
        <v>#REF!</v>
      </c>
    </row>
    <row r="47" spans="1:7" ht="15.75">
      <c r="A47" s="46" t="s">
        <v>260</v>
      </c>
      <c r="B47" s="41" t="s">
        <v>376</v>
      </c>
      <c r="C47" s="41" t="s">
        <v>261</v>
      </c>
      <c r="D47" s="41"/>
      <c r="E47" s="41"/>
      <c r="F47" s="41"/>
      <c r="G47" s="10" t="e">
        <f>G48</f>
        <v>#REF!</v>
      </c>
    </row>
    <row r="48" spans="1:7" ht="15.75">
      <c r="A48" s="46" t="s">
        <v>269</v>
      </c>
      <c r="B48" s="41" t="s">
        <v>376</v>
      </c>
      <c r="C48" s="41" t="s">
        <v>261</v>
      </c>
      <c r="D48" s="41" t="s">
        <v>232</v>
      </c>
      <c r="E48" s="41"/>
      <c r="F48" s="41"/>
      <c r="G48" s="10" t="e">
        <f>G49</f>
        <v>#REF!</v>
      </c>
    </row>
    <row r="49" spans="1:7" ht="47.25">
      <c r="A49" s="30" t="s">
        <v>174</v>
      </c>
      <c r="B49" s="41" t="s">
        <v>650</v>
      </c>
      <c r="C49" s="41" t="s">
        <v>261</v>
      </c>
      <c r="D49" s="41" t="s">
        <v>232</v>
      </c>
      <c r="E49" s="41"/>
      <c r="F49" s="41"/>
      <c r="G49" s="10" t="e">
        <f>G50+G52</f>
        <v>#REF!</v>
      </c>
    </row>
    <row r="50" spans="1:7" ht="47.25">
      <c r="A50" s="30" t="s">
        <v>148</v>
      </c>
      <c r="B50" s="41" t="s">
        <v>650</v>
      </c>
      <c r="C50" s="41" t="s">
        <v>261</v>
      </c>
      <c r="D50" s="41" t="s">
        <v>232</v>
      </c>
      <c r="E50" s="41" t="s">
        <v>149</v>
      </c>
      <c r="F50" s="41"/>
      <c r="G50" s="10" t="e">
        <f>G51</f>
        <v>#REF!</v>
      </c>
    </row>
    <row r="51" spans="1:7" ht="47.25">
      <c r="A51" s="30" t="s">
        <v>150</v>
      </c>
      <c r="B51" s="41" t="s">
        <v>650</v>
      </c>
      <c r="C51" s="41" t="s">
        <v>261</v>
      </c>
      <c r="D51" s="41" t="s">
        <v>232</v>
      </c>
      <c r="E51" s="41" t="s">
        <v>151</v>
      </c>
      <c r="F51" s="41"/>
      <c r="G51" s="10" t="e">
        <f>#REF!</f>
        <v>#REF!</v>
      </c>
    </row>
    <row r="52" spans="1:7" ht="31.5">
      <c r="A52" s="30" t="s">
        <v>265</v>
      </c>
      <c r="B52" s="41" t="s">
        <v>650</v>
      </c>
      <c r="C52" s="41" t="s">
        <v>261</v>
      </c>
      <c r="D52" s="41" t="s">
        <v>232</v>
      </c>
      <c r="E52" s="41" t="s">
        <v>266</v>
      </c>
      <c r="F52" s="41"/>
      <c r="G52" s="10" t="e">
        <f>G53</f>
        <v>#REF!</v>
      </c>
    </row>
    <row r="53" spans="1:7" ht="31.5">
      <c r="A53" s="30" t="s">
        <v>365</v>
      </c>
      <c r="B53" s="41" t="s">
        <v>650</v>
      </c>
      <c r="C53" s="41" t="s">
        <v>261</v>
      </c>
      <c r="D53" s="41" t="s">
        <v>232</v>
      </c>
      <c r="E53" s="41" t="s">
        <v>366</v>
      </c>
      <c r="F53" s="41"/>
      <c r="G53" s="10" t="e">
        <f>#REF!</f>
        <v>#REF!</v>
      </c>
    </row>
    <row r="54" spans="1:7" ht="63">
      <c r="A54" s="46" t="s">
        <v>278</v>
      </c>
      <c r="B54" s="41" t="s">
        <v>376</v>
      </c>
      <c r="C54" s="41" t="s">
        <v>261</v>
      </c>
      <c r="D54" s="41" t="s">
        <v>232</v>
      </c>
      <c r="E54" s="41"/>
      <c r="F54" s="41" t="s">
        <v>645</v>
      </c>
      <c r="G54" s="10" t="e">
        <f>G46</f>
        <v>#REF!</v>
      </c>
    </row>
    <row r="55" spans="1:7" ht="47.25">
      <c r="A55" s="60" t="s">
        <v>651</v>
      </c>
      <c r="B55" s="7" t="s">
        <v>379</v>
      </c>
      <c r="C55" s="7"/>
      <c r="D55" s="7"/>
      <c r="E55" s="7"/>
      <c r="F55" s="7"/>
      <c r="G55" s="62" t="e">
        <f>G56</f>
        <v>#REF!</v>
      </c>
    </row>
    <row r="56" spans="1:7" ht="15.75">
      <c r="A56" s="46" t="s">
        <v>260</v>
      </c>
      <c r="B56" s="41" t="s">
        <v>379</v>
      </c>
      <c r="C56" s="41" t="s">
        <v>261</v>
      </c>
      <c r="D56" s="41"/>
      <c r="E56" s="41"/>
      <c r="F56" s="41"/>
      <c r="G56" s="10" t="e">
        <f>G57</f>
        <v>#REF!</v>
      </c>
    </row>
    <row r="57" spans="1:7" ht="21.75" customHeight="1">
      <c r="A57" s="46" t="s">
        <v>269</v>
      </c>
      <c r="B57" s="41" t="s">
        <v>379</v>
      </c>
      <c r="C57" s="41" t="s">
        <v>261</v>
      </c>
      <c r="D57" s="41" t="s">
        <v>232</v>
      </c>
      <c r="E57" s="41"/>
      <c r="F57" s="41"/>
      <c r="G57" s="10" t="e">
        <f>G58</f>
        <v>#REF!</v>
      </c>
    </row>
    <row r="58" spans="1:7" ht="47.25">
      <c r="A58" s="30" t="s">
        <v>174</v>
      </c>
      <c r="B58" s="41" t="s">
        <v>652</v>
      </c>
      <c r="C58" s="41" t="s">
        <v>261</v>
      </c>
      <c r="D58" s="41" t="s">
        <v>232</v>
      </c>
      <c r="E58" s="41"/>
      <c r="F58" s="41"/>
      <c r="G58" s="10" t="e">
        <f>G59</f>
        <v>#REF!</v>
      </c>
    </row>
    <row r="59" spans="1:7" ht="31.5">
      <c r="A59" s="30" t="s">
        <v>265</v>
      </c>
      <c r="B59" s="41" t="s">
        <v>652</v>
      </c>
      <c r="C59" s="41" t="s">
        <v>261</v>
      </c>
      <c r="D59" s="41" t="s">
        <v>232</v>
      </c>
      <c r="E59" s="41" t="s">
        <v>266</v>
      </c>
      <c r="F59" s="41"/>
      <c r="G59" s="10" t="e">
        <f>G60</f>
        <v>#REF!</v>
      </c>
    </row>
    <row r="60" spans="1:7" ht="31.5">
      <c r="A60" s="30" t="s">
        <v>365</v>
      </c>
      <c r="B60" s="41" t="s">
        <v>652</v>
      </c>
      <c r="C60" s="41" t="s">
        <v>261</v>
      </c>
      <c r="D60" s="41" t="s">
        <v>232</v>
      </c>
      <c r="E60" s="41" t="s">
        <v>366</v>
      </c>
      <c r="F60" s="41"/>
      <c r="G60" s="10" t="e">
        <f>#REF!</f>
        <v>#REF!</v>
      </c>
    </row>
    <row r="61" spans="1:7" ht="63">
      <c r="A61" s="46" t="s">
        <v>278</v>
      </c>
      <c r="B61" s="41" t="s">
        <v>379</v>
      </c>
      <c r="C61" s="41" t="s">
        <v>261</v>
      </c>
      <c r="D61" s="41" t="s">
        <v>232</v>
      </c>
      <c r="E61" s="41"/>
      <c r="F61" s="41" t="s">
        <v>645</v>
      </c>
      <c r="G61" s="10" t="e">
        <f>G55</f>
        <v>#REF!</v>
      </c>
    </row>
    <row r="62" spans="1:7" ht="78.75">
      <c r="A62" s="60" t="s">
        <v>381</v>
      </c>
      <c r="B62" s="7" t="s">
        <v>382</v>
      </c>
      <c r="C62" s="7"/>
      <c r="D62" s="7"/>
      <c r="E62" s="7"/>
      <c r="F62" s="7"/>
      <c r="G62" s="62" t="e">
        <f>G63</f>
        <v>#REF!</v>
      </c>
    </row>
    <row r="63" spans="1:7" ht="15.75">
      <c r="A63" s="46" t="s">
        <v>260</v>
      </c>
      <c r="B63" s="41" t="s">
        <v>382</v>
      </c>
      <c r="C63" s="41" t="s">
        <v>261</v>
      </c>
      <c r="D63" s="41"/>
      <c r="E63" s="41"/>
      <c r="F63" s="41"/>
      <c r="G63" s="10" t="e">
        <f>G64</f>
        <v>#REF!</v>
      </c>
    </row>
    <row r="64" spans="1:7" ht="15.75">
      <c r="A64" s="46" t="s">
        <v>269</v>
      </c>
      <c r="B64" s="41" t="s">
        <v>382</v>
      </c>
      <c r="C64" s="41" t="s">
        <v>261</v>
      </c>
      <c r="D64" s="41" t="s">
        <v>232</v>
      </c>
      <c r="E64" s="41"/>
      <c r="F64" s="41"/>
      <c r="G64" s="10" t="e">
        <f>G65</f>
        <v>#REF!</v>
      </c>
    </row>
    <row r="65" spans="1:7" ht="42.75" customHeight="1">
      <c r="A65" s="30" t="s">
        <v>174</v>
      </c>
      <c r="B65" s="41" t="s">
        <v>653</v>
      </c>
      <c r="C65" s="41" t="s">
        <v>261</v>
      </c>
      <c r="D65" s="41" t="s">
        <v>232</v>
      </c>
      <c r="E65" s="41"/>
      <c r="F65" s="41"/>
      <c r="G65" s="10" t="e">
        <f>G66</f>
        <v>#REF!</v>
      </c>
    </row>
    <row r="66" spans="1:7" ht="47.25">
      <c r="A66" s="30" t="s">
        <v>148</v>
      </c>
      <c r="B66" s="41" t="s">
        <v>653</v>
      </c>
      <c r="C66" s="41" t="s">
        <v>261</v>
      </c>
      <c r="D66" s="41" t="s">
        <v>232</v>
      </c>
      <c r="E66" s="41" t="s">
        <v>149</v>
      </c>
      <c r="F66" s="41"/>
      <c r="G66" s="10" t="e">
        <f>G67</f>
        <v>#REF!</v>
      </c>
    </row>
    <row r="67" spans="1:7" ht="47.25">
      <c r="A67" s="30" t="s">
        <v>150</v>
      </c>
      <c r="B67" s="41" t="s">
        <v>653</v>
      </c>
      <c r="C67" s="41" t="s">
        <v>261</v>
      </c>
      <c r="D67" s="41" t="s">
        <v>232</v>
      </c>
      <c r="E67" s="41" t="s">
        <v>151</v>
      </c>
      <c r="F67" s="41"/>
      <c r="G67" s="10" t="e">
        <f>#REF!</f>
        <v>#REF!</v>
      </c>
    </row>
    <row r="68" spans="1:7" ht="63">
      <c r="A68" s="46" t="s">
        <v>278</v>
      </c>
      <c r="B68" s="41" t="s">
        <v>382</v>
      </c>
      <c r="C68" s="41" t="s">
        <v>261</v>
      </c>
      <c r="D68" s="41" t="s">
        <v>232</v>
      </c>
      <c r="E68" s="41"/>
      <c r="F68" s="41" t="s">
        <v>645</v>
      </c>
      <c r="G68" s="10" t="e">
        <f>G62</f>
        <v>#REF!</v>
      </c>
    </row>
    <row r="69" spans="1:7" ht="94.5">
      <c r="A69" s="42" t="s">
        <v>384</v>
      </c>
      <c r="B69" s="7" t="s">
        <v>385</v>
      </c>
      <c r="C69" s="7"/>
      <c r="D69" s="7"/>
      <c r="E69" s="7"/>
      <c r="F69" s="7"/>
      <c r="G69" s="62" t="e">
        <f>G70</f>
        <v>#REF!</v>
      </c>
    </row>
    <row r="70" spans="1:7" ht="15.75">
      <c r="A70" s="46" t="s">
        <v>260</v>
      </c>
      <c r="B70" s="41" t="s">
        <v>385</v>
      </c>
      <c r="C70" s="41" t="s">
        <v>261</v>
      </c>
      <c r="D70" s="41"/>
      <c r="E70" s="41"/>
      <c r="F70" s="41"/>
      <c r="G70" s="10" t="e">
        <f>G71</f>
        <v>#REF!</v>
      </c>
    </row>
    <row r="71" spans="1:7" ht="15.75">
      <c r="A71" s="46" t="s">
        <v>269</v>
      </c>
      <c r="B71" s="41" t="s">
        <v>385</v>
      </c>
      <c r="C71" s="41" t="s">
        <v>261</v>
      </c>
      <c r="D71" s="41" t="s">
        <v>232</v>
      </c>
      <c r="E71" s="41"/>
      <c r="F71" s="41"/>
      <c r="G71" s="10" t="e">
        <f>G72+G90+G81+G85+G77</f>
        <v>#REF!</v>
      </c>
    </row>
    <row r="72" spans="1:7" ht="45" customHeight="1">
      <c r="A72" s="30" t="s">
        <v>174</v>
      </c>
      <c r="B72" s="41" t="s">
        <v>387</v>
      </c>
      <c r="C72" s="41" t="s">
        <v>261</v>
      </c>
      <c r="D72" s="41" t="s">
        <v>232</v>
      </c>
      <c r="E72" s="41"/>
      <c r="F72" s="41"/>
      <c r="G72" s="10" t="e">
        <f>G75+G73</f>
        <v>#REF!</v>
      </c>
    </row>
    <row r="73" spans="1:7" ht="47.25" hidden="1">
      <c r="A73" s="30" t="s">
        <v>148</v>
      </c>
      <c r="B73" s="41" t="s">
        <v>385</v>
      </c>
      <c r="C73" s="41" t="s">
        <v>261</v>
      </c>
      <c r="D73" s="41" t="s">
        <v>232</v>
      </c>
      <c r="E73" s="41" t="s">
        <v>149</v>
      </c>
      <c r="F73" s="41"/>
      <c r="G73" s="10">
        <f>G74</f>
        <v>0</v>
      </c>
    </row>
    <row r="74" spans="1:7" ht="47.25" hidden="1">
      <c r="A74" s="30" t="s">
        <v>150</v>
      </c>
      <c r="B74" s="41" t="s">
        <v>385</v>
      </c>
      <c r="C74" s="41" t="s">
        <v>261</v>
      </c>
      <c r="D74" s="41" t="s">
        <v>232</v>
      </c>
      <c r="E74" s="41" t="s">
        <v>151</v>
      </c>
      <c r="F74" s="41"/>
      <c r="G74" s="10"/>
    </row>
    <row r="75" spans="1:7" ht="63">
      <c r="A75" s="25" t="s">
        <v>289</v>
      </c>
      <c r="B75" s="41" t="s">
        <v>387</v>
      </c>
      <c r="C75" s="41" t="s">
        <v>261</v>
      </c>
      <c r="D75" s="41" t="s">
        <v>232</v>
      </c>
      <c r="E75" s="41" t="s">
        <v>290</v>
      </c>
      <c r="F75" s="41"/>
      <c r="G75" s="10" t="e">
        <f>G76</f>
        <v>#REF!</v>
      </c>
    </row>
    <row r="76" spans="1:7" ht="72.75" customHeight="1">
      <c r="A76" s="25" t="s">
        <v>388</v>
      </c>
      <c r="B76" s="41" t="s">
        <v>387</v>
      </c>
      <c r="C76" s="41" t="s">
        <v>261</v>
      </c>
      <c r="D76" s="41" t="s">
        <v>232</v>
      </c>
      <c r="E76" s="41" t="s">
        <v>389</v>
      </c>
      <c r="F76" s="41"/>
      <c r="G76" s="10" t="e">
        <f>#REF!</f>
        <v>#REF!</v>
      </c>
    </row>
    <row r="77" spans="1:7" ht="63">
      <c r="A77" s="25" t="s">
        <v>392</v>
      </c>
      <c r="B77" s="20" t="s">
        <v>393</v>
      </c>
      <c r="C77" s="41" t="s">
        <v>261</v>
      </c>
      <c r="D77" s="41" t="s">
        <v>232</v>
      </c>
      <c r="E77" s="41"/>
      <c r="F77" s="41"/>
      <c r="G77" s="10" t="e">
        <f>G78</f>
        <v>#REF!</v>
      </c>
    </row>
    <row r="78" spans="1:7" ht="31.5">
      <c r="A78" s="25" t="s">
        <v>265</v>
      </c>
      <c r="B78" s="20" t="s">
        <v>393</v>
      </c>
      <c r="C78" s="41" t="s">
        <v>261</v>
      </c>
      <c r="D78" s="41" t="s">
        <v>232</v>
      </c>
      <c r="E78" s="41" t="s">
        <v>266</v>
      </c>
      <c r="F78" s="41"/>
      <c r="G78" s="10" t="e">
        <f>G79</f>
        <v>#REF!</v>
      </c>
    </row>
    <row r="79" spans="1:7" ht="47.25">
      <c r="A79" s="25" t="s">
        <v>267</v>
      </c>
      <c r="B79" s="20" t="s">
        <v>393</v>
      </c>
      <c r="C79" s="41" t="s">
        <v>261</v>
      </c>
      <c r="D79" s="41" t="s">
        <v>232</v>
      </c>
      <c r="E79" s="41" t="s">
        <v>268</v>
      </c>
      <c r="F79" s="41"/>
      <c r="G79" s="10" t="e">
        <f>#REF!</f>
        <v>#REF!</v>
      </c>
    </row>
    <row r="80" spans="1:7" ht="63">
      <c r="A80" s="46" t="s">
        <v>278</v>
      </c>
      <c r="B80" s="20" t="s">
        <v>385</v>
      </c>
      <c r="C80" s="41" t="s">
        <v>261</v>
      </c>
      <c r="D80" s="41" t="s">
        <v>232</v>
      </c>
      <c r="E80" s="41"/>
      <c r="F80" s="9" t="s">
        <v>645</v>
      </c>
      <c r="G80" s="10" t="e">
        <f>G69</f>
        <v>#REF!</v>
      </c>
    </row>
    <row r="81" spans="1:7" ht="173.25" hidden="1">
      <c r="A81" s="25" t="s">
        <v>390</v>
      </c>
      <c r="B81" s="20" t="s">
        <v>391</v>
      </c>
      <c r="C81" s="41" t="s">
        <v>261</v>
      </c>
      <c r="D81" s="41" t="s">
        <v>232</v>
      </c>
      <c r="E81" s="41"/>
      <c r="F81" s="9"/>
      <c r="G81" s="10">
        <f>G82</f>
        <v>0</v>
      </c>
    </row>
    <row r="82" spans="1:7" ht="15.75" hidden="1">
      <c r="A82" s="25" t="s">
        <v>152</v>
      </c>
      <c r="B82" s="20" t="s">
        <v>391</v>
      </c>
      <c r="C82" s="41" t="s">
        <v>261</v>
      </c>
      <c r="D82" s="41" t="s">
        <v>232</v>
      </c>
      <c r="E82" s="41" t="s">
        <v>162</v>
      </c>
      <c r="F82" s="9"/>
      <c r="G82" s="10">
        <f>G83</f>
        <v>0</v>
      </c>
    </row>
    <row r="83" spans="1:7" ht="78.75" hidden="1">
      <c r="A83" s="25" t="s">
        <v>201</v>
      </c>
      <c r="B83" s="20" t="s">
        <v>391</v>
      </c>
      <c r="C83" s="41" t="s">
        <v>261</v>
      </c>
      <c r="D83" s="41" t="s">
        <v>232</v>
      </c>
      <c r="E83" s="41" t="s">
        <v>177</v>
      </c>
      <c r="F83" s="9"/>
      <c r="G83" s="10"/>
    </row>
    <row r="84" spans="1:7" ht="63" hidden="1">
      <c r="A84" s="46" t="s">
        <v>278</v>
      </c>
      <c r="B84" s="20" t="s">
        <v>391</v>
      </c>
      <c r="C84" s="41" t="s">
        <v>261</v>
      </c>
      <c r="D84" s="41" t="s">
        <v>232</v>
      </c>
      <c r="E84" s="41"/>
      <c r="F84" s="9" t="s">
        <v>645</v>
      </c>
      <c r="G84" s="10">
        <f>G83</f>
        <v>0</v>
      </c>
    </row>
    <row r="85" spans="1:7" ht="63" hidden="1">
      <c r="A85" s="25" t="s">
        <v>392</v>
      </c>
      <c r="B85" s="20" t="s">
        <v>393</v>
      </c>
      <c r="C85" s="41" t="s">
        <v>261</v>
      </c>
      <c r="D85" s="41" t="s">
        <v>232</v>
      </c>
      <c r="E85" s="41"/>
      <c r="F85" s="9"/>
      <c r="G85" s="10">
        <f>G86</f>
        <v>0</v>
      </c>
    </row>
    <row r="86" spans="1:7" ht="31.5" hidden="1">
      <c r="A86" s="30" t="s">
        <v>265</v>
      </c>
      <c r="B86" s="20" t="s">
        <v>393</v>
      </c>
      <c r="C86" s="41" t="s">
        <v>261</v>
      </c>
      <c r="D86" s="41" t="s">
        <v>232</v>
      </c>
      <c r="E86" s="41" t="s">
        <v>266</v>
      </c>
      <c r="F86" s="9"/>
      <c r="G86" s="10">
        <f>G87</f>
        <v>0</v>
      </c>
    </row>
    <row r="87" spans="1:7" ht="47.25" hidden="1">
      <c r="A87" s="30" t="s">
        <v>267</v>
      </c>
      <c r="B87" s="20" t="s">
        <v>393</v>
      </c>
      <c r="C87" s="41" t="s">
        <v>261</v>
      </c>
      <c r="D87" s="41" t="s">
        <v>232</v>
      </c>
      <c r="E87" s="41" t="s">
        <v>268</v>
      </c>
      <c r="F87" s="9"/>
      <c r="G87" s="10"/>
    </row>
    <row r="88" spans="1:7" ht="63" hidden="1">
      <c r="A88" s="46" t="s">
        <v>278</v>
      </c>
      <c r="B88" s="20" t="s">
        <v>393</v>
      </c>
      <c r="C88" s="41" t="s">
        <v>261</v>
      </c>
      <c r="D88" s="41" t="s">
        <v>232</v>
      </c>
      <c r="E88" s="41"/>
      <c r="F88" s="9" t="s">
        <v>645</v>
      </c>
      <c r="G88" s="10">
        <f>G85</f>
        <v>0</v>
      </c>
    </row>
    <row r="89" spans="1:7" ht="47.25" hidden="1">
      <c r="A89" s="30" t="s">
        <v>394</v>
      </c>
      <c r="B89" s="20" t="s">
        <v>395</v>
      </c>
      <c r="C89" s="41" t="s">
        <v>261</v>
      </c>
      <c r="D89" s="41" t="s">
        <v>232</v>
      </c>
      <c r="E89" s="41"/>
      <c r="F89" s="41"/>
      <c r="G89" s="10">
        <f>G90</f>
        <v>0</v>
      </c>
    </row>
    <row r="90" spans="1:7" ht="47.25" hidden="1">
      <c r="A90" s="30" t="s">
        <v>148</v>
      </c>
      <c r="B90" s="20" t="s">
        <v>395</v>
      </c>
      <c r="C90" s="41" t="s">
        <v>261</v>
      </c>
      <c r="D90" s="41" t="s">
        <v>232</v>
      </c>
      <c r="E90" s="41" t="s">
        <v>149</v>
      </c>
      <c r="F90" s="41"/>
      <c r="G90" s="10">
        <f>G91</f>
        <v>0</v>
      </c>
    </row>
    <row r="91" spans="1:7" ht="47.25" hidden="1">
      <c r="A91" s="30" t="s">
        <v>150</v>
      </c>
      <c r="B91" s="20" t="s">
        <v>395</v>
      </c>
      <c r="C91" s="41" t="s">
        <v>261</v>
      </c>
      <c r="D91" s="41" t="s">
        <v>232</v>
      </c>
      <c r="E91" s="41" t="s">
        <v>151</v>
      </c>
      <c r="F91" s="41"/>
      <c r="G91" s="10">
        <v>0</v>
      </c>
    </row>
    <row r="92" spans="1:7" ht="15.75" hidden="1">
      <c r="A92" s="30" t="s">
        <v>152</v>
      </c>
      <c r="B92" s="20" t="s">
        <v>395</v>
      </c>
      <c r="C92" s="41" t="s">
        <v>261</v>
      </c>
      <c r="D92" s="41" t="s">
        <v>232</v>
      </c>
      <c r="E92" s="41" t="s">
        <v>162</v>
      </c>
      <c r="F92" s="41"/>
      <c r="G92" s="10"/>
    </row>
    <row r="93" spans="1:7" ht="78.75" hidden="1">
      <c r="A93" s="30" t="s">
        <v>201</v>
      </c>
      <c r="B93" s="20" t="s">
        <v>395</v>
      </c>
      <c r="C93" s="41" t="s">
        <v>261</v>
      </c>
      <c r="D93" s="41" t="s">
        <v>232</v>
      </c>
      <c r="E93" s="41" t="s">
        <v>177</v>
      </c>
      <c r="F93" s="41"/>
      <c r="G93" s="10"/>
    </row>
    <row r="94" spans="1:7" ht="63" hidden="1">
      <c r="A94" s="46" t="s">
        <v>278</v>
      </c>
      <c r="B94" s="20" t="s">
        <v>395</v>
      </c>
      <c r="C94" s="41" t="s">
        <v>261</v>
      </c>
      <c r="D94" s="41" t="s">
        <v>232</v>
      </c>
      <c r="E94" s="41"/>
      <c r="F94" s="9" t="s">
        <v>645</v>
      </c>
      <c r="G94" s="10">
        <f>G89</f>
        <v>0</v>
      </c>
    </row>
    <row r="95" spans="1:7" ht="141.75">
      <c r="A95" s="42" t="s">
        <v>397</v>
      </c>
      <c r="B95" s="7" t="s">
        <v>398</v>
      </c>
      <c r="C95" s="7"/>
      <c r="D95" s="7"/>
      <c r="E95" s="7"/>
      <c r="F95" s="8"/>
      <c r="G95" s="62" t="e">
        <f>G96</f>
        <v>#REF!</v>
      </c>
    </row>
    <row r="96" spans="1:7" ht="15.75">
      <c r="A96" s="46" t="s">
        <v>260</v>
      </c>
      <c r="B96" s="41" t="s">
        <v>398</v>
      </c>
      <c r="C96" s="41" t="s">
        <v>261</v>
      </c>
      <c r="D96" s="41"/>
      <c r="E96" s="41"/>
      <c r="F96" s="9"/>
      <c r="G96" s="10" t="e">
        <f>G97</f>
        <v>#REF!</v>
      </c>
    </row>
    <row r="97" spans="1:7" ht="24.75" customHeight="1">
      <c r="A97" s="46" t="s">
        <v>269</v>
      </c>
      <c r="B97" s="41" t="s">
        <v>398</v>
      </c>
      <c r="C97" s="41" t="s">
        <v>261</v>
      </c>
      <c r="D97" s="41" t="s">
        <v>232</v>
      </c>
      <c r="E97" s="41"/>
      <c r="F97" s="9"/>
      <c r="G97" s="10" t="e">
        <f>G98</f>
        <v>#REF!</v>
      </c>
    </row>
    <row r="98" spans="1:7" ht="47.25">
      <c r="A98" s="30" t="s">
        <v>174</v>
      </c>
      <c r="B98" s="41" t="s">
        <v>399</v>
      </c>
      <c r="C98" s="41" t="s">
        <v>261</v>
      </c>
      <c r="D98" s="41" t="s">
        <v>232</v>
      </c>
      <c r="E98" s="41"/>
      <c r="F98" s="9"/>
      <c r="G98" s="10" t="e">
        <f>G99</f>
        <v>#REF!</v>
      </c>
    </row>
    <row r="99" spans="1:7" ht="47.25">
      <c r="A99" s="30" t="s">
        <v>148</v>
      </c>
      <c r="B99" s="41" t="s">
        <v>399</v>
      </c>
      <c r="C99" s="41" t="s">
        <v>261</v>
      </c>
      <c r="D99" s="41" t="s">
        <v>232</v>
      </c>
      <c r="E99" s="41" t="s">
        <v>149</v>
      </c>
      <c r="F99" s="9"/>
      <c r="G99" s="10" t="e">
        <f>G100</f>
        <v>#REF!</v>
      </c>
    </row>
    <row r="100" spans="1:7" ht="47.25">
      <c r="A100" s="30" t="s">
        <v>150</v>
      </c>
      <c r="B100" s="41" t="s">
        <v>399</v>
      </c>
      <c r="C100" s="41" t="s">
        <v>261</v>
      </c>
      <c r="D100" s="41" t="s">
        <v>232</v>
      </c>
      <c r="E100" s="41" t="s">
        <v>151</v>
      </c>
      <c r="F100" s="9"/>
      <c r="G100" s="10" t="e">
        <f>#REF!</f>
        <v>#REF!</v>
      </c>
    </row>
    <row r="101" spans="1:7" ht="63">
      <c r="A101" s="46" t="s">
        <v>278</v>
      </c>
      <c r="B101" s="41" t="s">
        <v>398</v>
      </c>
      <c r="C101" s="41" t="s">
        <v>261</v>
      </c>
      <c r="D101" s="41" t="s">
        <v>232</v>
      </c>
      <c r="E101" s="41"/>
      <c r="F101" s="9" t="s">
        <v>645</v>
      </c>
      <c r="G101" s="10" t="e">
        <f>G95</f>
        <v>#REF!</v>
      </c>
    </row>
    <row r="102" spans="1:7" ht="63">
      <c r="A102" s="60" t="s">
        <v>443</v>
      </c>
      <c r="B102" s="7" t="s">
        <v>423</v>
      </c>
      <c r="C102" s="7"/>
      <c r="D102" s="7"/>
      <c r="E102" s="7"/>
      <c r="F102" s="7"/>
      <c r="G102" s="62" t="e">
        <f>G103+G118+G163+G188+G210</f>
        <v>#REF!</v>
      </c>
    </row>
    <row r="103" spans="1:7" ht="47.25">
      <c r="A103" s="42" t="s">
        <v>424</v>
      </c>
      <c r="B103" s="7" t="s">
        <v>425</v>
      </c>
      <c r="C103" s="7"/>
      <c r="D103" s="7"/>
      <c r="E103" s="7"/>
      <c r="F103" s="7"/>
      <c r="G103" s="62" t="e">
        <f>G104</f>
        <v>#REF!</v>
      </c>
    </row>
    <row r="104" spans="1:7" ht="15.75">
      <c r="A104" s="30" t="s">
        <v>280</v>
      </c>
      <c r="B104" s="41" t="s">
        <v>425</v>
      </c>
      <c r="C104" s="41" t="s">
        <v>281</v>
      </c>
      <c r="D104" s="41"/>
      <c r="E104" s="41"/>
      <c r="F104" s="41"/>
      <c r="G104" s="10" t="e">
        <f>G105+G109+G113</f>
        <v>#REF!</v>
      </c>
    </row>
    <row r="105" spans="1:7" ht="15.75">
      <c r="A105" s="46" t="s">
        <v>421</v>
      </c>
      <c r="B105" s="41" t="s">
        <v>425</v>
      </c>
      <c r="C105" s="41" t="s">
        <v>281</v>
      </c>
      <c r="D105" s="41" t="s">
        <v>135</v>
      </c>
      <c r="E105" s="41"/>
      <c r="F105" s="41"/>
      <c r="G105" s="10" t="e">
        <f>G106</f>
        <v>#REF!</v>
      </c>
    </row>
    <row r="106" spans="1:7" ht="63">
      <c r="A106" s="30" t="s">
        <v>426</v>
      </c>
      <c r="B106" s="41" t="s">
        <v>427</v>
      </c>
      <c r="C106" s="41" t="s">
        <v>281</v>
      </c>
      <c r="D106" s="41" t="s">
        <v>135</v>
      </c>
      <c r="E106" s="41"/>
      <c r="F106" s="41"/>
      <c r="G106" s="10" t="e">
        <f>G107</f>
        <v>#REF!</v>
      </c>
    </row>
    <row r="107" spans="1:7" ht="63">
      <c r="A107" s="30" t="s">
        <v>289</v>
      </c>
      <c r="B107" s="41" t="s">
        <v>427</v>
      </c>
      <c r="C107" s="41" t="s">
        <v>281</v>
      </c>
      <c r="D107" s="41" t="s">
        <v>135</v>
      </c>
      <c r="E107" s="41" t="s">
        <v>290</v>
      </c>
      <c r="F107" s="41"/>
      <c r="G107" s="10" t="e">
        <f>G108</f>
        <v>#REF!</v>
      </c>
    </row>
    <row r="108" spans="1:7" ht="15.75">
      <c r="A108" s="30" t="s">
        <v>291</v>
      </c>
      <c r="B108" s="41" t="s">
        <v>427</v>
      </c>
      <c r="C108" s="41" t="s">
        <v>281</v>
      </c>
      <c r="D108" s="41" t="s">
        <v>135</v>
      </c>
      <c r="E108" s="41" t="s">
        <v>292</v>
      </c>
      <c r="F108" s="41"/>
      <c r="G108" s="6" t="e">
        <f>#REF!</f>
        <v>#REF!</v>
      </c>
    </row>
    <row r="109" spans="1:7" ht="15.75">
      <c r="A109" s="30" t="s">
        <v>442</v>
      </c>
      <c r="B109" s="41" t="s">
        <v>425</v>
      </c>
      <c r="C109" s="41" t="s">
        <v>281</v>
      </c>
      <c r="D109" s="41" t="s">
        <v>230</v>
      </c>
      <c r="E109" s="41"/>
      <c r="F109" s="41"/>
      <c r="G109" s="10" t="e">
        <f>G110</f>
        <v>#REF!</v>
      </c>
    </row>
    <row r="110" spans="1:7" ht="57.75" customHeight="1">
      <c r="A110" s="30" t="s">
        <v>444</v>
      </c>
      <c r="B110" s="41" t="s">
        <v>445</v>
      </c>
      <c r="C110" s="41" t="s">
        <v>281</v>
      </c>
      <c r="D110" s="41" t="s">
        <v>230</v>
      </c>
      <c r="E110" s="41"/>
      <c r="F110" s="41"/>
      <c r="G110" s="10" t="e">
        <f>G111</f>
        <v>#REF!</v>
      </c>
    </row>
    <row r="111" spans="1:7" ht="70.5" customHeight="1">
      <c r="A111" s="30" t="s">
        <v>289</v>
      </c>
      <c r="B111" s="41" t="s">
        <v>445</v>
      </c>
      <c r="C111" s="41" t="s">
        <v>281</v>
      </c>
      <c r="D111" s="41" t="s">
        <v>230</v>
      </c>
      <c r="E111" s="41" t="s">
        <v>290</v>
      </c>
      <c r="F111" s="41"/>
      <c r="G111" s="10" t="e">
        <f>G112</f>
        <v>#REF!</v>
      </c>
    </row>
    <row r="112" spans="1:7" ht="15.75">
      <c r="A112" s="30" t="s">
        <v>291</v>
      </c>
      <c r="B112" s="41" t="s">
        <v>445</v>
      </c>
      <c r="C112" s="41" t="s">
        <v>281</v>
      </c>
      <c r="D112" s="41" t="s">
        <v>230</v>
      </c>
      <c r="E112" s="41" t="s">
        <v>292</v>
      </c>
      <c r="F112" s="41"/>
      <c r="G112" s="6" t="e">
        <f>#REF!</f>
        <v>#REF!</v>
      </c>
    </row>
    <row r="113" spans="1:7" ht="15.75">
      <c r="A113" s="30" t="s">
        <v>282</v>
      </c>
      <c r="B113" s="41" t="s">
        <v>425</v>
      </c>
      <c r="C113" s="41" t="s">
        <v>281</v>
      </c>
      <c r="D113" s="41" t="s">
        <v>232</v>
      </c>
      <c r="E113" s="41"/>
      <c r="F113" s="41"/>
      <c r="G113" s="6" t="e">
        <f>G114</f>
        <v>#REF!</v>
      </c>
    </row>
    <row r="114" spans="1:7" ht="63">
      <c r="A114" s="30" t="s">
        <v>287</v>
      </c>
      <c r="B114" s="41" t="s">
        <v>446</v>
      </c>
      <c r="C114" s="41" t="s">
        <v>281</v>
      </c>
      <c r="D114" s="41" t="s">
        <v>232</v>
      </c>
      <c r="E114" s="7"/>
      <c r="F114" s="7"/>
      <c r="G114" s="10" t="e">
        <f>G115</f>
        <v>#REF!</v>
      </c>
    </row>
    <row r="115" spans="1:7" ht="63">
      <c r="A115" s="30" t="s">
        <v>289</v>
      </c>
      <c r="B115" s="41" t="s">
        <v>446</v>
      </c>
      <c r="C115" s="41" t="s">
        <v>281</v>
      </c>
      <c r="D115" s="41" t="s">
        <v>232</v>
      </c>
      <c r="E115" s="41" t="s">
        <v>290</v>
      </c>
      <c r="F115" s="41"/>
      <c r="G115" s="10" t="e">
        <f>G116</f>
        <v>#REF!</v>
      </c>
    </row>
    <row r="116" spans="1:7" ht="15.75">
      <c r="A116" s="30" t="s">
        <v>291</v>
      </c>
      <c r="B116" s="41" t="s">
        <v>446</v>
      </c>
      <c r="C116" s="41" t="s">
        <v>281</v>
      </c>
      <c r="D116" s="41" t="s">
        <v>232</v>
      </c>
      <c r="E116" s="41" t="s">
        <v>292</v>
      </c>
      <c r="F116" s="41"/>
      <c r="G116" s="6" t="e">
        <f>#REF!</f>
        <v>#REF!</v>
      </c>
    </row>
    <row r="117" spans="1:7" ht="47.25">
      <c r="A117" s="30" t="s">
        <v>420</v>
      </c>
      <c r="B117" s="41" t="s">
        <v>425</v>
      </c>
      <c r="C117" s="41" t="s">
        <v>281</v>
      </c>
      <c r="D117" s="41" t="s">
        <v>232</v>
      </c>
      <c r="E117" s="41"/>
      <c r="F117" s="41" t="s">
        <v>654</v>
      </c>
      <c r="G117" s="6" t="e">
        <f>G103</f>
        <v>#REF!</v>
      </c>
    </row>
    <row r="118" spans="1:7" ht="47.25">
      <c r="A118" s="42" t="s">
        <v>428</v>
      </c>
      <c r="B118" s="7" t="s">
        <v>429</v>
      </c>
      <c r="C118" s="7"/>
      <c r="D118" s="7"/>
      <c r="E118" s="7"/>
      <c r="F118" s="7"/>
      <c r="G118" s="62" t="e">
        <f>G119</f>
        <v>#REF!</v>
      </c>
    </row>
    <row r="119" spans="1:7" ht="15.75">
      <c r="A119" s="30" t="s">
        <v>280</v>
      </c>
      <c r="B119" s="41" t="s">
        <v>429</v>
      </c>
      <c r="C119" s="41" t="s">
        <v>281</v>
      </c>
      <c r="D119" s="41"/>
      <c r="E119" s="41"/>
      <c r="F119" s="41"/>
      <c r="G119" s="10" t="e">
        <f>G120</f>
        <v>#REF!</v>
      </c>
    </row>
    <row r="120" spans="1:7" ht="15.75">
      <c r="A120" s="46" t="s">
        <v>421</v>
      </c>
      <c r="B120" s="41" t="s">
        <v>429</v>
      </c>
      <c r="C120" s="41" t="s">
        <v>281</v>
      </c>
      <c r="D120" s="41" t="s">
        <v>135</v>
      </c>
      <c r="E120" s="41"/>
      <c r="F120" s="41"/>
      <c r="G120" s="10" t="e">
        <f>G133+G130</f>
        <v>#REF!</v>
      </c>
    </row>
    <row r="121" spans="1:7" ht="57.75" customHeight="1" hidden="1">
      <c r="A121" s="30" t="s">
        <v>613</v>
      </c>
      <c r="B121" s="41" t="s">
        <v>614</v>
      </c>
      <c r="C121" s="41" t="s">
        <v>281</v>
      </c>
      <c r="D121" s="41" t="s">
        <v>135</v>
      </c>
      <c r="E121" s="41"/>
      <c r="F121" s="41"/>
      <c r="G121" s="10">
        <f>G122</f>
        <v>0</v>
      </c>
    </row>
    <row r="122" spans="1:7" ht="63" hidden="1">
      <c r="A122" s="30" t="s">
        <v>289</v>
      </c>
      <c r="B122" s="41" t="s">
        <v>614</v>
      </c>
      <c r="C122" s="41" t="s">
        <v>281</v>
      </c>
      <c r="D122" s="41" t="s">
        <v>135</v>
      </c>
      <c r="E122" s="41" t="s">
        <v>290</v>
      </c>
      <c r="F122" s="41"/>
      <c r="G122" s="10">
        <f>G123</f>
        <v>0</v>
      </c>
    </row>
    <row r="123" spans="1:7" ht="15.75" hidden="1">
      <c r="A123" s="30" t="s">
        <v>291</v>
      </c>
      <c r="B123" s="41" t="s">
        <v>614</v>
      </c>
      <c r="C123" s="41" t="s">
        <v>281</v>
      </c>
      <c r="D123" s="41" t="s">
        <v>135</v>
      </c>
      <c r="E123" s="41" t="s">
        <v>292</v>
      </c>
      <c r="F123" s="41"/>
      <c r="G123" s="10"/>
    </row>
    <row r="124" spans="1:7" ht="47.25" hidden="1">
      <c r="A124" s="30" t="s">
        <v>420</v>
      </c>
      <c r="B124" s="41" t="s">
        <v>614</v>
      </c>
      <c r="C124" s="41" t="s">
        <v>281</v>
      </c>
      <c r="D124" s="41" t="s">
        <v>135</v>
      </c>
      <c r="E124" s="41"/>
      <c r="F124" s="41" t="s">
        <v>654</v>
      </c>
      <c r="G124" s="10">
        <v>0</v>
      </c>
    </row>
    <row r="125" spans="1:7" ht="47.25" hidden="1">
      <c r="A125" s="30" t="s">
        <v>295</v>
      </c>
      <c r="B125" s="41" t="s">
        <v>615</v>
      </c>
      <c r="C125" s="41" t="s">
        <v>281</v>
      </c>
      <c r="D125" s="41" t="s">
        <v>135</v>
      </c>
      <c r="E125" s="41"/>
      <c r="F125" s="41"/>
      <c r="G125" s="10">
        <f>G126</f>
        <v>0</v>
      </c>
    </row>
    <row r="126" spans="1:7" ht="63" hidden="1">
      <c r="A126" s="30" t="s">
        <v>289</v>
      </c>
      <c r="B126" s="41" t="s">
        <v>615</v>
      </c>
      <c r="C126" s="41" t="s">
        <v>281</v>
      </c>
      <c r="D126" s="41" t="s">
        <v>135</v>
      </c>
      <c r="E126" s="41" t="s">
        <v>290</v>
      </c>
      <c r="F126" s="41"/>
      <c r="G126" s="10">
        <f>G127</f>
        <v>0</v>
      </c>
    </row>
    <row r="127" spans="1:7" ht="15.75" hidden="1">
      <c r="A127" s="30" t="s">
        <v>291</v>
      </c>
      <c r="B127" s="41" t="s">
        <v>615</v>
      </c>
      <c r="C127" s="41" t="s">
        <v>281</v>
      </c>
      <c r="D127" s="41" t="s">
        <v>135</v>
      </c>
      <c r="E127" s="41" t="s">
        <v>292</v>
      </c>
      <c r="F127" s="41"/>
      <c r="G127" s="10"/>
    </row>
    <row r="128" spans="1:7" ht="47.25" hidden="1">
      <c r="A128" s="30" t="s">
        <v>420</v>
      </c>
      <c r="B128" s="41" t="s">
        <v>615</v>
      </c>
      <c r="C128" s="41" t="s">
        <v>281</v>
      </c>
      <c r="D128" s="41" t="s">
        <v>135</v>
      </c>
      <c r="E128" s="41"/>
      <c r="F128" s="41" t="s">
        <v>654</v>
      </c>
      <c r="G128" s="10">
        <v>0</v>
      </c>
    </row>
    <row r="129" spans="1:7" ht="31.5">
      <c r="A129" s="30" t="s">
        <v>297</v>
      </c>
      <c r="B129" s="41" t="s">
        <v>431</v>
      </c>
      <c r="C129" s="41" t="s">
        <v>281</v>
      </c>
      <c r="D129" s="41" t="s">
        <v>135</v>
      </c>
      <c r="E129" s="41"/>
      <c r="F129" s="41"/>
      <c r="G129" s="10" t="e">
        <f>G130</f>
        <v>#REF!</v>
      </c>
    </row>
    <row r="130" spans="1:7" ht="63">
      <c r="A130" s="30" t="s">
        <v>289</v>
      </c>
      <c r="B130" s="41" t="s">
        <v>431</v>
      </c>
      <c r="C130" s="41" t="s">
        <v>281</v>
      </c>
      <c r="D130" s="41" t="s">
        <v>135</v>
      </c>
      <c r="E130" s="41" t="s">
        <v>290</v>
      </c>
      <c r="F130" s="41"/>
      <c r="G130" s="10" t="e">
        <f>G131</f>
        <v>#REF!</v>
      </c>
    </row>
    <row r="131" spans="1:8" ht="15.75">
      <c r="A131" s="30" t="s">
        <v>291</v>
      </c>
      <c r="B131" s="41" t="s">
        <v>431</v>
      </c>
      <c r="C131" s="41" t="s">
        <v>281</v>
      </c>
      <c r="D131" s="41" t="s">
        <v>135</v>
      </c>
      <c r="E131" s="41" t="s">
        <v>292</v>
      </c>
      <c r="F131" s="41"/>
      <c r="G131" s="170" t="e">
        <f>#REF!</f>
        <v>#REF!</v>
      </c>
      <c r="H131" s="171" t="s">
        <v>750</v>
      </c>
    </row>
    <row r="132" spans="1:7" ht="47.25" hidden="1">
      <c r="A132" s="30" t="s">
        <v>420</v>
      </c>
      <c r="B132" s="41" t="s">
        <v>431</v>
      </c>
      <c r="C132" s="41" t="s">
        <v>281</v>
      </c>
      <c r="D132" s="41" t="s">
        <v>135</v>
      </c>
      <c r="E132" s="41"/>
      <c r="F132" s="41" t="s">
        <v>654</v>
      </c>
      <c r="G132" s="10"/>
    </row>
    <row r="133" spans="1:7" ht="63">
      <c r="A133" s="30" t="s">
        <v>432</v>
      </c>
      <c r="B133" s="41" t="s">
        <v>433</v>
      </c>
      <c r="C133" s="41" t="s">
        <v>281</v>
      </c>
      <c r="D133" s="41" t="s">
        <v>135</v>
      </c>
      <c r="E133" s="41"/>
      <c r="F133" s="41"/>
      <c r="G133" s="10" t="e">
        <f>G134</f>
        <v>#REF!</v>
      </c>
    </row>
    <row r="134" spans="1:7" ht="65.25" customHeight="1">
      <c r="A134" s="30" t="s">
        <v>289</v>
      </c>
      <c r="B134" s="41" t="s">
        <v>433</v>
      </c>
      <c r="C134" s="41" t="s">
        <v>281</v>
      </c>
      <c r="D134" s="41" t="s">
        <v>135</v>
      </c>
      <c r="E134" s="41" t="s">
        <v>290</v>
      </c>
      <c r="F134" s="41"/>
      <c r="G134" s="10" t="e">
        <f>G135</f>
        <v>#REF!</v>
      </c>
    </row>
    <row r="135" spans="1:7" ht="15.75">
      <c r="A135" s="30" t="s">
        <v>291</v>
      </c>
      <c r="B135" s="41" t="s">
        <v>433</v>
      </c>
      <c r="C135" s="41" t="s">
        <v>281</v>
      </c>
      <c r="D135" s="41" t="s">
        <v>135</v>
      </c>
      <c r="E135" s="41" t="s">
        <v>292</v>
      </c>
      <c r="F135" s="41"/>
      <c r="G135" s="6" t="e">
        <f>#REF!</f>
        <v>#REF!</v>
      </c>
    </row>
    <row r="136" spans="1:7" ht="47.25">
      <c r="A136" s="30" t="s">
        <v>420</v>
      </c>
      <c r="B136" s="41" t="s">
        <v>429</v>
      </c>
      <c r="C136" s="41" t="s">
        <v>281</v>
      </c>
      <c r="D136" s="41" t="s">
        <v>135</v>
      </c>
      <c r="E136" s="41"/>
      <c r="F136" s="41" t="s">
        <v>654</v>
      </c>
      <c r="G136" s="6" t="e">
        <f>G118+G131</f>
        <v>#REF!</v>
      </c>
    </row>
    <row r="137" spans="1:7" ht="31.5" hidden="1">
      <c r="A137" s="30" t="s">
        <v>301</v>
      </c>
      <c r="B137" s="41" t="s">
        <v>618</v>
      </c>
      <c r="C137" s="41" t="s">
        <v>281</v>
      </c>
      <c r="D137" s="41" t="s">
        <v>135</v>
      </c>
      <c r="E137" s="41"/>
      <c r="F137" s="41"/>
      <c r="G137" s="10">
        <f>G138</f>
        <v>0</v>
      </c>
    </row>
    <row r="138" spans="1:7" ht="63" hidden="1">
      <c r="A138" s="30" t="s">
        <v>289</v>
      </c>
      <c r="B138" s="41" t="s">
        <v>618</v>
      </c>
      <c r="C138" s="41" t="s">
        <v>281</v>
      </c>
      <c r="D138" s="41" t="s">
        <v>135</v>
      </c>
      <c r="E138" s="41" t="s">
        <v>290</v>
      </c>
      <c r="F138" s="41"/>
      <c r="G138" s="10">
        <f>G139</f>
        <v>0</v>
      </c>
    </row>
    <row r="139" spans="1:7" ht="15.75" hidden="1">
      <c r="A139" s="30" t="s">
        <v>291</v>
      </c>
      <c r="B139" s="41" t="s">
        <v>618</v>
      </c>
      <c r="C139" s="41" t="s">
        <v>281</v>
      </c>
      <c r="D139" s="41" t="s">
        <v>135</v>
      </c>
      <c r="E139" s="41" t="s">
        <v>292</v>
      </c>
      <c r="F139" s="41"/>
      <c r="G139" s="10"/>
    </row>
    <row r="140" spans="1:7" ht="47.25" hidden="1">
      <c r="A140" s="30" t="s">
        <v>420</v>
      </c>
      <c r="B140" s="41" t="s">
        <v>618</v>
      </c>
      <c r="C140" s="41" t="s">
        <v>281</v>
      </c>
      <c r="D140" s="41" t="s">
        <v>135</v>
      </c>
      <c r="E140" s="41"/>
      <c r="F140" s="41" t="s">
        <v>654</v>
      </c>
      <c r="G140" s="10">
        <v>0</v>
      </c>
    </row>
    <row r="141" spans="1:7" ht="47.25">
      <c r="A141" s="42" t="s">
        <v>447</v>
      </c>
      <c r="B141" s="7" t="s">
        <v>448</v>
      </c>
      <c r="C141" s="7"/>
      <c r="D141" s="7"/>
      <c r="E141" s="7"/>
      <c r="F141" s="7"/>
      <c r="G141" s="4" t="e">
        <f>G162</f>
        <v>#REF!</v>
      </c>
    </row>
    <row r="142" spans="1:7" ht="70.5" customHeight="1" hidden="1">
      <c r="A142" s="30" t="s">
        <v>613</v>
      </c>
      <c r="B142" s="41" t="s">
        <v>619</v>
      </c>
      <c r="C142" s="41" t="s">
        <v>281</v>
      </c>
      <c r="D142" s="41" t="s">
        <v>230</v>
      </c>
      <c r="E142" s="41"/>
      <c r="F142" s="41"/>
      <c r="G142" s="10">
        <f>G143</f>
        <v>0</v>
      </c>
    </row>
    <row r="143" spans="1:7" ht="63" hidden="1">
      <c r="A143" s="30" t="s">
        <v>289</v>
      </c>
      <c r="B143" s="41" t="s">
        <v>619</v>
      </c>
      <c r="C143" s="41" t="s">
        <v>281</v>
      </c>
      <c r="D143" s="41" t="s">
        <v>230</v>
      </c>
      <c r="E143" s="41" t="s">
        <v>290</v>
      </c>
      <c r="F143" s="41"/>
      <c r="G143" s="10">
        <f>G145</f>
        <v>0</v>
      </c>
    </row>
    <row r="144" spans="1:7" ht="18.75" customHeight="1" hidden="1">
      <c r="A144" s="30" t="s">
        <v>291</v>
      </c>
      <c r="B144" s="41" t="s">
        <v>619</v>
      </c>
      <c r="C144" s="41" t="s">
        <v>281</v>
      </c>
      <c r="D144" s="41" t="s">
        <v>230</v>
      </c>
      <c r="E144" s="41" t="s">
        <v>292</v>
      </c>
      <c r="F144" s="41"/>
      <c r="G144" s="10"/>
    </row>
    <row r="145" spans="1:7" ht="47.25" hidden="1">
      <c r="A145" s="30" t="s">
        <v>420</v>
      </c>
      <c r="B145" s="41" t="s">
        <v>619</v>
      </c>
      <c r="C145" s="41" t="s">
        <v>281</v>
      </c>
      <c r="D145" s="41" t="s">
        <v>230</v>
      </c>
      <c r="E145" s="41"/>
      <c r="F145" s="41" t="s">
        <v>654</v>
      </c>
      <c r="G145" s="10"/>
    </row>
    <row r="146" spans="1:7" ht="78.75" hidden="1">
      <c r="A146" s="25" t="s">
        <v>449</v>
      </c>
      <c r="B146" s="41" t="s">
        <v>450</v>
      </c>
      <c r="C146" s="41" t="s">
        <v>281</v>
      </c>
      <c r="D146" s="41" t="s">
        <v>230</v>
      </c>
      <c r="E146" s="41"/>
      <c r="F146" s="41"/>
      <c r="G146" s="10">
        <f>G147</f>
        <v>0</v>
      </c>
    </row>
    <row r="147" spans="1:7" ht="63" hidden="1">
      <c r="A147" s="30" t="s">
        <v>289</v>
      </c>
      <c r="B147" s="41" t="s">
        <v>450</v>
      </c>
      <c r="C147" s="41" t="s">
        <v>281</v>
      </c>
      <c r="D147" s="41" t="s">
        <v>230</v>
      </c>
      <c r="E147" s="41" t="s">
        <v>290</v>
      </c>
      <c r="F147" s="41"/>
      <c r="G147" s="10">
        <f>G148</f>
        <v>0</v>
      </c>
    </row>
    <row r="148" spans="1:7" ht="15.75" hidden="1">
      <c r="A148" s="30" t="s">
        <v>291</v>
      </c>
      <c r="B148" s="41" t="s">
        <v>450</v>
      </c>
      <c r="C148" s="41" t="s">
        <v>281</v>
      </c>
      <c r="D148" s="41" t="s">
        <v>230</v>
      </c>
      <c r="E148" s="41" t="s">
        <v>292</v>
      </c>
      <c r="F148" s="41"/>
      <c r="G148" s="10"/>
    </row>
    <row r="149" spans="1:7" ht="54.75" customHeight="1" hidden="1">
      <c r="A149" s="30" t="s">
        <v>420</v>
      </c>
      <c r="B149" s="41" t="s">
        <v>450</v>
      </c>
      <c r="C149" s="41" t="s">
        <v>281</v>
      </c>
      <c r="D149" s="41" t="s">
        <v>230</v>
      </c>
      <c r="E149" s="41"/>
      <c r="F149" s="41" t="s">
        <v>654</v>
      </c>
      <c r="G149" s="10">
        <f>G146</f>
        <v>0</v>
      </c>
    </row>
    <row r="150" spans="1:7" ht="31.5" hidden="1">
      <c r="A150" s="25" t="s">
        <v>451</v>
      </c>
      <c r="B150" s="20" t="s">
        <v>452</v>
      </c>
      <c r="C150" s="41" t="s">
        <v>281</v>
      </c>
      <c r="D150" s="41" t="s">
        <v>230</v>
      </c>
      <c r="E150" s="41"/>
      <c r="F150" s="41"/>
      <c r="G150" s="10">
        <f>G151</f>
        <v>0</v>
      </c>
    </row>
    <row r="151" spans="1:7" ht="65.25" customHeight="1" hidden="1">
      <c r="A151" s="25" t="s">
        <v>289</v>
      </c>
      <c r="B151" s="20" t="s">
        <v>452</v>
      </c>
      <c r="C151" s="41" t="s">
        <v>281</v>
      </c>
      <c r="D151" s="41" t="s">
        <v>230</v>
      </c>
      <c r="E151" s="41" t="s">
        <v>290</v>
      </c>
      <c r="F151" s="41"/>
      <c r="G151" s="10">
        <f>G152</f>
        <v>0</v>
      </c>
    </row>
    <row r="152" spans="1:7" ht="15.75" hidden="1">
      <c r="A152" s="25" t="s">
        <v>291</v>
      </c>
      <c r="B152" s="20" t="s">
        <v>452</v>
      </c>
      <c r="C152" s="41" t="s">
        <v>281</v>
      </c>
      <c r="D152" s="41" t="s">
        <v>230</v>
      </c>
      <c r="E152" s="41" t="s">
        <v>292</v>
      </c>
      <c r="F152" s="41"/>
      <c r="G152" s="10"/>
    </row>
    <row r="153" spans="1:7" ht="47.25" hidden="1">
      <c r="A153" s="30" t="s">
        <v>420</v>
      </c>
      <c r="B153" s="20" t="s">
        <v>452</v>
      </c>
      <c r="C153" s="41" t="s">
        <v>281</v>
      </c>
      <c r="D153" s="41" t="s">
        <v>230</v>
      </c>
      <c r="E153" s="41"/>
      <c r="F153" s="41" t="s">
        <v>654</v>
      </c>
      <c r="G153" s="10">
        <f>G150</f>
        <v>0</v>
      </c>
    </row>
    <row r="154" spans="1:7" ht="63" hidden="1">
      <c r="A154" s="25" t="s">
        <v>455</v>
      </c>
      <c r="B154" s="20" t="s">
        <v>456</v>
      </c>
      <c r="C154" s="41" t="s">
        <v>281</v>
      </c>
      <c r="D154" s="41" t="s">
        <v>230</v>
      </c>
      <c r="E154" s="41"/>
      <c r="F154" s="41"/>
      <c r="G154" s="10">
        <f>G155</f>
        <v>0</v>
      </c>
    </row>
    <row r="155" spans="1:7" ht="63" hidden="1">
      <c r="A155" s="30" t="s">
        <v>289</v>
      </c>
      <c r="B155" s="20" t="s">
        <v>456</v>
      </c>
      <c r="C155" s="41" t="s">
        <v>281</v>
      </c>
      <c r="D155" s="41" t="s">
        <v>230</v>
      </c>
      <c r="E155" s="41" t="s">
        <v>290</v>
      </c>
      <c r="F155" s="41"/>
      <c r="G155" s="10">
        <f>G156</f>
        <v>0</v>
      </c>
    </row>
    <row r="156" spans="1:7" ht="15.75" hidden="1">
      <c r="A156" s="30" t="s">
        <v>291</v>
      </c>
      <c r="B156" s="20" t="s">
        <v>456</v>
      </c>
      <c r="C156" s="41" t="s">
        <v>281</v>
      </c>
      <c r="D156" s="41" t="s">
        <v>230</v>
      </c>
      <c r="E156" s="41" t="s">
        <v>292</v>
      </c>
      <c r="F156" s="41"/>
      <c r="G156" s="10"/>
    </row>
    <row r="157" spans="1:7" ht="47.25" hidden="1">
      <c r="A157" s="30" t="s">
        <v>420</v>
      </c>
      <c r="B157" s="20" t="s">
        <v>456</v>
      </c>
      <c r="C157" s="41" t="s">
        <v>281</v>
      </c>
      <c r="D157" s="41" t="s">
        <v>230</v>
      </c>
      <c r="E157" s="41"/>
      <c r="F157" s="41" t="s">
        <v>654</v>
      </c>
      <c r="G157" s="10">
        <f>G156</f>
        <v>0</v>
      </c>
    </row>
    <row r="158" spans="1:7" ht="47.25" hidden="1">
      <c r="A158" s="25" t="s">
        <v>621</v>
      </c>
      <c r="B158" s="20" t="s">
        <v>459</v>
      </c>
      <c r="C158" s="41" t="s">
        <v>281</v>
      </c>
      <c r="D158" s="41" t="s">
        <v>230</v>
      </c>
      <c r="E158" s="41"/>
      <c r="F158" s="41"/>
      <c r="G158" s="10">
        <f>G159</f>
        <v>0</v>
      </c>
    </row>
    <row r="159" spans="1:7" ht="63" hidden="1">
      <c r="A159" s="25" t="s">
        <v>289</v>
      </c>
      <c r="B159" s="20" t="s">
        <v>459</v>
      </c>
      <c r="C159" s="41" t="s">
        <v>281</v>
      </c>
      <c r="D159" s="41" t="s">
        <v>230</v>
      </c>
      <c r="E159" s="41" t="s">
        <v>290</v>
      </c>
      <c r="F159" s="41"/>
      <c r="G159" s="10">
        <f>G160</f>
        <v>0</v>
      </c>
    </row>
    <row r="160" spans="1:7" ht="15.75" hidden="1">
      <c r="A160" s="25" t="s">
        <v>291</v>
      </c>
      <c r="B160" s="20" t="s">
        <v>459</v>
      </c>
      <c r="C160" s="41" t="s">
        <v>281</v>
      </c>
      <c r="D160" s="41" t="s">
        <v>230</v>
      </c>
      <c r="E160" s="41" t="s">
        <v>292</v>
      </c>
      <c r="F160" s="41"/>
      <c r="G160" s="10"/>
    </row>
    <row r="161" spans="1:7" ht="47.25" hidden="1">
      <c r="A161" s="30" t="s">
        <v>420</v>
      </c>
      <c r="B161" s="20" t="s">
        <v>459</v>
      </c>
      <c r="C161" s="41" t="s">
        <v>281</v>
      </c>
      <c r="D161" s="41" t="s">
        <v>230</v>
      </c>
      <c r="E161" s="41"/>
      <c r="F161" s="41" t="s">
        <v>654</v>
      </c>
      <c r="G161" s="10">
        <f>G159</f>
        <v>0</v>
      </c>
    </row>
    <row r="162" spans="1:7" ht="15.75">
      <c r="A162" s="30" t="s">
        <v>280</v>
      </c>
      <c r="B162" s="41" t="s">
        <v>448</v>
      </c>
      <c r="C162" s="41" t="s">
        <v>281</v>
      </c>
      <c r="D162" s="41"/>
      <c r="E162" s="41"/>
      <c r="F162" s="41"/>
      <c r="G162" s="10" t="e">
        <f>G163</f>
        <v>#REF!</v>
      </c>
    </row>
    <row r="163" spans="1:7" ht="15.75">
      <c r="A163" s="30" t="s">
        <v>442</v>
      </c>
      <c r="B163" s="41" t="s">
        <v>448</v>
      </c>
      <c r="C163" s="41" t="s">
        <v>281</v>
      </c>
      <c r="D163" s="41" t="s">
        <v>230</v>
      </c>
      <c r="E163" s="41"/>
      <c r="F163" s="41"/>
      <c r="G163" s="10" t="e">
        <f>G164+G167+G173+G170+G176</f>
        <v>#REF!</v>
      </c>
    </row>
    <row r="164" spans="1:7" ht="78.75">
      <c r="A164" s="30" t="s">
        <v>620</v>
      </c>
      <c r="B164" s="20" t="s">
        <v>454</v>
      </c>
      <c r="C164" s="41" t="s">
        <v>281</v>
      </c>
      <c r="D164" s="41" t="s">
        <v>230</v>
      </c>
      <c r="E164" s="41"/>
      <c r="F164" s="41"/>
      <c r="G164" s="10" t="e">
        <f>G165</f>
        <v>#REF!</v>
      </c>
    </row>
    <row r="165" spans="1:7" ht="63">
      <c r="A165" s="30" t="s">
        <v>289</v>
      </c>
      <c r="B165" s="20" t="s">
        <v>454</v>
      </c>
      <c r="C165" s="41" t="s">
        <v>281</v>
      </c>
      <c r="D165" s="41" t="s">
        <v>230</v>
      </c>
      <c r="E165" s="41" t="s">
        <v>290</v>
      </c>
      <c r="F165" s="41"/>
      <c r="G165" s="10" t="e">
        <f>G166</f>
        <v>#REF!</v>
      </c>
    </row>
    <row r="166" spans="1:7" ht="24" customHeight="1">
      <c r="A166" s="30" t="s">
        <v>291</v>
      </c>
      <c r="B166" s="20" t="s">
        <v>454</v>
      </c>
      <c r="C166" s="41" t="s">
        <v>281</v>
      </c>
      <c r="D166" s="41" t="s">
        <v>230</v>
      </c>
      <c r="E166" s="41" t="s">
        <v>292</v>
      </c>
      <c r="F166" s="41"/>
      <c r="G166" s="6" t="e">
        <f>#REF!</f>
        <v>#REF!</v>
      </c>
    </row>
    <row r="167" spans="1:7" ht="63">
      <c r="A167" s="25" t="s">
        <v>455</v>
      </c>
      <c r="B167" s="20" t="s">
        <v>456</v>
      </c>
      <c r="C167" s="41" t="s">
        <v>281</v>
      </c>
      <c r="D167" s="41" t="s">
        <v>230</v>
      </c>
      <c r="E167" s="41"/>
      <c r="F167" s="41"/>
      <c r="G167" s="6" t="e">
        <f>G168</f>
        <v>#REF!</v>
      </c>
    </row>
    <row r="168" spans="1:7" ht="63">
      <c r="A168" s="25" t="s">
        <v>289</v>
      </c>
      <c r="B168" s="20" t="s">
        <v>456</v>
      </c>
      <c r="C168" s="41" t="s">
        <v>281</v>
      </c>
      <c r="D168" s="41" t="s">
        <v>230</v>
      </c>
      <c r="E168" s="41" t="s">
        <v>290</v>
      </c>
      <c r="F168" s="41"/>
      <c r="G168" s="6" t="e">
        <f>G169</f>
        <v>#REF!</v>
      </c>
    </row>
    <row r="169" spans="1:7" ht="15.75">
      <c r="A169" s="25" t="s">
        <v>291</v>
      </c>
      <c r="B169" s="20" t="s">
        <v>456</v>
      </c>
      <c r="C169" s="41" t="s">
        <v>281</v>
      </c>
      <c r="D169" s="41" t="s">
        <v>230</v>
      </c>
      <c r="E169" s="41" t="s">
        <v>292</v>
      </c>
      <c r="F169" s="41"/>
      <c r="G169" s="6" t="e">
        <f>#REF!</f>
        <v>#REF!</v>
      </c>
    </row>
    <row r="170" spans="1:7" ht="47.25">
      <c r="A170" s="25" t="s">
        <v>295</v>
      </c>
      <c r="B170" s="41" t="s">
        <v>459</v>
      </c>
      <c r="C170" s="41" t="s">
        <v>281</v>
      </c>
      <c r="D170" s="41" t="s">
        <v>230</v>
      </c>
      <c r="E170" s="41"/>
      <c r="F170" s="41"/>
      <c r="G170" s="6" t="e">
        <f>G171</f>
        <v>#REF!</v>
      </c>
    </row>
    <row r="171" spans="1:7" ht="63">
      <c r="A171" s="25" t="s">
        <v>289</v>
      </c>
      <c r="B171" s="41" t="s">
        <v>459</v>
      </c>
      <c r="C171" s="41" t="s">
        <v>281</v>
      </c>
      <c r="D171" s="41" t="s">
        <v>230</v>
      </c>
      <c r="E171" s="41" t="s">
        <v>290</v>
      </c>
      <c r="F171" s="41"/>
      <c r="G171" s="6" t="e">
        <f>G172</f>
        <v>#REF!</v>
      </c>
    </row>
    <row r="172" spans="1:8" ht="15.75">
      <c r="A172" s="25" t="s">
        <v>291</v>
      </c>
      <c r="B172" s="41" t="s">
        <v>459</v>
      </c>
      <c r="C172" s="41" t="s">
        <v>281</v>
      </c>
      <c r="D172" s="41" t="s">
        <v>230</v>
      </c>
      <c r="E172" s="41" t="s">
        <v>292</v>
      </c>
      <c r="F172" s="41"/>
      <c r="G172" s="6" t="e">
        <f>#REF!</f>
        <v>#REF!</v>
      </c>
      <c r="H172" s="121"/>
    </row>
    <row r="173" spans="1:7" ht="47.25">
      <c r="A173" s="30" t="s">
        <v>299</v>
      </c>
      <c r="B173" s="41" t="s">
        <v>461</v>
      </c>
      <c r="C173" s="41" t="s">
        <v>281</v>
      </c>
      <c r="D173" s="41" t="s">
        <v>230</v>
      </c>
      <c r="E173" s="41"/>
      <c r="F173" s="41"/>
      <c r="G173" s="10" t="e">
        <f>G174</f>
        <v>#REF!</v>
      </c>
    </row>
    <row r="174" spans="1:7" ht="63">
      <c r="A174" s="30" t="s">
        <v>289</v>
      </c>
      <c r="B174" s="41" t="s">
        <v>461</v>
      </c>
      <c r="C174" s="41" t="s">
        <v>281</v>
      </c>
      <c r="D174" s="41" t="s">
        <v>230</v>
      </c>
      <c r="E174" s="41" t="s">
        <v>290</v>
      </c>
      <c r="F174" s="41"/>
      <c r="G174" s="10" t="e">
        <f>G175</f>
        <v>#REF!</v>
      </c>
    </row>
    <row r="175" spans="1:7" ht="26.25" customHeight="1">
      <c r="A175" s="30" t="s">
        <v>291</v>
      </c>
      <c r="B175" s="41" t="s">
        <v>461</v>
      </c>
      <c r="C175" s="41" t="s">
        <v>281</v>
      </c>
      <c r="D175" s="41" t="s">
        <v>230</v>
      </c>
      <c r="E175" s="41" t="s">
        <v>292</v>
      </c>
      <c r="F175" s="41"/>
      <c r="G175" s="10" t="e">
        <f>#REF!</f>
        <v>#REF!</v>
      </c>
    </row>
    <row r="176" spans="1:7" ht="31.5">
      <c r="A176" s="30" t="s">
        <v>301</v>
      </c>
      <c r="B176" s="41" t="s">
        <v>462</v>
      </c>
      <c r="C176" s="41" t="s">
        <v>281</v>
      </c>
      <c r="D176" s="41" t="s">
        <v>230</v>
      </c>
      <c r="E176" s="41"/>
      <c r="F176" s="41"/>
      <c r="G176" s="10" t="e">
        <f>G177</f>
        <v>#REF!</v>
      </c>
    </row>
    <row r="177" spans="1:7" ht="63">
      <c r="A177" s="30" t="s">
        <v>289</v>
      </c>
      <c r="B177" s="41" t="s">
        <v>462</v>
      </c>
      <c r="C177" s="41" t="s">
        <v>281</v>
      </c>
      <c r="D177" s="41" t="s">
        <v>230</v>
      </c>
      <c r="E177" s="41" t="s">
        <v>290</v>
      </c>
      <c r="F177" s="41"/>
      <c r="G177" s="10" t="e">
        <f>G178</f>
        <v>#REF!</v>
      </c>
    </row>
    <row r="178" spans="1:7" ht="26.25" customHeight="1">
      <c r="A178" s="30" t="s">
        <v>291</v>
      </c>
      <c r="B178" s="41" t="s">
        <v>462</v>
      </c>
      <c r="C178" s="41" t="s">
        <v>281</v>
      </c>
      <c r="D178" s="41" t="s">
        <v>230</v>
      </c>
      <c r="E178" s="41" t="s">
        <v>292</v>
      </c>
      <c r="F178" s="41"/>
      <c r="G178" s="10" t="e">
        <f>#REF!</f>
        <v>#REF!</v>
      </c>
    </row>
    <row r="179" spans="1:7" ht="47.25">
      <c r="A179" s="30" t="s">
        <v>420</v>
      </c>
      <c r="B179" s="41" t="s">
        <v>448</v>
      </c>
      <c r="C179" s="41" t="s">
        <v>281</v>
      </c>
      <c r="D179" s="41" t="s">
        <v>230</v>
      </c>
      <c r="E179" s="41"/>
      <c r="F179" s="41" t="s">
        <v>654</v>
      </c>
      <c r="G179" s="10" t="e">
        <f>G141</f>
        <v>#REF!</v>
      </c>
    </row>
    <row r="180" spans="1:7" ht="31.5" hidden="1">
      <c r="A180" s="30" t="s">
        <v>301</v>
      </c>
      <c r="B180" s="41" t="s">
        <v>622</v>
      </c>
      <c r="C180" s="41" t="s">
        <v>281</v>
      </c>
      <c r="D180" s="41" t="s">
        <v>230</v>
      </c>
      <c r="E180" s="41"/>
      <c r="F180" s="41"/>
      <c r="G180" s="10">
        <f>G181</f>
        <v>0</v>
      </c>
    </row>
    <row r="181" spans="1:7" ht="63" hidden="1">
      <c r="A181" s="30" t="s">
        <v>289</v>
      </c>
      <c r="B181" s="41" t="s">
        <v>622</v>
      </c>
      <c r="C181" s="41" t="s">
        <v>281</v>
      </c>
      <c r="D181" s="41" t="s">
        <v>230</v>
      </c>
      <c r="E181" s="41" t="s">
        <v>290</v>
      </c>
      <c r="F181" s="41"/>
      <c r="G181" s="10">
        <f>G182</f>
        <v>0</v>
      </c>
    </row>
    <row r="182" spans="1:7" ht="15.75" hidden="1">
      <c r="A182" s="30" t="s">
        <v>291</v>
      </c>
      <c r="B182" s="41" t="s">
        <v>622</v>
      </c>
      <c r="C182" s="41" t="s">
        <v>281</v>
      </c>
      <c r="D182" s="41" t="s">
        <v>230</v>
      </c>
      <c r="E182" s="41" t="s">
        <v>292</v>
      </c>
      <c r="F182" s="41"/>
      <c r="G182" s="10"/>
    </row>
    <row r="183" spans="1:7" ht="47.25" hidden="1">
      <c r="A183" s="30" t="s">
        <v>420</v>
      </c>
      <c r="B183" s="41" t="s">
        <v>622</v>
      </c>
      <c r="C183" s="41" t="s">
        <v>281</v>
      </c>
      <c r="D183" s="41" t="s">
        <v>230</v>
      </c>
      <c r="E183" s="41"/>
      <c r="F183" s="41" t="s">
        <v>654</v>
      </c>
      <c r="G183" s="10">
        <v>0</v>
      </c>
    </row>
    <row r="184" spans="1:7" ht="47.25" hidden="1">
      <c r="A184" s="30" t="s">
        <v>655</v>
      </c>
      <c r="B184" s="41" t="s">
        <v>623</v>
      </c>
      <c r="C184" s="41" t="s">
        <v>281</v>
      </c>
      <c r="D184" s="41" t="s">
        <v>230</v>
      </c>
      <c r="E184" s="41"/>
      <c r="F184" s="41"/>
      <c r="G184" s="10">
        <f>G185</f>
        <v>0</v>
      </c>
    </row>
    <row r="185" spans="1:7" ht="63" hidden="1">
      <c r="A185" s="30" t="s">
        <v>289</v>
      </c>
      <c r="B185" s="41" t="s">
        <v>623</v>
      </c>
      <c r="C185" s="41" t="s">
        <v>281</v>
      </c>
      <c r="D185" s="41" t="s">
        <v>230</v>
      </c>
      <c r="E185" s="41" t="s">
        <v>290</v>
      </c>
      <c r="F185" s="41"/>
      <c r="G185" s="10">
        <f>G186</f>
        <v>0</v>
      </c>
    </row>
    <row r="186" spans="1:7" ht="15.75" hidden="1">
      <c r="A186" s="30" t="s">
        <v>291</v>
      </c>
      <c r="B186" s="41" t="s">
        <v>623</v>
      </c>
      <c r="C186" s="41" t="s">
        <v>281</v>
      </c>
      <c r="D186" s="41" t="s">
        <v>230</v>
      </c>
      <c r="E186" s="41" t="s">
        <v>292</v>
      </c>
      <c r="F186" s="41"/>
      <c r="G186" s="10"/>
    </row>
    <row r="187" spans="1:7" ht="47.25" hidden="1">
      <c r="A187" s="30" t="s">
        <v>420</v>
      </c>
      <c r="B187" s="41" t="s">
        <v>623</v>
      </c>
      <c r="C187" s="41" t="s">
        <v>281</v>
      </c>
      <c r="D187" s="41" t="s">
        <v>230</v>
      </c>
      <c r="E187" s="41"/>
      <c r="F187" s="41" t="s">
        <v>654</v>
      </c>
      <c r="G187" s="10">
        <v>0</v>
      </c>
    </row>
    <row r="188" spans="1:7" ht="45.75" customHeight="1">
      <c r="A188" s="42" t="s">
        <v>463</v>
      </c>
      <c r="B188" s="7" t="s">
        <v>464</v>
      </c>
      <c r="C188" s="7"/>
      <c r="D188" s="7"/>
      <c r="E188" s="7"/>
      <c r="F188" s="7"/>
      <c r="G188" s="62" t="e">
        <f>G189</f>
        <v>#REF!</v>
      </c>
    </row>
    <row r="189" spans="1:7" ht="21" customHeight="1">
      <c r="A189" s="30" t="s">
        <v>280</v>
      </c>
      <c r="B189" s="41" t="s">
        <v>464</v>
      </c>
      <c r="C189" s="41" t="s">
        <v>281</v>
      </c>
      <c r="D189" s="41"/>
      <c r="E189" s="41"/>
      <c r="F189" s="41"/>
      <c r="G189" s="10" t="e">
        <f>G190</f>
        <v>#REF!</v>
      </c>
    </row>
    <row r="190" spans="1:7" ht="22.5" customHeight="1">
      <c r="A190" s="30" t="s">
        <v>282</v>
      </c>
      <c r="B190" s="41" t="s">
        <v>464</v>
      </c>
      <c r="C190" s="41" t="s">
        <v>281</v>
      </c>
      <c r="D190" s="41" t="s">
        <v>232</v>
      </c>
      <c r="E190" s="41"/>
      <c r="F190" s="41"/>
      <c r="G190" s="10" t="e">
        <f>G191</f>
        <v>#REF!</v>
      </c>
    </row>
    <row r="191" spans="1:7" ht="31.5">
      <c r="A191" s="46" t="s">
        <v>724</v>
      </c>
      <c r="B191" s="20" t="s">
        <v>725</v>
      </c>
      <c r="C191" s="41" t="s">
        <v>281</v>
      </c>
      <c r="D191" s="41" t="s">
        <v>232</v>
      </c>
      <c r="E191" s="41"/>
      <c r="F191" s="41"/>
      <c r="G191" s="10" t="e">
        <f>G192</f>
        <v>#REF!</v>
      </c>
    </row>
    <row r="192" spans="1:7" ht="63">
      <c r="A192" s="30" t="s">
        <v>289</v>
      </c>
      <c r="B192" s="20" t="s">
        <v>725</v>
      </c>
      <c r="C192" s="41" t="s">
        <v>281</v>
      </c>
      <c r="D192" s="41" t="s">
        <v>232</v>
      </c>
      <c r="E192" s="41" t="s">
        <v>290</v>
      </c>
      <c r="F192" s="41"/>
      <c r="G192" s="10" t="e">
        <f>G193</f>
        <v>#REF!</v>
      </c>
    </row>
    <row r="193" spans="1:8" ht="15.75">
      <c r="A193" s="30" t="s">
        <v>291</v>
      </c>
      <c r="B193" s="20" t="s">
        <v>725</v>
      </c>
      <c r="C193" s="41" t="s">
        <v>281</v>
      </c>
      <c r="D193" s="41" t="s">
        <v>232</v>
      </c>
      <c r="E193" s="41" t="s">
        <v>292</v>
      </c>
      <c r="F193" s="41"/>
      <c r="G193" s="10" t="e">
        <f>#REF!</f>
        <v>#REF!</v>
      </c>
      <c r="H193" s="121"/>
    </row>
    <row r="194" spans="1:7" ht="47.25">
      <c r="A194" s="30" t="s">
        <v>420</v>
      </c>
      <c r="B194" s="20" t="s">
        <v>725</v>
      </c>
      <c r="C194" s="41" t="s">
        <v>281</v>
      </c>
      <c r="D194" s="41" t="s">
        <v>232</v>
      </c>
      <c r="E194" s="41"/>
      <c r="F194" s="41" t="s">
        <v>654</v>
      </c>
      <c r="G194" s="10" t="e">
        <f>G189</f>
        <v>#REF!</v>
      </c>
    </row>
    <row r="195" spans="1:7" ht="47.25" hidden="1">
      <c r="A195" s="30" t="s">
        <v>656</v>
      </c>
      <c r="B195" s="41" t="s">
        <v>624</v>
      </c>
      <c r="C195" s="41" t="s">
        <v>281</v>
      </c>
      <c r="D195" s="41" t="s">
        <v>230</v>
      </c>
      <c r="E195" s="41"/>
      <c r="F195" s="41"/>
      <c r="G195" s="10">
        <f>G199</f>
        <v>0</v>
      </c>
    </row>
    <row r="196" spans="1:7" ht="63" hidden="1">
      <c r="A196" s="30" t="s">
        <v>289</v>
      </c>
      <c r="B196" s="41" t="s">
        <v>624</v>
      </c>
      <c r="C196" s="41" t="s">
        <v>485</v>
      </c>
      <c r="D196" s="41" t="s">
        <v>657</v>
      </c>
      <c r="E196" s="41" t="s">
        <v>290</v>
      </c>
      <c r="F196" s="41"/>
      <c r="G196" s="10">
        <f>G197</f>
        <v>0</v>
      </c>
    </row>
    <row r="197" spans="1:7" ht="15.75" hidden="1">
      <c r="A197" s="30" t="s">
        <v>291</v>
      </c>
      <c r="B197" s="41" t="s">
        <v>624</v>
      </c>
      <c r="C197" s="41" t="s">
        <v>485</v>
      </c>
      <c r="D197" s="41" t="s">
        <v>657</v>
      </c>
      <c r="E197" s="41" t="s">
        <v>292</v>
      </c>
      <c r="F197" s="41"/>
      <c r="G197" s="10">
        <f>G198</f>
        <v>0</v>
      </c>
    </row>
    <row r="198" spans="1:7" ht="31.5" hidden="1">
      <c r="A198" s="30" t="s">
        <v>616</v>
      </c>
      <c r="B198" s="41" t="s">
        <v>624</v>
      </c>
      <c r="C198" s="41" t="s">
        <v>485</v>
      </c>
      <c r="D198" s="41" t="s">
        <v>657</v>
      </c>
      <c r="E198" s="41" t="s">
        <v>617</v>
      </c>
      <c r="F198" s="41"/>
      <c r="G198" s="10">
        <f>G199</f>
        <v>0</v>
      </c>
    </row>
    <row r="199" spans="1:7" ht="47.25" hidden="1">
      <c r="A199" s="30" t="s">
        <v>420</v>
      </c>
      <c r="B199" s="41" t="s">
        <v>624</v>
      </c>
      <c r="C199" s="41" t="s">
        <v>281</v>
      </c>
      <c r="D199" s="41" t="s">
        <v>230</v>
      </c>
      <c r="E199" s="41"/>
      <c r="F199" s="41" t="s">
        <v>654</v>
      </c>
      <c r="G199" s="10"/>
    </row>
    <row r="200" spans="1:7" ht="47.25" hidden="1">
      <c r="A200" s="30" t="s">
        <v>658</v>
      </c>
      <c r="B200" s="20" t="s">
        <v>465</v>
      </c>
      <c r="C200" s="41" t="s">
        <v>281</v>
      </c>
      <c r="D200" s="41" t="s">
        <v>230</v>
      </c>
      <c r="E200" s="41"/>
      <c r="F200" s="41"/>
      <c r="G200" s="10">
        <f>G201</f>
        <v>0</v>
      </c>
    </row>
    <row r="201" spans="1:7" ht="31.5" hidden="1">
      <c r="A201" s="30" t="s">
        <v>297</v>
      </c>
      <c r="B201" s="20" t="s">
        <v>465</v>
      </c>
      <c r="C201" s="41" t="s">
        <v>281</v>
      </c>
      <c r="D201" s="41" t="s">
        <v>230</v>
      </c>
      <c r="E201" s="41" t="s">
        <v>290</v>
      </c>
      <c r="F201" s="41"/>
      <c r="G201" s="10">
        <f>G202</f>
        <v>0</v>
      </c>
    </row>
    <row r="202" spans="1:7" ht="15.75" hidden="1">
      <c r="A202" s="30" t="s">
        <v>291</v>
      </c>
      <c r="B202" s="20" t="s">
        <v>465</v>
      </c>
      <c r="C202" s="41" t="s">
        <v>281</v>
      </c>
      <c r="D202" s="41" t="s">
        <v>230</v>
      </c>
      <c r="E202" s="41" t="s">
        <v>292</v>
      </c>
      <c r="F202" s="41"/>
      <c r="G202" s="10"/>
    </row>
    <row r="203" spans="1:7" ht="31.5" hidden="1">
      <c r="A203" s="30" t="s">
        <v>616</v>
      </c>
      <c r="B203" s="20" t="s">
        <v>465</v>
      </c>
      <c r="C203" s="41" t="s">
        <v>281</v>
      </c>
      <c r="D203" s="41" t="s">
        <v>230</v>
      </c>
      <c r="E203" s="41" t="s">
        <v>617</v>
      </c>
      <c r="F203" s="41"/>
      <c r="G203" s="10"/>
    </row>
    <row r="204" spans="1:7" ht="47.25" hidden="1">
      <c r="A204" s="30" t="s">
        <v>420</v>
      </c>
      <c r="B204" s="20" t="s">
        <v>465</v>
      </c>
      <c r="C204" s="41" t="s">
        <v>281</v>
      </c>
      <c r="D204" s="41" t="s">
        <v>230</v>
      </c>
      <c r="E204" s="41"/>
      <c r="F204" s="41" t="s">
        <v>654</v>
      </c>
      <c r="G204" s="6">
        <f>G200</f>
        <v>0</v>
      </c>
    </row>
    <row r="205" spans="1:7" ht="47.25" hidden="1">
      <c r="A205" s="30" t="s">
        <v>621</v>
      </c>
      <c r="B205" s="41" t="s">
        <v>466</v>
      </c>
      <c r="C205" s="41" t="s">
        <v>281</v>
      </c>
      <c r="D205" s="41" t="s">
        <v>230</v>
      </c>
      <c r="E205" s="41"/>
      <c r="F205" s="41"/>
      <c r="G205" s="10">
        <f>G206</f>
        <v>0</v>
      </c>
    </row>
    <row r="206" spans="1:7" ht="63" hidden="1">
      <c r="A206" s="30" t="s">
        <v>289</v>
      </c>
      <c r="B206" s="41" t="s">
        <v>466</v>
      </c>
      <c r="C206" s="41" t="s">
        <v>281</v>
      </c>
      <c r="D206" s="41" t="s">
        <v>230</v>
      </c>
      <c r="E206" s="41" t="s">
        <v>290</v>
      </c>
      <c r="F206" s="41"/>
      <c r="G206" s="10">
        <f>G207</f>
        <v>0</v>
      </c>
    </row>
    <row r="207" spans="1:7" ht="15.75" hidden="1">
      <c r="A207" s="30" t="s">
        <v>291</v>
      </c>
      <c r="B207" s="41" t="s">
        <v>466</v>
      </c>
      <c r="C207" s="41" t="s">
        <v>281</v>
      </c>
      <c r="D207" s="41" t="s">
        <v>230</v>
      </c>
      <c r="E207" s="41" t="s">
        <v>292</v>
      </c>
      <c r="F207" s="41" t="s">
        <v>654</v>
      </c>
      <c r="G207" s="10"/>
    </row>
    <row r="208" spans="1:7" ht="15.75" hidden="1">
      <c r="A208" s="30"/>
      <c r="B208" s="41"/>
      <c r="C208" s="41"/>
      <c r="D208" s="41"/>
      <c r="E208" s="41"/>
      <c r="F208" s="41"/>
      <c r="G208" s="10"/>
    </row>
    <row r="209" spans="1:7" ht="15.75" hidden="1">
      <c r="A209" s="30"/>
      <c r="B209" s="41"/>
      <c r="C209" s="41"/>
      <c r="D209" s="41"/>
      <c r="E209" s="41"/>
      <c r="F209" s="41"/>
      <c r="G209" s="10"/>
    </row>
    <row r="210" spans="1:7" ht="47.25">
      <c r="A210" s="42" t="s">
        <v>484</v>
      </c>
      <c r="B210" s="7" t="s">
        <v>486</v>
      </c>
      <c r="C210" s="7"/>
      <c r="D210" s="7"/>
      <c r="E210" s="7"/>
      <c r="F210" s="7"/>
      <c r="G210" s="62" t="e">
        <f>G211</f>
        <v>#REF!</v>
      </c>
    </row>
    <row r="211" spans="1:7" ht="15.75">
      <c r="A211" s="30" t="s">
        <v>280</v>
      </c>
      <c r="B211" s="41" t="s">
        <v>486</v>
      </c>
      <c r="C211" s="41" t="s">
        <v>281</v>
      </c>
      <c r="D211" s="41"/>
      <c r="E211" s="41"/>
      <c r="F211" s="41"/>
      <c r="G211" s="10" t="e">
        <f>G212</f>
        <v>#REF!</v>
      </c>
    </row>
    <row r="212" spans="1:7" ht="31.5">
      <c r="A212" s="30" t="s">
        <v>483</v>
      </c>
      <c r="B212" s="41" t="s">
        <v>486</v>
      </c>
      <c r="C212" s="41" t="s">
        <v>281</v>
      </c>
      <c r="D212" s="41" t="s">
        <v>281</v>
      </c>
      <c r="E212" s="41"/>
      <c r="F212" s="41"/>
      <c r="G212" s="10" t="e">
        <f>G213</f>
        <v>#REF!</v>
      </c>
    </row>
    <row r="213" spans="1:7" ht="47.25">
      <c r="A213" s="25" t="s">
        <v>627</v>
      </c>
      <c r="B213" s="20" t="s">
        <v>488</v>
      </c>
      <c r="C213" s="41" t="s">
        <v>281</v>
      </c>
      <c r="D213" s="41" t="s">
        <v>281</v>
      </c>
      <c r="E213" s="41"/>
      <c r="F213" s="41"/>
      <c r="G213" s="10" t="e">
        <f>G214</f>
        <v>#REF!</v>
      </c>
    </row>
    <row r="214" spans="1:7" ht="63">
      <c r="A214" s="30" t="s">
        <v>289</v>
      </c>
      <c r="B214" s="20" t="s">
        <v>488</v>
      </c>
      <c r="C214" s="41" t="s">
        <v>281</v>
      </c>
      <c r="D214" s="41" t="s">
        <v>281</v>
      </c>
      <c r="E214" s="41" t="s">
        <v>290</v>
      </c>
      <c r="F214" s="41"/>
      <c r="G214" s="10" t="e">
        <f>G215</f>
        <v>#REF!</v>
      </c>
    </row>
    <row r="215" spans="1:7" ht="15.75">
      <c r="A215" s="30" t="s">
        <v>291</v>
      </c>
      <c r="B215" s="20" t="s">
        <v>488</v>
      </c>
      <c r="C215" s="41" t="s">
        <v>281</v>
      </c>
      <c r="D215" s="41" t="s">
        <v>281</v>
      </c>
      <c r="E215" s="41" t="s">
        <v>292</v>
      </c>
      <c r="F215" s="41"/>
      <c r="G215" s="10" t="e">
        <f>#REF!</f>
        <v>#REF!</v>
      </c>
    </row>
    <row r="216" spans="1:7" ht="47.25">
      <c r="A216" s="30" t="s">
        <v>420</v>
      </c>
      <c r="B216" s="20" t="s">
        <v>486</v>
      </c>
      <c r="C216" s="41" t="s">
        <v>281</v>
      </c>
      <c r="D216" s="41" t="s">
        <v>281</v>
      </c>
      <c r="E216" s="41"/>
      <c r="F216" s="41" t="s">
        <v>654</v>
      </c>
      <c r="G216" s="10" t="e">
        <f>G210</f>
        <v>#REF!</v>
      </c>
    </row>
    <row r="217" spans="1:7" ht="78.75">
      <c r="A217" s="60" t="s">
        <v>172</v>
      </c>
      <c r="B217" s="186" t="s">
        <v>173</v>
      </c>
      <c r="C217" s="7"/>
      <c r="D217" s="186"/>
      <c r="E217" s="186"/>
      <c r="F217" s="186"/>
      <c r="G217" s="62" t="e">
        <f>G220</f>
        <v>#REF!</v>
      </c>
    </row>
    <row r="218" spans="1:7" ht="15.75">
      <c r="A218" s="46" t="s">
        <v>134</v>
      </c>
      <c r="B218" s="5" t="s">
        <v>173</v>
      </c>
      <c r="C218" s="41" t="s">
        <v>135</v>
      </c>
      <c r="D218" s="5"/>
      <c r="E218" s="5"/>
      <c r="F218" s="5"/>
      <c r="G218" s="10" t="e">
        <f>G219</f>
        <v>#REF!</v>
      </c>
    </row>
    <row r="219" spans="1:7" ht="31.5">
      <c r="A219" s="71" t="s">
        <v>156</v>
      </c>
      <c r="B219" s="70" t="s">
        <v>173</v>
      </c>
      <c r="C219" s="41" t="s">
        <v>135</v>
      </c>
      <c r="D219" s="70">
        <v>13</v>
      </c>
      <c r="E219" s="70"/>
      <c r="F219" s="70"/>
      <c r="G219" s="10" t="e">
        <f>G220</f>
        <v>#REF!</v>
      </c>
    </row>
    <row r="220" spans="1:7" ht="47.25">
      <c r="A220" s="30" t="s">
        <v>174</v>
      </c>
      <c r="B220" s="70" t="s">
        <v>175</v>
      </c>
      <c r="C220" s="41" t="s">
        <v>135</v>
      </c>
      <c r="D220" s="41" t="s">
        <v>157</v>
      </c>
      <c r="E220" s="41"/>
      <c r="F220" s="41"/>
      <c r="G220" s="10" t="e">
        <f>G221</f>
        <v>#REF!</v>
      </c>
    </row>
    <row r="221" spans="1:7" ht="47.25">
      <c r="A221" s="30" t="s">
        <v>148</v>
      </c>
      <c r="B221" s="70" t="s">
        <v>175</v>
      </c>
      <c r="C221" s="41" t="s">
        <v>135</v>
      </c>
      <c r="D221" s="41" t="s">
        <v>157</v>
      </c>
      <c r="E221" s="41" t="s">
        <v>162</v>
      </c>
      <c r="F221" s="41"/>
      <c r="G221" s="10" t="e">
        <f>G222</f>
        <v>#REF!</v>
      </c>
    </row>
    <row r="222" spans="1:7" ht="78.75">
      <c r="A222" s="30" t="s">
        <v>201</v>
      </c>
      <c r="B222" s="70" t="s">
        <v>175</v>
      </c>
      <c r="C222" s="41" t="s">
        <v>135</v>
      </c>
      <c r="D222" s="41" t="s">
        <v>157</v>
      </c>
      <c r="E222" s="41" t="s">
        <v>177</v>
      </c>
      <c r="F222" s="41"/>
      <c r="G222" s="10" t="e">
        <f>#REF!</f>
        <v>#REF!</v>
      </c>
    </row>
    <row r="223" spans="1:7" ht="31.5">
      <c r="A223" s="30" t="s">
        <v>165</v>
      </c>
      <c r="B223" s="70" t="s">
        <v>173</v>
      </c>
      <c r="C223" s="41" t="s">
        <v>135</v>
      </c>
      <c r="D223" s="41" t="s">
        <v>157</v>
      </c>
      <c r="E223" s="41"/>
      <c r="F223" s="41" t="s">
        <v>659</v>
      </c>
      <c r="G223" s="10" t="e">
        <f>G217</f>
        <v>#REF!</v>
      </c>
    </row>
    <row r="224" spans="1:7" ht="73.5" customHeight="1">
      <c r="A224" s="42" t="s">
        <v>178</v>
      </c>
      <c r="B224" s="186" t="s">
        <v>179</v>
      </c>
      <c r="C224" s="7"/>
      <c r="D224" s="7"/>
      <c r="E224" s="7"/>
      <c r="F224" s="7"/>
      <c r="G224" s="62" t="e">
        <f>G225</f>
        <v>#REF!</v>
      </c>
    </row>
    <row r="225" spans="1:7" ht="15.75">
      <c r="A225" s="46" t="s">
        <v>134</v>
      </c>
      <c r="B225" s="5" t="s">
        <v>179</v>
      </c>
      <c r="C225" s="41" t="s">
        <v>135</v>
      </c>
      <c r="D225" s="5"/>
      <c r="E225" s="5"/>
      <c r="F225" s="41"/>
      <c r="G225" s="10" t="e">
        <f>G226</f>
        <v>#REF!</v>
      </c>
    </row>
    <row r="226" spans="1:7" ht="31.5">
      <c r="A226" s="71" t="s">
        <v>156</v>
      </c>
      <c r="B226" s="70" t="s">
        <v>179</v>
      </c>
      <c r="C226" s="41" t="s">
        <v>135</v>
      </c>
      <c r="D226" s="70">
        <v>13</v>
      </c>
      <c r="E226" s="70"/>
      <c r="F226" s="41"/>
      <c r="G226" s="10" t="e">
        <f>G227+G230+G235+G238</f>
        <v>#REF!</v>
      </c>
    </row>
    <row r="227" spans="1:7" ht="31.5">
      <c r="A227" s="30" t="s">
        <v>180</v>
      </c>
      <c r="B227" s="41" t="s">
        <v>181</v>
      </c>
      <c r="C227" s="41" t="s">
        <v>135</v>
      </c>
      <c r="D227" s="41" t="s">
        <v>157</v>
      </c>
      <c r="E227" s="41"/>
      <c r="F227" s="41"/>
      <c r="G227" s="10" t="e">
        <f>G228</f>
        <v>#REF!</v>
      </c>
    </row>
    <row r="228" spans="1:7" ht="47.25">
      <c r="A228" s="30" t="s">
        <v>148</v>
      </c>
      <c r="B228" s="41" t="s">
        <v>181</v>
      </c>
      <c r="C228" s="41" t="s">
        <v>135</v>
      </c>
      <c r="D228" s="41" t="s">
        <v>157</v>
      </c>
      <c r="E228" s="41" t="s">
        <v>149</v>
      </c>
      <c r="F228" s="41"/>
      <c r="G228" s="10" t="e">
        <f>G229</f>
        <v>#REF!</v>
      </c>
    </row>
    <row r="229" spans="1:7" ht="47.25">
      <c r="A229" s="30" t="s">
        <v>150</v>
      </c>
      <c r="B229" s="41" t="s">
        <v>181</v>
      </c>
      <c r="C229" s="41" t="s">
        <v>135</v>
      </c>
      <c r="D229" s="41" t="s">
        <v>157</v>
      </c>
      <c r="E229" s="41" t="s">
        <v>151</v>
      </c>
      <c r="F229" s="41"/>
      <c r="G229" s="10" t="e">
        <f>#REF!</f>
        <v>#REF!</v>
      </c>
    </row>
    <row r="230" spans="1:7" ht="78.75">
      <c r="A230" s="105" t="s">
        <v>182</v>
      </c>
      <c r="B230" s="41" t="s">
        <v>183</v>
      </c>
      <c r="C230" s="41" t="s">
        <v>135</v>
      </c>
      <c r="D230" s="41" t="s">
        <v>157</v>
      </c>
      <c r="E230" s="41"/>
      <c r="F230" s="41"/>
      <c r="G230" s="10" t="e">
        <f>G231+G233</f>
        <v>#REF!</v>
      </c>
    </row>
    <row r="231" spans="1:7" ht="110.25">
      <c r="A231" s="30" t="s">
        <v>144</v>
      </c>
      <c r="B231" s="41" t="s">
        <v>183</v>
      </c>
      <c r="C231" s="41" t="s">
        <v>135</v>
      </c>
      <c r="D231" s="41" t="s">
        <v>157</v>
      </c>
      <c r="E231" s="41" t="s">
        <v>145</v>
      </c>
      <c r="F231" s="41"/>
      <c r="G231" s="10" t="e">
        <f>G232</f>
        <v>#REF!</v>
      </c>
    </row>
    <row r="232" spans="1:7" ht="47.25">
      <c r="A232" s="30" t="s">
        <v>146</v>
      </c>
      <c r="B232" s="41" t="s">
        <v>183</v>
      </c>
      <c r="C232" s="41" t="s">
        <v>135</v>
      </c>
      <c r="D232" s="41" t="s">
        <v>157</v>
      </c>
      <c r="E232" s="41" t="s">
        <v>147</v>
      </c>
      <c r="F232" s="41"/>
      <c r="G232" s="10" t="e">
        <f>#REF!</f>
        <v>#REF!</v>
      </c>
    </row>
    <row r="233" spans="1:7" ht="47.25">
      <c r="A233" s="30" t="s">
        <v>148</v>
      </c>
      <c r="B233" s="41" t="s">
        <v>183</v>
      </c>
      <c r="C233" s="41" t="s">
        <v>135</v>
      </c>
      <c r="D233" s="41" t="s">
        <v>157</v>
      </c>
      <c r="E233" s="41" t="s">
        <v>149</v>
      </c>
      <c r="F233" s="41"/>
      <c r="G233" s="10" t="e">
        <f>G234</f>
        <v>#REF!</v>
      </c>
    </row>
    <row r="234" spans="1:7" ht="47.25">
      <c r="A234" s="30" t="s">
        <v>150</v>
      </c>
      <c r="B234" s="41" t="s">
        <v>183</v>
      </c>
      <c r="C234" s="41" t="s">
        <v>135</v>
      </c>
      <c r="D234" s="41" t="s">
        <v>157</v>
      </c>
      <c r="E234" s="41" t="s">
        <v>151</v>
      </c>
      <c r="F234" s="41"/>
      <c r="G234" s="10" t="e">
        <f>#REF!</f>
        <v>#REF!</v>
      </c>
    </row>
    <row r="235" spans="1:7" ht="63">
      <c r="A235" s="32" t="s">
        <v>713</v>
      </c>
      <c r="B235" s="41" t="s">
        <v>714</v>
      </c>
      <c r="C235" s="41" t="s">
        <v>135</v>
      </c>
      <c r="D235" s="41" t="s">
        <v>157</v>
      </c>
      <c r="E235" s="41"/>
      <c r="F235" s="41"/>
      <c r="G235" s="10" t="e">
        <f>G236</f>
        <v>#REF!</v>
      </c>
    </row>
    <row r="236" spans="1:7" ht="47.25">
      <c r="A236" s="25" t="s">
        <v>148</v>
      </c>
      <c r="B236" s="41" t="s">
        <v>714</v>
      </c>
      <c r="C236" s="41" t="s">
        <v>135</v>
      </c>
      <c r="D236" s="41" t="s">
        <v>157</v>
      </c>
      <c r="E236" s="41" t="s">
        <v>149</v>
      </c>
      <c r="F236" s="41"/>
      <c r="G236" s="10" t="e">
        <f>G237</f>
        <v>#REF!</v>
      </c>
    </row>
    <row r="237" spans="1:7" ht="47.25">
      <c r="A237" s="25" t="s">
        <v>150</v>
      </c>
      <c r="B237" s="41" t="s">
        <v>714</v>
      </c>
      <c r="C237" s="41" t="s">
        <v>135</v>
      </c>
      <c r="D237" s="41" t="s">
        <v>157</v>
      </c>
      <c r="E237" s="41" t="s">
        <v>151</v>
      </c>
      <c r="F237" s="41"/>
      <c r="G237" s="10" t="e">
        <f>#REF!</f>
        <v>#REF!</v>
      </c>
    </row>
    <row r="238" spans="1:7" ht="63">
      <c r="A238" s="34" t="s">
        <v>208</v>
      </c>
      <c r="B238" s="41" t="s">
        <v>700</v>
      </c>
      <c r="C238" s="41" t="s">
        <v>135</v>
      </c>
      <c r="D238" s="41" t="s">
        <v>157</v>
      </c>
      <c r="E238" s="41"/>
      <c r="F238" s="41"/>
      <c r="G238" s="10" t="e">
        <f>G239</f>
        <v>#REF!</v>
      </c>
    </row>
    <row r="239" spans="1:7" ht="47.25">
      <c r="A239" s="25" t="s">
        <v>148</v>
      </c>
      <c r="B239" s="41" t="s">
        <v>700</v>
      </c>
      <c r="C239" s="41" t="s">
        <v>135</v>
      </c>
      <c r="D239" s="41" t="s">
        <v>157</v>
      </c>
      <c r="E239" s="41" t="s">
        <v>149</v>
      </c>
      <c r="F239" s="41"/>
      <c r="G239" s="10" t="e">
        <f>G240</f>
        <v>#REF!</v>
      </c>
    </row>
    <row r="240" spans="1:7" ht="47.25">
      <c r="A240" s="25" t="s">
        <v>150</v>
      </c>
      <c r="B240" s="41" t="s">
        <v>700</v>
      </c>
      <c r="C240" s="41" t="s">
        <v>135</v>
      </c>
      <c r="D240" s="41" t="s">
        <v>157</v>
      </c>
      <c r="E240" s="41" t="s">
        <v>151</v>
      </c>
      <c r="F240" s="41"/>
      <c r="G240" s="10" t="e">
        <f>#REF!</f>
        <v>#REF!</v>
      </c>
    </row>
    <row r="241" spans="1:7" ht="31.5">
      <c r="A241" s="30" t="s">
        <v>165</v>
      </c>
      <c r="B241" s="41" t="s">
        <v>179</v>
      </c>
      <c r="C241" s="41" t="s">
        <v>135</v>
      </c>
      <c r="D241" s="41" t="s">
        <v>157</v>
      </c>
      <c r="E241" s="41"/>
      <c r="F241" s="41" t="s">
        <v>659</v>
      </c>
      <c r="G241" s="10" t="e">
        <f>G224</f>
        <v>#REF!</v>
      </c>
    </row>
    <row r="242" spans="1:7" ht="94.5">
      <c r="A242" s="42" t="s">
        <v>270</v>
      </c>
      <c r="B242" s="186" t="s">
        <v>271</v>
      </c>
      <c r="C242" s="41"/>
      <c r="D242" s="41"/>
      <c r="E242" s="41"/>
      <c r="F242" s="41"/>
      <c r="G242" s="62" t="e">
        <f>G243</f>
        <v>#REF!</v>
      </c>
    </row>
    <row r="243" spans="1:7" ht="15.75">
      <c r="A243" s="30" t="s">
        <v>260</v>
      </c>
      <c r="B243" s="5" t="s">
        <v>271</v>
      </c>
      <c r="C243" s="41" t="s">
        <v>261</v>
      </c>
      <c r="D243" s="41"/>
      <c r="E243" s="41"/>
      <c r="F243" s="41"/>
      <c r="G243" s="10" t="e">
        <f>G244</f>
        <v>#REF!</v>
      </c>
    </row>
    <row r="244" spans="1:7" ht="22.5" customHeight="1">
      <c r="A244" s="30" t="s">
        <v>269</v>
      </c>
      <c r="B244" s="5" t="s">
        <v>271</v>
      </c>
      <c r="C244" s="41" t="s">
        <v>261</v>
      </c>
      <c r="D244" s="41" t="s">
        <v>232</v>
      </c>
      <c r="E244" s="41"/>
      <c r="F244" s="41"/>
      <c r="G244" s="10" t="e">
        <f>G245</f>
        <v>#REF!</v>
      </c>
    </row>
    <row r="245" spans="1:7" ht="47.25">
      <c r="A245" s="30" t="s">
        <v>174</v>
      </c>
      <c r="B245" s="70" t="s">
        <v>272</v>
      </c>
      <c r="C245" s="41" t="s">
        <v>261</v>
      </c>
      <c r="D245" s="41" t="s">
        <v>232</v>
      </c>
      <c r="E245" s="41"/>
      <c r="F245" s="41"/>
      <c r="G245" s="10" t="e">
        <f>G246</f>
        <v>#REF!</v>
      </c>
    </row>
    <row r="246" spans="1:7" ht="38.25" customHeight="1">
      <c r="A246" s="30" t="s">
        <v>265</v>
      </c>
      <c r="B246" s="70" t="s">
        <v>272</v>
      </c>
      <c r="C246" s="41" t="s">
        <v>261</v>
      </c>
      <c r="D246" s="41" t="s">
        <v>232</v>
      </c>
      <c r="E246" s="41" t="s">
        <v>266</v>
      </c>
      <c r="F246" s="41"/>
      <c r="G246" s="10" t="e">
        <f>G247</f>
        <v>#REF!</v>
      </c>
    </row>
    <row r="247" spans="1:7" ht="47.25">
      <c r="A247" s="30" t="s">
        <v>267</v>
      </c>
      <c r="B247" s="70" t="s">
        <v>272</v>
      </c>
      <c r="C247" s="41" t="s">
        <v>261</v>
      </c>
      <c r="D247" s="41" t="s">
        <v>232</v>
      </c>
      <c r="E247" s="41" t="s">
        <v>268</v>
      </c>
      <c r="F247" s="41"/>
      <c r="G247" s="10" t="e">
        <f>#REF!</f>
        <v>#REF!</v>
      </c>
    </row>
    <row r="248" spans="1:7" ht="31.5">
      <c r="A248" s="46" t="s">
        <v>165</v>
      </c>
      <c r="B248" s="70" t="s">
        <v>271</v>
      </c>
      <c r="C248" s="41" t="s">
        <v>261</v>
      </c>
      <c r="D248" s="41" t="s">
        <v>232</v>
      </c>
      <c r="E248" s="41"/>
      <c r="F248" s="41" t="s">
        <v>659</v>
      </c>
      <c r="G248" s="10" t="e">
        <f>G242</f>
        <v>#REF!</v>
      </c>
    </row>
    <row r="249" spans="1:7" ht="141.75">
      <c r="A249" s="42" t="s">
        <v>611</v>
      </c>
      <c r="B249" s="186" t="s">
        <v>185</v>
      </c>
      <c r="C249" s="7"/>
      <c r="D249" s="7"/>
      <c r="E249" s="7"/>
      <c r="F249" s="7"/>
      <c r="G249" s="62" t="e">
        <f>G250+G257+G264</f>
        <v>#REF!</v>
      </c>
    </row>
    <row r="250" spans="1:7" ht="110.25">
      <c r="A250" s="42" t="s">
        <v>186</v>
      </c>
      <c r="B250" s="186" t="s">
        <v>187</v>
      </c>
      <c r="C250" s="7"/>
      <c r="D250" s="7"/>
      <c r="E250" s="7"/>
      <c r="F250" s="7"/>
      <c r="G250" s="62" t="e">
        <f>G251</f>
        <v>#REF!</v>
      </c>
    </row>
    <row r="251" spans="1:7" ht="15.75">
      <c r="A251" s="46" t="s">
        <v>134</v>
      </c>
      <c r="B251" s="5" t="s">
        <v>187</v>
      </c>
      <c r="C251" s="41" t="s">
        <v>135</v>
      </c>
      <c r="D251" s="41"/>
      <c r="E251" s="41"/>
      <c r="F251" s="41"/>
      <c r="G251" s="10" t="e">
        <f>G252</f>
        <v>#REF!</v>
      </c>
    </row>
    <row r="252" spans="1:7" ht="33.75" customHeight="1">
      <c r="A252" s="71" t="s">
        <v>156</v>
      </c>
      <c r="B252" s="5" t="s">
        <v>187</v>
      </c>
      <c r="C252" s="41" t="s">
        <v>135</v>
      </c>
      <c r="D252" s="41" t="s">
        <v>157</v>
      </c>
      <c r="E252" s="41"/>
      <c r="F252" s="41"/>
      <c r="G252" s="10" t="e">
        <f>G253</f>
        <v>#REF!</v>
      </c>
    </row>
    <row r="253" spans="1:7" ht="47.25">
      <c r="A253" s="105" t="s">
        <v>188</v>
      </c>
      <c r="B253" s="5" t="s">
        <v>189</v>
      </c>
      <c r="C253" s="41" t="s">
        <v>135</v>
      </c>
      <c r="D253" s="41" t="s">
        <v>157</v>
      </c>
      <c r="E253" s="41"/>
      <c r="F253" s="41"/>
      <c r="G253" s="10" t="e">
        <f>G254</f>
        <v>#REF!</v>
      </c>
    </row>
    <row r="254" spans="1:7" ht="47.25">
      <c r="A254" s="30" t="s">
        <v>148</v>
      </c>
      <c r="B254" s="5" t="s">
        <v>189</v>
      </c>
      <c r="C254" s="41" t="s">
        <v>135</v>
      </c>
      <c r="D254" s="41" t="s">
        <v>157</v>
      </c>
      <c r="E254" s="41" t="s">
        <v>149</v>
      </c>
      <c r="F254" s="41"/>
      <c r="G254" s="10" t="e">
        <f>G255</f>
        <v>#REF!</v>
      </c>
    </row>
    <row r="255" spans="1:7" ht="47.25">
      <c r="A255" s="30" t="s">
        <v>150</v>
      </c>
      <c r="B255" s="5" t="s">
        <v>189</v>
      </c>
      <c r="C255" s="41" t="s">
        <v>135</v>
      </c>
      <c r="D255" s="41" t="s">
        <v>157</v>
      </c>
      <c r="E255" s="41" t="s">
        <v>151</v>
      </c>
      <c r="F255" s="41"/>
      <c r="G255" s="10" t="e">
        <f>#REF!</f>
        <v>#REF!</v>
      </c>
    </row>
    <row r="256" spans="1:7" ht="31.5">
      <c r="A256" s="30" t="s">
        <v>165</v>
      </c>
      <c r="B256" s="5" t="s">
        <v>187</v>
      </c>
      <c r="C256" s="41" t="s">
        <v>135</v>
      </c>
      <c r="D256" s="41" t="s">
        <v>157</v>
      </c>
      <c r="E256" s="41"/>
      <c r="F256" s="41" t="s">
        <v>659</v>
      </c>
      <c r="G256" s="6" t="e">
        <f>G250</f>
        <v>#REF!</v>
      </c>
    </row>
    <row r="257" spans="1:7" ht="94.5">
      <c r="A257" s="42" t="s">
        <v>190</v>
      </c>
      <c r="B257" s="186" t="s">
        <v>191</v>
      </c>
      <c r="C257" s="7"/>
      <c r="D257" s="7"/>
      <c r="E257" s="7"/>
      <c r="F257" s="7"/>
      <c r="G257" s="62" t="e">
        <f>G258</f>
        <v>#REF!</v>
      </c>
    </row>
    <row r="258" spans="1:7" ht="15.75">
      <c r="A258" s="46" t="s">
        <v>134</v>
      </c>
      <c r="B258" s="5" t="s">
        <v>191</v>
      </c>
      <c r="C258" s="41" t="s">
        <v>135</v>
      </c>
      <c r="D258" s="41"/>
      <c r="E258" s="41"/>
      <c r="F258" s="41"/>
      <c r="G258" s="6" t="e">
        <f>G259</f>
        <v>#REF!</v>
      </c>
    </row>
    <row r="259" spans="1:7" ht="31.5">
      <c r="A259" s="71" t="s">
        <v>156</v>
      </c>
      <c r="B259" s="5" t="s">
        <v>191</v>
      </c>
      <c r="C259" s="41" t="s">
        <v>135</v>
      </c>
      <c r="D259" s="41" t="s">
        <v>157</v>
      </c>
      <c r="E259" s="41"/>
      <c r="F259" s="41"/>
      <c r="G259" s="6" t="e">
        <f>G260</f>
        <v>#REF!</v>
      </c>
    </row>
    <row r="260" spans="1:7" ht="31.5">
      <c r="A260" s="46" t="s">
        <v>192</v>
      </c>
      <c r="B260" s="5" t="s">
        <v>193</v>
      </c>
      <c r="C260" s="9" t="s">
        <v>135</v>
      </c>
      <c r="D260" s="9" t="s">
        <v>157</v>
      </c>
      <c r="E260" s="9"/>
      <c r="F260" s="26"/>
      <c r="G260" s="26" t="e">
        <f>G261</f>
        <v>#REF!</v>
      </c>
    </row>
    <row r="261" spans="1:7" ht="47.25">
      <c r="A261" s="25" t="s">
        <v>148</v>
      </c>
      <c r="B261" s="5" t="s">
        <v>193</v>
      </c>
      <c r="C261" s="9" t="s">
        <v>135</v>
      </c>
      <c r="D261" s="9" t="s">
        <v>157</v>
      </c>
      <c r="E261" s="9" t="s">
        <v>149</v>
      </c>
      <c r="F261" s="26"/>
      <c r="G261" s="26" t="e">
        <f>G262</f>
        <v>#REF!</v>
      </c>
    </row>
    <row r="262" spans="1:7" ht="47.25">
      <c r="A262" s="25" t="s">
        <v>150</v>
      </c>
      <c r="B262" s="5" t="s">
        <v>193</v>
      </c>
      <c r="C262" s="9" t="s">
        <v>135</v>
      </c>
      <c r="D262" s="9" t="s">
        <v>157</v>
      </c>
      <c r="E262" s="9" t="s">
        <v>151</v>
      </c>
      <c r="F262" s="26"/>
      <c r="G262" s="26" t="e">
        <f>#REF!</f>
        <v>#REF!</v>
      </c>
    </row>
    <row r="263" spans="1:7" ht="31.5">
      <c r="A263" s="30" t="s">
        <v>165</v>
      </c>
      <c r="B263" s="5" t="s">
        <v>191</v>
      </c>
      <c r="C263" s="41" t="s">
        <v>135</v>
      </c>
      <c r="D263" s="41" t="s">
        <v>157</v>
      </c>
      <c r="E263" s="41"/>
      <c r="F263" s="41" t="s">
        <v>659</v>
      </c>
      <c r="G263" s="6" t="e">
        <f>G257</f>
        <v>#REF!</v>
      </c>
    </row>
    <row r="264" spans="1:7" ht="63">
      <c r="A264" s="23" t="s">
        <v>194</v>
      </c>
      <c r="B264" s="186" t="s">
        <v>195</v>
      </c>
      <c r="C264" s="7"/>
      <c r="D264" s="7"/>
      <c r="E264" s="7"/>
      <c r="F264" s="7"/>
      <c r="G264" s="62" t="e">
        <f>G265</f>
        <v>#REF!</v>
      </c>
    </row>
    <row r="265" spans="1:7" ht="15.75">
      <c r="A265" s="46" t="s">
        <v>134</v>
      </c>
      <c r="B265" s="5" t="s">
        <v>195</v>
      </c>
      <c r="C265" s="41" t="s">
        <v>135</v>
      </c>
      <c r="D265" s="41"/>
      <c r="E265" s="41"/>
      <c r="F265" s="41"/>
      <c r="G265" s="10" t="e">
        <f>G266</f>
        <v>#REF!</v>
      </c>
    </row>
    <row r="266" spans="1:7" ht="31.5">
      <c r="A266" s="71" t="s">
        <v>156</v>
      </c>
      <c r="B266" s="5" t="s">
        <v>195</v>
      </c>
      <c r="C266" s="41" t="s">
        <v>135</v>
      </c>
      <c r="D266" s="41" t="s">
        <v>157</v>
      </c>
      <c r="E266" s="41"/>
      <c r="F266" s="41"/>
      <c r="G266" s="10" t="e">
        <f>G267</f>
        <v>#REF!</v>
      </c>
    </row>
    <row r="267" spans="1:7" ht="32.25" customHeight="1">
      <c r="A267" s="46" t="s">
        <v>196</v>
      </c>
      <c r="B267" s="5" t="s">
        <v>197</v>
      </c>
      <c r="C267" s="41" t="s">
        <v>135</v>
      </c>
      <c r="D267" s="41" t="s">
        <v>157</v>
      </c>
      <c r="E267" s="41"/>
      <c r="F267" s="41"/>
      <c r="G267" s="10" t="e">
        <f>G268</f>
        <v>#REF!</v>
      </c>
    </row>
    <row r="268" spans="1:7" ht="47.25">
      <c r="A268" s="30" t="s">
        <v>148</v>
      </c>
      <c r="B268" s="5" t="s">
        <v>197</v>
      </c>
      <c r="C268" s="41" t="s">
        <v>135</v>
      </c>
      <c r="D268" s="41" t="s">
        <v>157</v>
      </c>
      <c r="E268" s="41" t="s">
        <v>149</v>
      </c>
      <c r="F268" s="41"/>
      <c r="G268" s="10" t="e">
        <f>G269</f>
        <v>#REF!</v>
      </c>
    </row>
    <row r="269" spans="1:7" ht="47.25">
      <c r="A269" s="30" t="s">
        <v>150</v>
      </c>
      <c r="B269" s="5" t="s">
        <v>197</v>
      </c>
      <c r="C269" s="41" t="s">
        <v>135</v>
      </c>
      <c r="D269" s="41" t="s">
        <v>157</v>
      </c>
      <c r="E269" s="41" t="s">
        <v>151</v>
      </c>
      <c r="F269" s="41"/>
      <c r="G269" s="10" t="e">
        <f>#REF!</f>
        <v>#REF!</v>
      </c>
    </row>
    <row r="270" spans="1:7" ht="31.5">
      <c r="A270" s="30" t="s">
        <v>165</v>
      </c>
      <c r="B270" s="5" t="s">
        <v>195</v>
      </c>
      <c r="C270" s="41" t="s">
        <v>135</v>
      </c>
      <c r="D270" s="41" t="s">
        <v>157</v>
      </c>
      <c r="E270" s="41"/>
      <c r="F270" s="41" t="s">
        <v>659</v>
      </c>
      <c r="G270" s="10" t="e">
        <f>G264</f>
        <v>#REF!</v>
      </c>
    </row>
    <row r="271" spans="1:7" ht="69" customHeight="1">
      <c r="A271" s="42" t="s">
        <v>498</v>
      </c>
      <c r="B271" s="3" t="s">
        <v>499</v>
      </c>
      <c r="C271" s="72"/>
      <c r="D271" s="72"/>
      <c r="E271" s="72"/>
      <c r="F271" s="72"/>
      <c r="G271" s="4" t="e">
        <f>G273+G294+G317</f>
        <v>#REF!</v>
      </c>
    </row>
    <row r="272" spans="1:7" ht="94.5">
      <c r="A272" s="42" t="s">
        <v>660</v>
      </c>
      <c r="B272" s="3" t="s">
        <v>501</v>
      </c>
      <c r="C272" s="73"/>
      <c r="D272" s="73"/>
      <c r="E272" s="73"/>
      <c r="F272" s="73"/>
      <c r="G272" s="62" t="e">
        <f>G273</f>
        <v>#REF!</v>
      </c>
    </row>
    <row r="273" spans="1:7" ht="15.75">
      <c r="A273" s="30" t="s">
        <v>280</v>
      </c>
      <c r="B273" s="41" t="s">
        <v>501</v>
      </c>
      <c r="C273" s="41" t="s">
        <v>281</v>
      </c>
      <c r="D273" s="72"/>
      <c r="E273" s="72"/>
      <c r="F273" s="72"/>
      <c r="G273" s="10" t="e">
        <f>G274</f>
        <v>#REF!</v>
      </c>
    </row>
    <row r="274" spans="1:7" ht="15.75">
      <c r="A274" s="30" t="s">
        <v>282</v>
      </c>
      <c r="B274" s="41" t="s">
        <v>501</v>
      </c>
      <c r="C274" s="41" t="s">
        <v>281</v>
      </c>
      <c r="D274" s="41" t="s">
        <v>232</v>
      </c>
      <c r="E274" s="72"/>
      <c r="F274" s="72"/>
      <c r="G274" s="10" t="e">
        <f>G275+G290</f>
        <v>#REF!</v>
      </c>
    </row>
    <row r="275" spans="1:7" ht="63">
      <c r="A275" s="30" t="s">
        <v>287</v>
      </c>
      <c r="B275" s="41" t="s">
        <v>502</v>
      </c>
      <c r="C275" s="41" t="s">
        <v>281</v>
      </c>
      <c r="D275" s="41" t="s">
        <v>232</v>
      </c>
      <c r="E275" s="72"/>
      <c r="F275" s="72"/>
      <c r="G275" s="10" t="e">
        <f>G276</f>
        <v>#REF!</v>
      </c>
    </row>
    <row r="276" spans="1:7" ht="63">
      <c r="A276" s="30" t="s">
        <v>289</v>
      </c>
      <c r="B276" s="41" t="s">
        <v>502</v>
      </c>
      <c r="C276" s="41" t="s">
        <v>281</v>
      </c>
      <c r="D276" s="41" t="s">
        <v>232</v>
      </c>
      <c r="E276" s="41" t="s">
        <v>290</v>
      </c>
      <c r="F276" s="72"/>
      <c r="G276" s="10" t="e">
        <f>G277</f>
        <v>#REF!</v>
      </c>
    </row>
    <row r="277" spans="1:7" ht="15.75">
      <c r="A277" s="30" t="s">
        <v>291</v>
      </c>
      <c r="B277" s="41" t="s">
        <v>502</v>
      </c>
      <c r="C277" s="41" t="s">
        <v>281</v>
      </c>
      <c r="D277" s="41" t="s">
        <v>232</v>
      </c>
      <c r="E277" s="41" t="s">
        <v>292</v>
      </c>
      <c r="F277" s="72"/>
      <c r="G277" s="10" t="e">
        <f>#REF!</f>
        <v>#REF!</v>
      </c>
    </row>
    <row r="278" spans="1:7" ht="78.75" customHeight="1" hidden="1">
      <c r="A278" s="30" t="s">
        <v>613</v>
      </c>
      <c r="B278" s="41" t="s">
        <v>661</v>
      </c>
      <c r="C278" s="41" t="s">
        <v>281</v>
      </c>
      <c r="D278" s="41" t="s">
        <v>232</v>
      </c>
      <c r="E278" s="41"/>
      <c r="F278" s="72"/>
      <c r="G278" s="10">
        <f>G279</f>
        <v>0</v>
      </c>
    </row>
    <row r="279" spans="1:7" ht="63" hidden="1">
      <c r="A279" s="30" t="s">
        <v>289</v>
      </c>
      <c r="B279" s="41" t="s">
        <v>661</v>
      </c>
      <c r="C279" s="41" t="s">
        <v>281</v>
      </c>
      <c r="D279" s="41" t="s">
        <v>232</v>
      </c>
      <c r="E279" s="41" t="s">
        <v>290</v>
      </c>
      <c r="F279" s="72"/>
      <c r="G279" s="10">
        <f>G280</f>
        <v>0</v>
      </c>
    </row>
    <row r="280" spans="1:7" ht="15.75" hidden="1">
      <c r="A280" s="30" t="s">
        <v>291</v>
      </c>
      <c r="B280" s="41" t="s">
        <v>661</v>
      </c>
      <c r="C280" s="41" t="s">
        <v>281</v>
      </c>
      <c r="D280" s="41" t="s">
        <v>232</v>
      </c>
      <c r="E280" s="41" t="s">
        <v>292</v>
      </c>
      <c r="F280" s="72"/>
      <c r="G280" s="10">
        <f>G281</f>
        <v>0</v>
      </c>
    </row>
    <row r="281" spans="1:7" ht="47.25" hidden="1">
      <c r="A281" s="47" t="s">
        <v>497</v>
      </c>
      <c r="B281" s="41" t="s">
        <v>661</v>
      </c>
      <c r="C281" s="41" t="s">
        <v>281</v>
      </c>
      <c r="D281" s="41" t="s">
        <v>232</v>
      </c>
      <c r="E281" s="41"/>
      <c r="F281" s="2">
        <v>907</v>
      </c>
      <c r="G281" s="10">
        <f>1500-1500</f>
        <v>0</v>
      </c>
    </row>
    <row r="282" spans="1:7" ht="47.25" hidden="1">
      <c r="A282" s="30" t="s">
        <v>295</v>
      </c>
      <c r="B282" s="41" t="s">
        <v>662</v>
      </c>
      <c r="C282" s="41" t="s">
        <v>281</v>
      </c>
      <c r="D282" s="41" t="s">
        <v>232</v>
      </c>
      <c r="E282" s="41"/>
      <c r="F282" s="72"/>
      <c r="G282" s="10">
        <f>G283</f>
        <v>0</v>
      </c>
    </row>
    <row r="283" spans="1:7" ht="63" hidden="1">
      <c r="A283" s="30" t="s">
        <v>289</v>
      </c>
      <c r="B283" s="41" t="s">
        <v>662</v>
      </c>
      <c r="C283" s="41" t="s">
        <v>281</v>
      </c>
      <c r="D283" s="41" t="s">
        <v>232</v>
      </c>
      <c r="E283" s="41" t="s">
        <v>290</v>
      </c>
      <c r="F283" s="72"/>
      <c r="G283" s="10">
        <f>G284</f>
        <v>0</v>
      </c>
    </row>
    <row r="284" spans="1:7" ht="15.75" hidden="1">
      <c r="A284" s="30" t="s">
        <v>291</v>
      </c>
      <c r="B284" s="41" t="s">
        <v>662</v>
      </c>
      <c r="C284" s="41" t="s">
        <v>281</v>
      </c>
      <c r="D284" s="41" t="s">
        <v>232</v>
      </c>
      <c r="E284" s="41" t="s">
        <v>292</v>
      </c>
      <c r="F284" s="72"/>
      <c r="G284" s="10"/>
    </row>
    <row r="285" spans="1:7" ht="47.25" hidden="1">
      <c r="A285" s="47" t="s">
        <v>497</v>
      </c>
      <c r="B285" s="41" t="s">
        <v>662</v>
      </c>
      <c r="C285" s="41" t="s">
        <v>281</v>
      </c>
      <c r="D285" s="41" t="s">
        <v>232</v>
      </c>
      <c r="E285" s="41"/>
      <c r="F285" s="2">
        <v>907</v>
      </c>
      <c r="G285" s="10">
        <v>0</v>
      </c>
    </row>
    <row r="286" spans="1:7" ht="31.5" hidden="1">
      <c r="A286" s="30" t="s">
        <v>297</v>
      </c>
      <c r="B286" s="41" t="s">
        <v>663</v>
      </c>
      <c r="C286" s="41" t="s">
        <v>281</v>
      </c>
      <c r="D286" s="41" t="s">
        <v>232</v>
      </c>
      <c r="E286" s="41"/>
      <c r="F286" s="72"/>
      <c r="G286" s="10">
        <f>G287</f>
        <v>0</v>
      </c>
    </row>
    <row r="287" spans="1:7" ht="63" hidden="1">
      <c r="A287" s="30" t="s">
        <v>289</v>
      </c>
      <c r="B287" s="41" t="s">
        <v>663</v>
      </c>
      <c r="C287" s="41" t="s">
        <v>281</v>
      </c>
      <c r="D287" s="41" t="s">
        <v>232</v>
      </c>
      <c r="E287" s="41" t="s">
        <v>290</v>
      </c>
      <c r="F287" s="72"/>
      <c r="G287" s="10">
        <f>G288</f>
        <v>0</v>
      </c>
    </row>
    <row r="288" spans="1:7" ht="15.75" hidden="1">
      <c r="A288" s="30" t="s">
        <v>291</v>
      </c>
      <c r="B288" s="41" t="s">
        <v>663</v>
      </c>
      <c r="C288" s="41" t="s">
        <v>281</v>
      </c>
      <c r="D288" s="41" t="s">
        <v>232</v>
      </c>
      <c r="E288" s="41" t="s">
        <v>292</v>
      </c>
      <c r="F288" s="72"/>
      <c r="G288" s="10"/>
    </row>
    <row r="289" spans="1:7" ht="47.25" hidden="1">
      <c r="A289" s="47" t="s">
        <v>497</v>
      </c>
      <c r="B289" s="41" t="s">
        <v>663</v>
      </c>
      <c r="C289" s="41" t="s">
        <v>281</v>
      </c>
      <c r="D289" s="41" t="s">
        <v>232</v>
      </c>
      <c r="E289" s="41"/>
      <c r="F289" s="2">
        <v>907</v>
      </c>
      <c r="G289" s="10">
        <v>0</v>
      </c>
    </row>
    <row r="290" spans="1:7" ht="47.25">
      <c r="A290" s="30" t="s">
        <v>299</v>
      </c>
      <c r="B290" s="41" t="s">
        <v>505</v>
      </c>
      <c r="C290" s="41" t="s">
        <v>281</v>
      </c>
      <c r="D290" s="41" t="s">
        <v>232</v>
      </c>
      <c r="E290" s="41"/>
      <c r="F290" s="72"/>
      <c r="G290" s="10" t="e">
        <f>G291</f>
        <v>#REF!</v>
      </c>
    </row>
    <row r="291" spans="1:7" ht="63">
      <c r="A291" s="30" t="s">
        <v>289</v>
      </c>
      <c r="B291" s="41" t="s">
        <v>505</v>
      </c>
      <c r="C291" s="41" t="s">
        <v>281</v>
      </c>
      <c r="D291" s="41" t="s">
        <v>232</v>
      </c>
      <c r="E291" s="41" t="s">
        <v>290</v>
      </c>
      <c r="F291" s="72"/>
      <c r="G291" s="10" t="e">
        <f>G292</f>
        <v>#REF!</v>
      </c>
    </row>
    <row r="292" spans="1:7" ht="15.75">
      <c r="A292" s="30" t="s">
        <v>291</v>
      </c>
      <c r="B292" s="41" t="s">
        <v>505</v>
      </c>
      <c r="C292" s="41" t="s">
        <v>281</v>
      </c>
      <c r="D292" s="41" t="s">
        <v>232</v>
      </c>
      <c r="E292" s="41" t="s">
        <v>292</v>
      </c>
      <c r="F292" s="72"/>
      <c r="G292" s="10" t="e">
        <f>#REF!</f>
        <v>#REF!</v>
      </c>
    </row>
    <row r="293" spans="1:7" ht="58.5" customHeight="1">
      <c r="A293" s="74" t="s">
        <v>497</v>
      </c>
      <c r="B293" s="41" t="s">
        <v>501</v>
      </c>
      <c r="C293" s="41" t="s">
        <v>281</v>
      </c>
      <c r="D293" s="41" t="s">
        <v>232</v>
      </c>
      <c r="E293" s="41"/>
      <c r="F293" s="2">
        <v>907</v>
      </c>
      <c r="G293" s="10" t="e">
        <f>G272</f>
        <v>#REF!</v>
      </c>
    </row>
    <row r="294" spans="1:7" ht="63">
      <c r="A294" s="60" t="s">
        <v>510</v>
      </c>
      <c r="B294" s="7" t="s">
        <v>511</v>
      </c>
      <c r="C294" s="7"/>
      <c r="D294" s="7"/>
      <c r="E294" s="7"/>
      <c r="F294" s="3"/>
      <c r="G294" s="62" t="e">
        <f>G295</f>
        <v>#REF!</v>
      </c>
    </row>
    <row r="295" spans="1:7" ht="15.75">
      <c r="A295" s="30" t="s">
        <v>507</v>
      </c>
      <c r="B295" s="41" t="s">
        <v>511</v>
      </c>
      <c r="C295" s="2">
        <v>11</v>
      </c>
      <c r="D295" s="72"/>
      <c r="E295" s="72"/>
      <c r="F295" s="72"/>
      <c r="G295" s="10" t="e">
        <f>G296</f>
        <v>#REF!</v>
      </c>
    </row>
    <row r="296" spans="1:7" ht="20.25" customHeight="1">
      <c r="A296" s="30" t="s">
        <v>509</v>
      </c>
      <c r="B296" s="41" t="s">
        <v>511</v>
      </c>
      <c r="C296" s="41" t="s">
        <v>508</v>
      </c>
      <c r="D296" s="41" t="s">
        <v>135</v>
      </c>
      <c r="E296" s="75"/>
      <c r="F296" s="5"/>
      <c r="G296" s="10" t="e">
        <f>G297+G301+G305+G309+G313</f>
        <v>#REF!</v>
      </c>
    </row>
    <row r="297" spans="1:7" ht="47.25">
      <c r="A297" s="30" t="s">
        <v>512</v>
      </c>
      <c r="B297" s="41" t="s">
        <v>513</v>
      </c>
      <c r="C297" s="41" t="s">
        <v>508</v>
      </c>
      <c r="D297" s="41" t="s">
        <v>135</v>
      </c>
      <c r="E297" s="75"/>
      <c r="F297" s="5"/>
      <c r="G297" s="10" t="e">
        <f>G298</f>
        <v>#REF!</v>
      </c>
    </row>
    <row r="298" spans="1:7" ht="65.25" customHeight="1">
      <c r="A298" s="30" t="s">
        <v>289</v>
      </c>
      <c r="B298" s="41" t="s">
        <v>513</v>
      </c>
      <c r="C298" s="41" t="s">
        <v>508</v>
      </c>
      <c r="D298" s="41" t="s">
        <v>135</v>
      </c>
      <c r="E298" s="41" t="s">
        <v>290</v>
      </c>
      <c r="F298" s="5"/>
      <c r="G298" s="10" t="e">
        <f>G299</f>
        <v>#REF!</v>
      </c>
    </row>
    <row r="299" spans="1:7" ht="15.75">
      <c r="A299" s="30" t="s">
        <v>291</v>
      </c>
      <c r="B299" s="41" t="s">
        <v>513</v>
      </c>
      <c r="C299" s="41" t="s">
        <v>508</v>
      </c>
      <c r="D299" s="41" t="s">
        <v>135</v>
      </c>
      <c r="E299" s="41" t="s">
        <v>292</v>
      </c>
      <c r="F299" s="5"/>
      <c r="G299" s="10" t="e">
        <f>#REF!</f>
        <v>#REF!</v>
      </c>
    </row>
    <row r="300" spans="1:7" ht="47.25" hidden="1">
      <c r="A300" s="47" t="s">
        <v>497</v>
      </c>
      <c r="B300" s="41" t="s">
        <v>511</v>
      </c>
      <c r="C300" s="41" t="s">
        <v>508</v>
      </c>
      <c r="D300" s="41" t="s">
        <v>135</v>
      </c>
      <c r="E300" s="41"/>
      <c r="F300" s="5">
        <v>907</v>
      </c>
      <c r="G300" s="10" t="e">
        <f>G294</f>
        <v>#REF!</v>
      </c>
    </row>
    <row r="301" spans="1:7" ht="63" hidden="1">
      <c r="A301" s="30" t="s">
        <v>613</v>
      </c>
      <c r="B301" s="41" t="s">
        <v>664</v>
      </c>
      <c r="C301" s="41" t="s">
        <v>508</v>
      </c>
      <c r="D301" s="41" t="s">
        <v>135</v>
      </c>
      <c r="E301" s="41"/>
      <c r="F301" s="5"/>
      <c r="G301" s="10">
        <f>G302</f>
        <v>0</v>
      </c>
    </row>
    <row r="302" spans="1:7" ht="63" hidden="1">
      <c r="A302" s="30" t="s">
        <v>289</v>
      </c>
      <c r="B302" s="41" t="s">
        <v>664</v>
      </c>
      <c r="C302" s="41" t="s">
        <v>508</v>
      </c>
      <c r="D302" s="41" t="s">
        <v>135</v>
      </c>
      <c r="E302" s="41" t="s">
        <v>290</v>
      </c>
      <c r="F302" s="5"/>
      <c r="G302" s="10">
        <f>G303</f>
        <v>0</v>
      </c>
    </row>
    <row r="303" spans="1:7" ht="15.75" hidden="1">
      <c r="A303" s="30" t="s">
        <v>291</v>
      </c>
      <c r="B303" s="41" t="s">
        <v>664</v>
      </c>
      <c r="C303" s="41" t="s">
        <v>508</v>
      </c>
      <c r="D303" s="41" t="s">
        <v>135</v>
      </c>
      <c r="E303" s="41" t="s">
        <v>292</v>
      </c>
      <c r="F303" s="5"/>
      <c r="G303" s="10">
        <f>G304</f>
        <v>0</v>
      </c>
    </row>
    <row r="304" spans="1:7" ht="47.25" hidden="1">
      <c r="A304" s="74" t="s">
        <v>497</v>
      </c>
      <c r="B304" s="41" t="s">
        <v>664</v>
      </c>
      <c r="C304" s="41" t="s">
        <v>508</v>
      </c>
      <c r="D304" s="41" t="s">
        <v>135</v>
      </c>
      <c r="E304" s="41"/>
      <c r="F304" s="5">
        <v>907</v>
      </c>
      <c r="G304" s="10">
        <f>1500-1500</f>
        <v>0</v>
      </c>
    </row>
    <row r="305" spans="1:7" ht="47.25">
      <c r="A305" s="30" t="s">
        <v>295</v>
      </c>
      <c r="B305" s="41" t="s">
        <v>514</v>
      </c>
      <c r="C305" s="41" t="s">
        <v>508</v>
      </c>
      <c r="D305" s="41" t="s">
        <v>135</v>
      </c>
      <c r="E305" s="41"/>
      <c r="F305" s="5"/>
      <c r="G305" s="10" t="e">
        <f>G306</f>
        <v>#REF!</v>
      </c>
    </row>
    <row r="306" spans="1:7" ht="63">
      <c r="A306" s="30" t="s">
        <v>289</v>
      </c>
      <c r="B306" s="41" t="s">
        <v>514</v>
      </c>
      <c r="C306" s="41" t="s">
        <v>508</v>
      </c>
      <c r="D306" s="41" t="s">
        <v>135</v>
      </c>
      <c r="E306" s="41" t="s">
        <v>290</v>
      </c>
      <c r="F306" s="5"/>
      <c r="G306" s="10" t="e">
        <f>G307</f>
        <v>#REF!</v>
      </c>
    </row>
    <row r="307" spans="1:8" ht="15.75">
      <c r="A307" s="30" t="s">
        <v>291</v>
      </c>
      <c r="B307" s="41" t="s">
        <v>514</v>
      </c>
      <c r="C307" s="41" t="s">
        <v>508</v>
      </c>
      <c r="D307" s="41" t="s">
        <v>135</v>
      </c>
      <c r="E307" s="41" t="s">
        <v>292</v>
      </c>
      <c r="F307" s="5"/>
      <c r="G307" s="170" t="e">
        <f>#REF!</f>
        <v>#REF!</v>
      </c>
      <c r="H307" s="171" t="s">
        <v>756</v>
      </c>
    </row>
    <row r="308" spans="1:7" ht="47.25">
      <c r="A308" s="47" t="s">
        <v>497</v>
      </c>
      <c r="B308" s="41" t="s">
        <v>511</v>
      </c>
      <c r="C308" s="41" t="s">
        <v>508</v>
      </c>
      <c r="D308" s="41" t="s">
        <v>135</v>
      </c>
      <c r="E308" s="41"/>
      <c r="F308" s="5">
        <v>907</v>
      </c>
      <c r="G308" s="10" t="e">
        <f>G299+G307</f>
        <v>#REF!</v>
      </c>
    </row>
    <row r="309" spans="1:7" ht="31.5" hidden="1">
      <c r="A309" s="30" t="s">
        <v>297</v>
      </c>
      <c r="B309" s="41" t="s">
        <v>665</v>
      </c>
      <c r="C309" s="41" t="s">
        <v>508</v>
      </c>
      <c r="D309" s="41" t="s">
        <v>135</v>
      </c>
      <c r="E309" s="41"/>
      <c r="F309" s="5"/>
      <c r="G309" s="10">
        <f>G310</f>
        <v>0</v>
      </c>
    </row>
    <row r="310" spans="1:7" ht="63" hidden="1">
      <c r="A310" s="30" t="s">
        <v>289</v>
      </c>
      <c r="B310" s="41" t="s">
        <v>665</v>
      </c>
      <c r="C310" s="41" t="s">
        <v>508</v>
      </c>
      <c r="D310" s="41" t="s">
        <v>135</v>
      </c>
      <c r="E310" s="41" t="s">
        <v>290</v>
      </c>
      <c r="F310" s="5"/>
      <c r="G310" s="10">
        <f>G311</f>
        <v>0</v>
      </c>
    </row>
    <row r="311" spans="1:7" ht="15.75" hidden="1">
      <c r="A311" s="30" t="s">
        <v>291</v>
      </c>
      <c r="B311" s="41" t="s">
        <v>665</v>
      </c>
      <c r="C311" s="41" t="s">
        <v>508</v>
      </c>
      <c r="D311" s="41" t="s">
        <v>135</v>
      </c>
      <c r="E311" s="41" t="s">
        <v>292</v>
      </c>
      <c r="F311" s="5"/>
      <c r="G311" s="10"/>
    </row>
    <row r="312" spans="1:7" ht="47.25" hidden="1">
      <c r="A312" s="47" t="s">
        <v>497</v>
      </c>
      <c r="B312" s="41" t="s">
        <v>665</v>
      </c>
      <c r="C312" s="41" t="s">
        <v>508</v>
      </c>
      <c r="D312" s="41" t="s">
        <v>135</v>
      </c>
      <c r="E312" s="41"/>
      <c r="F312" s="5">
        <v>907</v>
      </c>
      <c r="G312" s="10">
        <v>0</v>
      </c>
    </row>
    <row r="313" spans="1:7" ht="71.25" customHeight="1" hidden="1">
      <c r="A313" s="30" t="s">
        <v>301</v>
      </c>
      <c r="B313" s="41" t="s">
        <v>666</v>
      </c>
      <c r="C313" s="41" t="s">
        <v>508</v>
      </c>
      <c r="D313" s="41" t="s">
        <v>135</v>
      </c>
      <c r="E313" s="41"/>
      <c r="F313" s="5"/>
      <c r="G313" s="10">
        <f>G314</f>
        <v>0</v>
      </c>
    </row>
    <row r="314" spans="1:7" ht="63" hidden="1">
      <c r="A314" s="30" t="s">
        <v>289</v>
      </c>
      <c r="B314" s="41" t="s">
        <v>666</v>
      </c>
      <c r="C314" s="41" t="s">
        <v>508</v>
      </c>
      <c r="D314" s="41" t="s">
        <v>135</v>
      </c>
      <c r="E314" s="41" t="s">
        <v>290</v>
      </c>
      <c r="F314" s="5"/>
      <c r="G314" s="10">
        <f>G315</f>
        <v>0</v>
      </c>
    </row>
    <row r="315" spans="1:7" ht="15.75" hidden="1">
      <c r="A315" s="30" t="s">
        <v>291</v>
      </c>
      <c r="B315" s="41" t="s">
        <v>666</v>
      </c>
      <c r="C315" s="41" t="s">
        <v>508</v>
      </c>
      <c r="D315" s="41" t="s">
        <v>135</v>
      </c>
      <c r="E315" s="41" t="s">
        <v>292</v>
      </c>
      <c r="F315" s="5"/>
      <c r="G315" s="10"/>
    </row>
    <row r="316" spans="1:7" ht="47.25" hidden="1">
      <c r="A316" s="47" t="s">
        <v>497</v>
      </c>
      <c r="B316" s="41" t="s">
        <v>666</v>
      </c>
      <c r="C316" s="41" t="s">
        <v>508</v>
      </c>
      <c r="D316" s="41" t="s">
        <v>135</v>
      </c>
      <c r="E316" s="41"/>
      <c r="F316" s="5">
        <v>907</v>
      </c>
      <c r="G316" s="10">
        <v>0</v>
      </c>
    </row>
    <row r="317" spans="1:7" ht="63">
      <c r="A317" s="60" t="s">
        <v>518</v>
      </c>
      <c r="B317" s="7" t="s">
        <v>519</v>
      </c>
      <c r="C317" s="7"/>
      <c r="D317" s="7"/>
      <c r="E317" s="7"/>
      <c r="F317" s="186"/>
      <c r="G317" s="4" t="e">
        <f>G318</f>
        <v>#REF!</v>
      </c>
    </row>
    <row r="318" spans="1:7" ht="15.75">
      <c r="A318" s="30" t="s">
        <v>507</v>
      </c>
      <c r="B318" s="41" t="s">
        <v>519</v>
      </c>
      <c r="C318" s="2">
        <v>11</v>
      </c>
      <c r="D318" s="41"/>
      <c r="E318" s="41"/>
      <c r="F318" s="5"/>
      <c r="G318" s="6" t="e">
        <f>G319</f>
        <v>#REF!</v>
      </c>
    </row>
    <row r="319" spans="1:7" ht="31.5">
      <c r="A319" s="25" t="s">
        <v>517</v>
      </c>
      <c r="B319" s="41" t="s">
        <v>519</v>
      </c>
      <c r="C319" s="41" t="s">
        <v>508</v>
      </c>
      <c r="D319" s="41" t="s">
        <v>251</v>
      </c>
      <c r="E319" s="41"/>
      <c r="F319" s="5"/>
      <c r="G319" s="6" t="e">
        <f>G320</f>
        <v>#REF!</v>
      </c>
    </row>
    <row r="320" spans="1:7" ht="47.25">
      <c r="A320" s="30" t="s">
        <v>174</v>
      </c>
      <c r="B320" s="41" t="s">
        <v>520</v>
      </c>
      <c r="C320" s="41" t="s">
        <v>508</v>
      </c>
      <c r="D320" s="41" t="s">
        <v>251</v>
      </c>
      <c r="E320" s="41"/>
      <c r="F320" s="5"/>
      <c r="G320" s="6" t="e">
        <f>G323+G321</f>
        <v>#REF!</v>
      </c>
    </row>
    <row r="321" spans="1:7" ht="110.25">
      <c r="A321" s="25" t="s">
        <v>144</v>
      </c>
      <c r="B321" s="41" t="s">
        <v>520</v>
      </c>
      <c r="C321" s="41" t="s">
        <v>508</v>
      </c>
      <c r="D321" s="41" t="s">
        <v>251</v>
      </c>
      <c r="E321" s="41" t="s">
        <v>145</v>
      </c>
      <c r="F321" s="5"/>
      <c r="G321" s="6" t="e">
        <f>G322</f>
        <v>#REF!</v>
      </c>
    </row>
    <row r="322" spans="1:7" ht="55.5" customHeight="1">
      <c r="A322" s="25" t="s">
        <v>146</v>
      </c>
      <c r="B322" s="41" t="s">
        <v>520</v>
      </c>
      <c r="C322" s="41" t="s">
        <v>508</v>
      </c>
      <c r="D322" s="41" t="s">
        <v>251</v>
      </c>
      <c r="E322" s="41" t="s">
        <v>147</v>
      </c>
      <c r="F322" s="5"/>
      <c r="G322" s="6" t="e">
        <f>#REF!</f>
        <v>#REF!</v>
      </c>
    </row>
    <row r="323" spans="1:7" ht="47.25">
      <c r="A323" s="30" t="s">
        <v>148</v>
      </c>
      <c r="B323" s="41" t="s">
        <v>520</v>
      </c>
      <c r="C323" s="41" t="s">
        <v>508</v>
      </c>
      <c r="D323" s="41" t="s">
        <v>251</v>
      </c>
      <c r="E323" s="41" t="s">
        <v>149</v>
      </c>
      <c r="F323" s="5"/>
      <c r="G323" s="6" t="e">
        <f>G324</f>
        <v>#REF!</v>
      </c>
    </row>
    <row r="324" spans="1:7" ht="47.25">
      <c r="A324" s="30" t="s">
        <v>150</v>
      </c>
      <c r="B324" s="41" t="s">
        <v>520</v>
      </c>
      <c r="C324" s="41" t="s">
        <v>508</v>
      </c>
      <c r="D324" s="41" t="s">
        <v>251</v>
      </c>
      <c r="E324" s="41" t="s">
        <v>151</v>
      </c>
      <c r="F324" s="5"/>
      <c r="G324" s="6" t="e">
        <f>#REF!</f>
        <v>#REF!</v>
      </c>
    </row>
    <row r="325" spans="1:7" ht="47.25">
      <c r="A325" s="74" t="s">
        <v>497</v>
      </c>
      <c r="B325" s="41" t="s">
        <v>519</v>
      </c>
      <c r="C325" s="41" t="s">
        <v>508</v>
      </c>
      <c r="D325" s="41" t="s">
        <v>251</v>
      </c>
      <c r="E325" s="41"/>
      <c r="F325" s="5">
        <v>907</v>
      </c>
      <c r="G325" s="10" t="e">
        <f>G317</f>
        <v>#REF!</v>
      </c>
    </row>
    <row r="326" spans="1:7" ht="63">
      <c r="A326" s="42" t="s">
        <v>283</v>
      </c>
      <c r="B326" s="7" t="s">
        <v>284</v>
      </c>
      <c r="C326" s="76"/>
      <c r="D326" s="76"/>
      <c r="E326" s="76"/>
      <c r="F326" s="3"/>
      <c r="G326" s="62" t="e">
        <f>G327+G353+G374</f>
        <v>#REF!</v>
      </c>
    </row>
    <row r="327" spans="1:7" ht="78.75">
      <c r="A327" s="42" t="s">
        <v>285</v>
      </c>
      <c r="B327" s="7" t="s">
        <v>286</v>
      </c>
      <c r="C327" s="76"/>
      <c r="D327" s="76"/>
      <c r="E327" s="76"/>
      <c r="F327" s="3"/>
      <c r="G327" s="62" t="e">
        <f>G328</f>
        <v>#REF!</v>
      </c>
    </row>
    <row r="328" spans="1:7" ht="15.75">
      <c r="A328" s="30" t="s">
        <v>280</v>
      </c>
      <c r="B328" s="41" t="s">
        <v>286</v>
      </c>
      <c r="C328" s="41" t="s">
        <v>281</v>
      </c>
      <c r="D328" s="76"/>
      <c r="E328" s="76"/>
      <c r="F328" s="3"/>
      <c r="G328" s="10" t="e">
        <f>G329</f>
        <v>#REF!</v>
      </c>
    </row>
    <row r="329" spans="1:7" ht="15.75">
      <c r="A329" s="30" t="s">
        <v>442</v>
      </c>
      <c r="B329" s="41" t="s">
        <v>286</v>
      </c>
      <c r="C329" s="41" t="s">
        <v>281</v>
      </c>
      <c r="D329" s="41" t="s">
        <v>232</v>
      </c>
      <c r="E329" s="76"/>
      <c r="F329" s="3"/>
      <c r="G329" s="10" t="e">
        <f>G330+G345</f>
        <v>#REF!</v>
      </c>
    </row>
    <row r="330" spans="1:7" ht="63">
      <c r="A330" s="30" t="s">
        <v>287</v>
      </c>
      <c r="B330" s="41" t="s">
        <v>288</v>
      </c>
      <c r="C330" s="41" t="s">
        <v>281</v>
      </c>
      <c r="D330" s="41" t="s">
        <v>232</v>
      </c>
      <c r="E330" s="76"/>
      <c r="F330" s="3"/>
      <c r="G330" s="10" t="e">
        <f>G331</f>
        <v>#REF!</v>
      </c>
    </row>
    <row r="331" spans="1:7" ht="63">
      <c r="A331" s="30" t="s">
        <v>289</v>
      </c>
      <c r="B331" s="41" t="s">
        <v>288</v>
      </c>
      <c r="C331" s="41" t="s">
        <v>281</v>
      </c>
      <c r="D331" s="41" t="s">
        <v>232</v>
      </c>
      <c r="E331" s="41" t="s">
        <v>290</v>
      </c>
      <c r="F331" s="3"/>
      <c r="G331" s="10" t="e">
        <f>G332</f>
        <v>#REF!</v>
      </c>
    </row>
    <row r="332" spans="1:7" ht="15.75">
      <c r="A332" s="30" t="s">
        <v>291</v>
      </c>
      <c r="B332" s="41" t="s">
        <v>288</v>
      </c>
      <c r="C332" s="41" t="s">
        <v>281</v>
      </c>
      <c r="D332" s="41" t="s">
        <v>232</v>
      </c>
      <c r="E332" s="41" t="s">
        <v>292</v>
      </c>
      <c r="F332" s="3"/>
      <c r="G332" s="6" t="e">
        <f>#REF!</f>
        <v>#REF!</v>
      </c>
    </row>
    <row r="333" spans="1:7" ht="63" hidden="1">
      <c r="A333" s="30" t="s">
        <v>293</v>
      </c>
      <c r="B333" s="41" t="s">
        <v>667</v>
      </c>
      <c r="C333" s="41" t="s">
        <v>281</v>
      </c>
      <c r="D333" s="41" t="s">
        <v>232</v>
      </c>
      <c r="E333" s="41"/>
      <c r="F333" s="3"/>
      <c r="G333" s="10">
        <f>G334</f>
        <v>0</v>
      </c>
    </row>
    <row r="334" spans="1:7" ht="63" hidden="1">
      <c r="A334" s="30" t="s">
        <v>289</v>
      </c>
      <c r="B334" s="41" t="s">
        <v>667</v>
      </c>
      <c r="C334" s="41" t="s">
        <v>281</v>
      </c>
      <c r="D334" s="41" t="s">
        <v>232</v>
      </c>
      <c r="E334" s="41" t="s">
        <v>290</v>
      </c>
      <c r="F334" s="3"/>
      <c r="G334" s="10">
        <f>G335</f>
        <v>0</v>
      </c>
    </row>
    <row r="335" spans="1:7" ht="15.75" hidden="1">
      <c r="A335" s="30" t="s">
        <v>291</v>
      </c>
      <c r="B335" s="41" t="s">
        <v>667</v>
      </c>
      <c r="C335" s="41" t="s">
        <v>281</v>
      </c>
      <c r="D335" s="41" t="s">
        <v>232</v>
      </c>
      <c r="E335" s="41" t="s">
        <v>292</v>
      </c>
      <c r="F335" s="3"/>
      <c r="G335" s="10"/>
    </row>
    <row r="336" spans="1:7" ht="63" hidden="1">
      <c r="A336" s="46" t="s">
        <v>278</v>
      </c>
      <c r="B336" s="41" t="s">
        <v>667</v>
      </c>
      <c r="C336" s="41" t="s">
        <v>281</v>
      </c>
      <c r="D336" s="41" t="s">
        <v>232</v>
      </c>
      <c r="E336" s="41"/>
      <c r="F336" s="2">
        <v>903</v>
      </c>
      <c r="G336" s="10">
        <v>0</v>
      </c>
    </row>
    <row r="337" spans="1:7" ht="47.25" hidden="1">
      <c r="A337" s="30" t="s">
        <v>295</v>
      </c>
      <c r="B337" s="41" t="s">
        <v>668</v>
      </c>
      <c r="C337" s="41" t="s">
        <v>281</v>
      </c>
      <c r="D337" s="41" t="s">
        <v>232</v>
      </c>
      <c r="E337" s="41"/>
      <c r="F337" s="3"/>
      <c r="G337" s="10">
        <f>G338</f>
        <v>0</v>
      </c>
    </row>
    <row r="338" spans="1:7" ht="63" hidden="1">
      <c r="A338" s="30" t="s">
        <v>289</v>
      </c>
      <c r="B338" s="41" t="s">
        <v>668</v>
      </c>
      <c r="C338" s="41" t="s">
        <v>281</v>
      </c>
      <c r="D338" s="41" t="s">
        <v>232</v>
      </c>
      <c r="E338" s="41" t="s">
        <v>290</v>
      </c>
      <c r="F338" s="3"/>
      <c r="G338" s="10">
        <f>G339</f>
        <v>0</v>
      </c>
    </row>
    <row r="339" spans="1:7" ht="15.75" hidden="1">
      <c r="A339" s="30" t="s">
        <v>291</v>
      </c>
      <c r="B339" s="41" t="s">
        <v>668</v>
      </c>
      <c r="C339" s="41" t="s">
        <v>281</v>
      </c>
      <c r="D339" s="41" t="s">
        <v>232</v>
      </c>
      <c r="E339" s="41" t="s">
        <v>292</v>
      </c>
      <c r="F339" s="3"/>
      <c r="G339" s="10"/>
    </row>
    <row r="340" spans="1:7" ht="63" hidden="1">
      <c r="A340" s="46" t="s">
        <v>278</v>
      </c>
      <c r="B340" s="41" t="s">
        <v>668</v>
      </c>
      <c r="C340" s="41" t="s">
        <v>281</v>
      </c>
      <c r="D340" s="41" t="s">
        <v>232</v>
      </c>
      <c r="E340" s="41"/>
      <c r="F340" s="2">
        <v>903</v>
      </c>
      <c r="G340" s="10">
        <v>0</v>
      </c>
    </row>
    <row r="341" spans="1:7" ht="31.5" hidden="1">
      <c r="A341" s="30" t="s">
        <v>297</v>
      </c>
      <c r="B341" s="41" t="s">
        <v>669</v>
      </c>
      <c r="C341" s="41" t="s">
        <v>281</v>
      </c>
      <c r="D341" s="41" t="s">
        <v>232</v>
      </c>
      <c r="E341" s="41"/>
      <c r="F341" s="3"/>
      <c r="G341" s="10">
        <f>G342</f>
        <v>0</v>
      </c>
    </row>
    <row r="342" spans="1:7" ht="69" customHeight="1" hidden="1">
      <c r="A342" s="30" t="s">
        <v>289</v>
      </c>
      <c r="B342" s="41" t="s">
        <v>669</v>
      </c>
      <c r="C342" s="41" t="s">
        <v>281</v>
      </c>
      <c r="D342" s="41" t="s">
        <v>232</v>
      </c>
      <c r="E342" s="41" t="s">
        <v>290</v>
      </c>
      <c r="F342" s="3"/>
      <c r="G342" s="10">
        <f>G343</f>
        <v>0</v>
      </c>
    </row>
    <row r="343" spans="1:7" ht="15.75" hidden="1">
      <c r="A343" s="30" t="s">
        <v>291</v>
      </c>
      <c r="B343" s="41" t="s">
        <v>669</v>
      </c>
      <c r="C343" s="41" t="s">
        <v>281</v>
      </c>
      <c r="D343" s="41" t="s">
        <v>232</v>
      </c>
      <c r="E343" s="41" t="s">
        <v>292</v>
      </c>
      <c r="F343" s="3"/>
      <c r="G343" s="10"/>
    </row>
    <row r="344" spans="1:7" ht="63" hidden="1">
      <c r="A344" s="46" t="s">
        <v>278</v>
      </c>
      <c r="B344" s="41" t="s">
        <v>669</v>
      </c>
      <c r="C344" s="41" t="s">
        <v>281</v>
      </c>
      <c r="D344" s="41" t="s">
        <v>232</v>
      </c>
      <c r="E344" s="41"/>
      <c r="F344" s="2">
        <v>903</v>
      </c>
      <c r="G344" s="10">
        <v>0</v>
      </c>
    </row>
    <row r="345" spans="1:7" ht="47.25">
      <c r="A345" s="30" t="s">
        <v>299</v>
      </c>
      <c r="B345" s="41" t="s">
        <v>300</v>
      </c>
      <c r="C345" s="41" t="s">
        <v>281</v>
      </c>
      <c r="D345" s="41" t="s">
        <v>232</v>
      </c>
      <c r="E345" s="41"/>
      <c r="F345" s="3"/>
      <c r="G345" s="10" t="e">
        <f>G346</f>
        <v>#REF!</v>
      </c>
    </row>
    <row r="346" spans="1:7" ht="63">
      <c r="A346" s="30" t="s">
        <v>289</v>
      </c>
      <c r="B346" s="41" t="s">
        <v>300</v>
      </c>
      <c r="C346" s="41" t="s">
        <v>281</v>
      </c>
      <c r="D346" s="41" t="s">
        <v>232</v>
      </c>
      <c r="E346" s="41" t="s">
        <v>290</v>
      </c>
      <c r="F346" s="3"/>
      <c r="G346" s="10" t="e">
        <f>G347</f>
        <v>#REF!</v>
      </c>
    </row>
    <row r="347" spans="1:7" ht="15.75">
      <c r="A347" s="30" t="s">
        <v>291</v>
      </c>
      <c r="B347" s="41" t="s">
        <v>300</v>
      </c>
      <c r="C347" s="41" t="s">
        <v>281</v>
      </c>
      <c r="D347" s="41" t="s">
        <v>232</v>
      </c>
      <c r="E347" s="41" t="s">
        <v>292</v>
      </c>
      <c r="F347" s="3"/>
      <c r="G347" s="6" t="e">
        <f>#REF!</f>
        <v>#REF!</v>
      </c>
    </row>
    <row r="348" spans="1:7" ht="63">
      <c r="A348" s="46" t="s">
        <v>278</v>
      </c>
      <c r="B348" s="41" t="s">
        <v>286</v>
      </c>
      <c r="C348" s="41" t="s">
        <v>281</v>
      </c>
      <c r="D348" s="41" t="s">
        <v>232</v>
      </c>
      <c r="E348" s="41"/>
      <c r="F348" s="2">
        <v>903</v>
      </c>
      <c r="G348" s="10" t="e">
        <f>G327</f>
        <v>#REF!</v>
      </c>
    </row>
    <row r="349" spans="1:7" ht="47.25" hidden="1">
      <c r="A349" s="30" t="s">
        <v>625</v>
      </c>
      <c r="B349" s="41" t="s">
        <v>626</v>
      </c>
      <c r="C349" s="41" t="s">
        <v>281</v>
      </c>
      <c r="D349" s="41" t="s">
        <v>230</v>
      </c>
      <c r="E349" s="41"/>
      <c r="F349" s="3"/>
      <c r="G349" s="10">
        <f>G350</f>
        <v>0</v>
      </c>
    </row>
    <row r="350" spans="1:7" ht="63" hidden="1">
      <c r="A350" s="30" t="s">
        <v>289</v>
      </c>
      <c r="B350" s="41" t="s">
        <v>626</v>
      </c>
      <c r="C350" s="41" t="s">
        <v>281</v>
      </c>
      <c r="D350" s="41" t="s">
        <v>230</v>
      </c>
      <c r="E350" s="41" t="s">
        <v>290</v>
      </c>
      <c r="F350" s="3"/>
      <c r="G350" s="10">
        <f>G351</f>
        <v>0</v>
      </c>
    </row>
    <row r="351" spans="1:7" ht="15.75" hidden="1">
      <c r="A351" s="30" t="s">
        <v>291</v>
      </c>
      <c r="B351" s="41" t="s">
        <v>626</v>
      </c>
      <c r="C351" s="41" t="s">
        <v>281</v>
      </c>
      <c r="D351" s="41" t="s">
        <v>230</v>
      </c>
      <c r="E351" s="41" t="s">
        <v>292</v>
      </c>
      <c r="F351" s="3"/>
      <c r="G351" s="10"/>
    </row>
    <row r="352" spans="1:7" ht="63" hidden="1">
      <c r="A352" s="46" t="s">
        <v>278</v>
      </c>
      <c r="B352" s="41" t="s">
        <v>626</v>
      </c>
      <c r="C352" s="41" t="s">
        <v>281</v>
      </c>
      <c r="D352" s="41" t="s">
        <v>230</v>
      </c>
      <c r="E352" s="76"/>
      <c r="F352" s="2">
        <v>903</v>
      </c>
      <c r="G352" s="10">
        <v>0</v>
      </c>
    </row>
    <row r="353" spans="1:7" ht="79.5" customHeight="1">
      <c r="A353" s="42" t="s">
        <v>318</v>
      </c>
      <c r="B353" s="7" t="s">
        <v>319</v>
      </c>
      <c r="C353" s="7"/>
      <c r="D353" s="7"/>
      <c r="E353" s="76"/>
      <c r="F353" s="3"/>
      <c r="G353" s="62" t="e">
        <f>G354</f>
        <v>#REF!</v>
      </c>
    </row>
    <row r="354" spans="1:7" ht="15.75">
      <c r="A354" s="77" t="s">
        <v>315</v>
      </c>
      <c r="B354" s="41" t="s">
        <v>319</v>
      </c>
      <c r="C354" s="41" t="s">
        <v>316</v>
      </c>
      <c r="D354" s="77"/>
      <c r="E354" s="77"/>
      <c r="F354" s="2"/>
      <c r="G354" s="10" t="e">
        <f>G355</f>
        <v>#REF!</v>
      </c>
    </row>
    <row r="355" spans="1:7" ht="15.75">
      <c r="A355" s="77" t="s">
        <v>317</v>
      </c>
      <c r="B355" s="41" t="s">
        <v>319</v>
      </c>
      <c r="C355" s="41" t="s">
        <v>316</v>
      </c>
      <c r="D355" s="41" t="s">
        <v>135</v>
      </c>
      <c r="E355" s="77"/>
      <c r="F355" s="2"/>
      <c r="G355" s="10" t="e">
        <f>G356+G363+G366</f>
        <v>#REF!</v>
      </c>
    </row>
    <row r="356" spans="1:7" ht="63">
      <c r="A356" s="30" t="s">
        <v>320</v>
      </c>
      <c r="B356" s="41" t="s">
        <v>321</v>
      </c>
      <c r="C356" s="41" t="s">
        <v>316</v>
      </c>
      <c r="D356" s="41" t="s">
        <v>135</v>
      </c>
      <c r="E356" s="77"/>
      <c r="F356" s="2"/>
      <c r="G356" s="10" t="e">
        <f>G357</f>
        <v>#REF!</v>
      </c>
    </row>
    <row r="357" spans="1:7" ht="63">
      <c r="A357" s="30" t="s">
        <v>289</v>
      </c>
      <c r="B357" s="41" t="s">
        <v>321</v>
      </c>
      <c r="C357" s="41" t="s">
        <v>316</v>
      </c>
      <c r="D357" s="41" t="s">
        <v>135</v>
      </c>
      <c r="E357" s="41" t="s">
        <v>290</v>
      </c>
      <c r="F357" s="2"/>
      <c r="G357" s="10" t="e">
        <f>G358</f>
        <v>#REF!</v>
      </c>
    </row>
    <row r="358" spans="1:7" ht="15.75">
      <c r="A358" s="30" t="s">
        <v>291</v>
      </c>
      <c r="B358" s="41" t="s">
        <v>321</v>
      </c>
      <c r="C358" s="41" t="s">
        <v>316</v>
      </c>
      <c r="D358" s="41" t="s">
        <v>135</v>
      </c>
      <c r="E358" s="41" t="s">
        <v>292</v>
      </c>
      <c r="F358" s="2"/>
      <c r="G358" s="10" t="e">
        <f>#REF!</f>
        <v>#REF!</v>
      </c>
    </row>
    <row r="359" spans="1:7" ht="63" hidden="1">
      <c r="A359" s="30" t="s">
        <v>293</v>
      </c>
      <c r="B359" s="41" t="s">
        <v>628</v>
      </c>
      <c r="C359" s="41" t="s">
        <v>316</v>
      </c>
      <c r="D359" s="41" t="s">
        <v>135</v>
      </c>
      <c r="E359" s="41"/>
      <c r="F359" s="2"/>
      <c r="G359" s="10">
        <f>G360</f>
        <v>0</v>
      </c>
    </row>
    <row r="360" spans="1:7" ht="63" hidden="1">
      <c r="A360" s="30" t="s">
        <v>289</v>
      </c>
      <c r="B360" s="41" t="s">
        <v>628</v>
      </c>
      <c r="C360" s="41" t="s">
        <v>316</v>
      </c>
      <c r="D360" s="41" t="s">
        <v>135</v>
      </c>
      <c r="E360" s="41" t="s">
        <v>290</v>
      </c>
      <c r="F360" s="2"/>
      <c r="G360" s="10">
        <f>G361</f>
        <v>0</v>
      </c>
    </row>
    <row r="361" spans="1:7" ht="15.75" hidden="1">
      <c r="A361" s="30" t="s">
        <v>291</v>
      </c>
      <c r="B361" s="41" t="s">
        <v>628</v>
      </c>
      <c r="C361" s="41" t="s">
        <v>316</v>
      </c>
      <c r="D361" s="41" t="s">
        <v>135</v>
      </c>
      <c r="E361" s="41" t="s">
        <v>292</v>
      </c>
      <c r="F361" s="2"/>
      <c r="G361" s="10"/>
    </row>
    <row r="362" spans="1:7" ht="63" hidden="1">
      <c r="A362" s="46" t="s">
        <v>278</v>
      </c>
      <c r="B362" s="41" t="s">
        <v>628</v>
      </c>
      <c r="C362" s="41" t="s">
        <v>316</v>
      </c>
      <c r="D362" s="41" t="s">
        <v>135</v>
      </c>
      <c r="E362" s="41"/>
      <c r="F362" s="2">
        <v>903</v>
      </c>
      <c r="G362" s="10">
        <v>0</v>
      </c>
    </row>
    <row r="363" spans="1:7" ht="31.5">
      <c r="A363" s="30" t="s">
        <v>630</v>
      </c>
      <c r="B363" s="41" t="s">
        <v>323</v>
      </c>
      <c r="C363" s="41" t="s">
        <v>316</v>
      </c>
      <c r="D363" s="41" t="s">
        <v>135</v>
      </c>
      <c r="E363" s="41"/>
      <c r="F363" s="2"/>
      <c r="G363" s="10" t="e">
        <f>G364</f>
        <v>#REF!</v>
      </c>
    </row>
    <row r="364" spans="1:7" ht="71.25" customHeight="1">
      <c r="A364" s="30" t="s">
        <v>289</v>
      </c>
      <c r="B364" s="41" t="s">
        <v>323</v>
      </c>
      <c r="C364" s="41" t="s">
        <v>316</v>
      </c>
      <c r="D364" s="41" t="s">
        <v>135</v>
      </c>
      <c r="E364" s="41" t="s">
        <v>290</v>
      </c>
      <c r="F364" s="2"/>
      <c r="G364" s="10" t="e">
        <f>G365</f>
        <v>#REF!</v>
      </c>
    </row>
    <row r="365" spans="1:7" ht="15.75">
      <c r="A365" s="30" t="s">
        <v>291</v>
      </c>
      <c r="B365" s="41" t="s">
        <v>323</v>
      </c>
      <c r="C365" s="41" t="s">
        <v>316</v>
      </c>
      <c r="D365" s="41" t="s">
        <v>135</v>
      </c>
      <c r="E365" s="41" t="s">
        <v>292</v>
      </c>
      <c r="F365" s="2"/>
      <c r="G365" s="10" t="e">
        <f>#REF!</f>
        <v>#REF!</v>
      </c>
    </row>
    <row r="366" spans="1:7" ht="31.5">
      <c r="A366" s="30" t="s">
        <v>324</v>
      </c>
      <c r="B366" s="41" t="s">
        <v>325</v>
      </c>
      <c r="C366" s="41" t="s">
        <v>316</v>
      </c>
      <c r="D366" s="41" t="s">
        <v>135</v>
      </c>
      <c r="E366" s="41"/>
      <c r="F366" s="2"/>
      <c r="G366" s="10" t="e">
        <f>G367</f>
        <v>#REF!</v>
      </c>
    </row>
    <row r="367" spans="1:7" ht="63">
      <c r="A367" s="30" t="s">
        <v>289</v>
      </c>
      <c r="B367" s="41" t="s">
        <v>325</v>
      </c>
      <c r="C367" s="41" t="s">
        <v>316</v>
      </c>
      <c r="D367" s="41" t="s">
        <v>135</v>
      </c>
      <c r="E367" s="41" t="s">
        <v>290</v>
      </c>
      <c r="F367" s="2"/>
      <c r="G367" s="10" t="e">
        <f>G368</f>
        <v>#REF!</v>
      </c>
    </row>
    <row r="368" spans="1:7" ht="15.75">
      <c r="A368" s="30" t="s">
        <v>291</v>
      </c>
      <c r="B368" s="41" t="s">
        <v>325</v>
      </c>
      <c r="C368" s="41" t="s">
        <v>316</v>
      </c>
      <c r="D368" s="41" t="s">
        <v>135</v>
      </c>
      <c r="E368" s="41" t="s">
        <v>292</v>
      </c>
      <c r="F368" s="2"/>
      <c r="G368" s="10" t="e">
        <f>#REF!</f>
        <v>#REF!</v>
      </c>
    </row>
    <row r="369" spans="1:7" ht="63">
      <c r="A369" s="46" t="s">
        <v>278</v>
      </c>
      <c r="B369" s="41" t="s">
        <v>319</v>
      </c>
      <c r="C369" s="41" t="s">
        <v>316</v>
      </c>
      <c r="D369" s="41" t="s">
        <v>135</v>
      </c>
      <c r="E369" s="41"/>
      <c r="F369" s="2">
        <v>903</v>
      </c>
      <c r="G369" s="10" t="e">
        <f>G353</f>
        <v>#REF!</v>
      </c>
    </row>
    <row r="370" spans="1:7" ht="31.5" hidden="1">
      <c r="A370" s="30" t="s">
        <v>301</v>
      </c>
      <c r="B370" s="41" t="s">
        <v>629</v>
      </c>
      <c r="C370" s="41" t="s">
        <v>316</v>
      </c>
      <c r="D370" s="41" t="s">
        <v>135</v>
      </c>
      <c r="E370" s="41"/>
      <c r="F370" s="2"/>
      <c r="G370" s="10">
        <f>G371</f>
        <v>0</v>
      </c>
    </row>
    <row r="371" spans="1:7" ht="63" hidden="1">
      <c r="A371" s="30" t="s">
        <v>289</v>
      </c>
      <c r="B371" s="41" t="s">
        <v>629</v>
      </c>
      <c r="C371" s="41" t="s">
        <v>316</v>
      </c>
      <c r="D371" s="41" t="s">
        <v>135</v>
      </c>
      <c r="E371" s="41" t="s">
        <v>290</v>
      </c>
      <c r="F371" s="2"/>
      <c r="G371" s="10">
        <f>G372</f>
        <v>0</v>
      </c>
    </row>
    <row r="372" spans="1:7" ht="15.75" hidden="1">
      <c r="A372" s="30" t="s">
        <v>291</v>
      </c>
      <c r="B372" s="41" t="s">
        <v>629</v>
      </c>
      <c r="C372" s="41" t="s">
        <v>316</v>
      </c>
      <c r="D372" s="41" t="s">
        <v>135</v>
      </c>
      <c r="E372" s="41" t="s">
        <v>292</v>
      </c>
      <c r="F372" s="2"/>
      <c r="G372" s="10"/>
    </row>
    <row r="373" spans="1:7" ht="63" hidden="1">
      <c r="A373" s="46" t="s">
        <v>278</v>
      </c>
      <c r="B373" s="41" t="s">
        <v>629</v>
      </c>
      <c r="C373" s="41" t="s">
        <v>316</v>
      </c>
      <c r="D373" s="41" t="s">
        <v>135</v>
      </c>
      <c r="E373" s="41"/>
      <c r="F373" s="2">
        <v>903</v>
      </c>
      <c r="G373" s="10">
        <v>0</v>
      </c>
    </row>
    <row r="374" spans="1:7" ht="63">
      <c r="A374" s="42" t="s">
        <v>329</v>
      </c>
      <c r="B374" s="7" t="s">
        <v>330</v>
      </c>
      <c r="C374" s="7"/>
      <c r="D374" s="7"/>
      <c r="E374" s="7"/>
      <c r="F374" s="79"/>
      <c r="G374" s="62" t="e">
        <f>G375</f>
        <v>#REF!</v>
      </c>
    </row>
    <row r="375" spans="1:7" ht="15.75">
      <c r="A375" s="77" t="s">
        <v>315</v>
      </c>
      <c r="B375" s="41" t="s">
        <v>330</v>
      </c>
      <c r="C375" s="41" t="s">
        <v>316</v>
      </c>
      <c r="D375" s="41"/>
      <c r="E375" s="7"/>
      <c r="F375" s="79"/>
      <c r="G375" s="10" t="e">
        <f>G376</f>
        <v>#REF!</v>
      </c>
    </row>
    <row r="376" spans="1:7" ht="15.75">
      <c r="A376" s="77" t="s">
        <v>317</v>
      </c>
      <c r="B376" s="41" t="s">
        <v>330</v>
      </c>
      <c r="C376" s="41" t="s">
        <v>316</v>
      </c>
      <c r="D376" s="41" t="s">
        <v>135</v>
      </c>
      <c r="E376" s="7"/>
      <c r="F376" s="79"/>
      <c r="G376" s="10" t="e">
        <f>G377+G396+G401+G380</f>
        <v>#REF!</v>
      </c>
    </row>
    <row r="377" spans="1:7" ht="63">
      <c r="A377" s="30" t="s">
        <v>320</v>
      </c>
      <c r="B377" s="41" t="s">
        <v>331</v>
      </c>
      <c r="C377" s="41" t="s">
        <v>316</v>
      </c>
      <c r="D377" s="41" t="s">
        <v>135</v>
      </c>
      <c r="E377" s="41"/>
      <c r="F377" s="78"/>
      <c r="G377" s="10" t="e">
        <f>G378</f>
        <v>#REF!</v>
      </c>
    </row>
    <row r="378" spans="1:7" ht="63">
      <c r="A378" s="30" t="s">
        <v>289</v>
      </c>
      <c r="B378" s="41" t="s">
        <v>331</v>
      </c>
      <c r="C378" s="41" t="s">
        <v>316</v>
      </c>
      <c r="D378" s="41" t="s">
        <v>135</v>
      </c>
      <c r="E378" s="41" t="s">
        <v>290</v>
      </c>
      <c r="F378" s="78"/>
      <c r="G378" s="10" t="e">
        <f>G379</f>
        <v>#REF!</v>
      </c>
    </row>
    <row r="379" spans="1:7" ht="15.75">
      <c r="A379" s="30" t="s">
        <v>291</v>
      </c>
      <c r="B379" s="41" t="s">
        <v>331</v>
      </c>
      <c r="C379" s="41" t="s">
        <v>316</v>
      </c>
      <c r="D379" s="41" t="s">
        <v>135</v>
      </c>
      <c r="E379" s="41" t="s">
        <v>292</v>
      </c>
      <c r="F379" s="78"/>
      <c r="G379" s="6" t="e">
        <f>#REF!</f>
        <v>#REF!</v>
      </c>
    </row>
    <row r="380" spans="1:7" ht="63">
      <c r="A380" s="30" t="s">
        <v>293</v>
      </c>
      <c r="B380" s="41" t="s">
        <v>334</v>
      </c>
      <c r="C380" s="41" t="s">
        <v>316</v>
      </c>
      <c r="D380" s="41" t="s">
        <v>135</v>
      </c>
      <c r="E380" s="41"/>
      <c r="F380" s="78"/>
      <c r="G380" s="10" t="e">
        <f>G381</f>
        <v>#REF!</v>
      </c>
    </row>
    <row r="381" spans="1:7" ht="63">
      <c r="A381" s="30" t="s">
        <v>289</v>
      </c>
      <c r="B381" s="41" t="s">
        <v>334</v>
      </c>
      <c r="C381" s="41" t="s">
        <v>316</v>
      </c>
      <c r="D381" s="41" t="s">
        <v>135</v>
      </c>
      <c r="E381" s="41" t="s">
        <v>290</v>
      </c>
      <c r="F381" s="78"/>
      <c r="G381" s="10" t="e">
        <f>G382</f>
        <v>#REF!</v>
      </c>
    </row>
    <row r="382" spans="1:7" ht="15.75">
      <c r="A382" s="30" t="s">
        <v>291</v>
      </c>
      <c r="B382" s="41" t="s">
        <v>334</v>
      </c>
      <c r="C382" s="41" t="s">
        <v>316</v>
      </c>
      <c r="D382" s="41" t="s">
        <v>135</v>
      </c>
      <c r="E382" s="41" t="s">
        <v>292</v>
      </c>
      <c r="F382" s="78"/>
      <c r="G382" s="10" t="e">
        <f>#REF!</f>
        <v>#REF!</v>
      </c>
    </row>
    <row r="383" spans="1:7" ht="63" hidden="1">
      <c r="A383" s="46" t="s">
        <v>278</v>
      </c>
      <c r="B383" s="41" t="s">
        <v>670</v>
      </c>
      <c r="C383" s="41" t="s">
        <v>316</v>
      </c>
      <c r="D383" s="41" t="s">
        <v>135</v>
      </c>
      <c r="E383" s="41"/>
      <c r="F383" s="2">
        <v>903</v>
      </c>
      <c r="G383" s="10" t="e">
        <f>G380</f>
        <v>#REF!</v>
      </c>
    </row>
    <row r="384" spans="1:7" ht="47.25" hidden="1">
      <c r="A384" s="25" t="s">
        <v>295</v>
      </c>
      <c r="B384" s="41" t="s">
        <v>335</v>
      </c>
      <c r="C384" s="41" t="s">
        <v>316</v>
      </c>
      <c r="D384" s="41" t="s">
        <v>135</v>
      </c>
      <c r="E384" s="41"/>
      <c r="F384" s="78"/>
      <c r="G384" s="10">
        <f>G385</f>
        <v>0</v>
      </c>
    </row>
    <row r="385" spans="1:7" ht="63" hidden="1">
      <c r="A385" s="30" t="s">
        <v>289</v>
      </c>
      <c r="B385" s="41" t="s">
        <v>335</v>
      </c>
      <c r="C385" s="41" t="s">
        <v>316</v>
      </c>
      <c r="D385" s="41" t="s">
        <v>135</v>
      </c>
      <c r="E385" s="41" t="s">
        <v>290</v>
      </c>
      <c r="F385" s="78"/>
      <c r="G385" s="10">
        <f>G386</f>
        <v>0</v>
      </c>
    </row>
    <row r="386" spans="1:7" ht="35.25" customHeight="1" hidden="1">
      <c r="A386" s="30" t="s">
        <v>291</v>
      </c>
      <c r="B386" s="41" t="s">
        <v>335</v>
      </c>
      <c r="C386" s="41" t="s">
        <v>316</v>
      </c>
      <c r="D386" s="41" t="s">
        <v>135</v>
      </c>
      <c r="E386" s="41" t="s">
        <v>292</v>
      </c>
      <c r="F386" s="78"/>
      <c r="G386" s="10"/>
    </row>
    <row r="387" spans="1:7" ht="63" hidden="1">
      <c r="A387" s="46" t="s">
        <v>278</v>
      </c>
      <c r="B387" s="41" t="s">
        <v>335</v>
      </c>
      <c r="C387" s="41" t="s">
        <v>316</v>
      </c>
      <c r="D387" s="41" t="s">
        <v>135</v>
      </c>
      <c r="E387" s="41"/>
      <c r="F387" s="2">
        <v>903</v>
      </c>
      <c r="G387" s="10">
        <f>G384</f>
        <v>0</v>
      </c>
    </row>
    <row r="388" spans="1:7" ht="31.5" hidden="1">
      <c r="A388" s="30" t="s">
        <v>671</v>
      </c>
      <c r="B388" s="41" t="s">
        <v>336</v>
      </c>
      <c r="C388" s="41" t="s">
        <v>316</v>
      </c>
      <c r="D388" s="41" t="s">
        <v>135</v>
      </c>
      <c r="E388" s="41"/>
      <c r="F388" s="78"/>
      <c r="G388" s="10">
        <f>G389</f>
        <v>0</v>
      </c>
    </row>
    <row r="389" spans="1:7" ht="63" hidden="1">
      <c r="A389" s="30" t="s">
        <v>289</v>
      </c>
      <c r="B389" s="41" t="s">
        <v>336</v>
      </c>
      <c r="C389" s="41" t="s">
        <v>316</v>
      </c>
      <c r="D389" s="41" t="s">
        <v>135</v>
      </c>
      <c r="E389" s="41" t="s">
        <v>290</v>
      </c>
      <c r="F389" s="78"/>
      <c r="G389" s="10">
        <f>G390</f>
        <v>0</v>
      </c>
    </row>
    <row r="390" spans="1:7" ht="15.75" hidden="1">
      <c r="A390" s="30" t="s">
        <v>291</v>
      </c>
      <c r="B390" s="41" t="s">
        <v>336</v>
      </c>
      <c r="C390" s="41" t="s">
        <v>316</v>
      </c>
      <c r="D390" s="41" t="s">
        <v>135</v>
      </c>
      <c r="E390" s="41" t="s">
        <v>292</v>
      </c>
      <c r="F390" s="78"/>
      <c r="G390" s="10"/>
    </row>
    <row r="391" spans="1:7" ht="63" hidden="1">
      <c r="A391" s="46" t="s">
        <v>278</v>
      </c>
      <c r="B391" s="41" t="s">
        <v>336</v>
      </c>
      <c r="C391" s="41" t="s">
        <v>316</v>
      </c>
      <c r="D391" s="41" t="s">
        <v>135</v>
      </c>
      <c r="E391" s="41"/>
      <c r="F391" s="2">
        <v>903</v>
      </c>
      <c r="G391" s="10">
        <f>G388</f>
        <v>0</v>
      </c>
    </row>
    <row r="392" spans="1:7" ht="31.5" hidden="1">
      <c r="A392" s="30" t="s">
        <v>301</v>
      </c>
      <c r="B392" s="41" t="s">
        <v>631</v>
      </c>
      <c r="C392" s="41" t="s">
        <v>316</v>
      </c>
      <c r="D392" s="41" t="s">
        <v>135</v>
      </c>
      <c r="E392" s="41"/>
      <c r="F392" s="78"/>
      <c r="G392" s="10">
        <f>G393</f>
        <v>0</v>
      </c>
    </row>
    <row r="393" spans="1:7" ht="63" hidden="1">
      <c r="A393" s="30" t="s">
        <v>289</v>
      </c>
      <c r="B393" s="41" t="s">
        <v>631</v>
      </c>
      <c r="C393" s="41" t="s">
        <v>316</v>
      </c>
      <c r="D393" s="41" t="s">
        <v>135</v>
      </c>
      <c r="E393" s="41" t="s">
        <v>290</v>
      </c>
      <c r="F393" s="78"/>
      <c r="G393" s="10">
        <f>G394</f>
        <v>0</v>
      </c>
    </row>
    <row r="394" spans="1:7" ht="15.75" hidden="1">
      <c r="A394" s="30" t="s">
        <v>291</v>
      </c>
      <c r="B394" s="41" t="s">
        <v>631</v>
      </c>
      <c r="C394" s="41" t="s">
        <v>316</v>
      </c>
      <c r="D394" s="41" t="s">
        <v>135</v>
      </c>
      <c r="E394" s="41" t="s">
        <v>292</v>
      </c>
      <c r="F394" s="78"/>
      <c r="G394" s="10"/>
    </row>
    <row r="395" spans="1:7" ht="63" hidden="1">
      <c r="A395" s="46" t="s">
        <v>278</v>
      </c>
      <c r="B395" s="41" t="s">
        <v>631</v>
      </c>
      <c r="C395" s="41" t="s">
        <v>316</v>
      </c>
      <c r="D395" s="41" t="s">
        <v>135</v>
      </c>
      <c r="E395" s="41"/>
      <c r="F395" s="2">
        <v>903</v>
      </c>
      <c r="G395" s="10">
        <f>G392</f>
        <v>0</v>
      </c>
    </row>
    <row r="396" spans="1:7" ht="31.5">
      <c r="A396" s="80" t="s">
        <v>672</v>
      </c>
      <c r="B396" s="41" t="s">
        <v>333</v>
      </c>
      <c r="C396" s="41" t="s">
        <v>316</v>
      </c>
      <c r="D396" s="41" t="s">
        <v>135</v>
      </c>
      <c r="E396" s="41"/>
      <c r="F396" s="2"/>
      <c r="G396" s="10" t="e">
        <f>G397+G399</f>
        <v>#REF!</v>
      </c>
    </row>
    <row r="397" spans="1:7" ht="47.25" hidden="1">
      <c r="A397" s="30" t="s">
        <v>148</v>
      </c>
      <c r="B397" s="41" t="s">
        <v>333</v>
      </c>
      <c r="C397" s="41" t="s">
        <v>316</v>
      </c>
      <c r="D397" s="41" t="s">
        <v>135</v>
      </c>
      <c r="E397" s="41" t="s">
        <v>149</v>
      </c>
      <c r="F397" s="2"/>
      <c r="G397" s="10">
        <f>G398</f>
        <v>0</v>
      </c>
    </row>
    <row r="398" spans="1:7" ht="47.25" hidden="1">
      <c r="A398" s="30" t="s">
        <v>150</v>
      </c>
      <c r="B398" s="41" t="s">
        <v>333</v>
      </c>
      <c r="C398" s="41" t="s">
        <v>316</v>
      </c>
      <c r="D398" s="41" t="s">
        <v>135</v>
      </c>
      <c r="E398" s="41" t="s">
        <v>151</v>
      </c>
      <c r="F398" s="2"/>
      <c r="G398" s="10">
        <v>0</v>
      </c>
    </row>
    <row r="399" spans="1:7" ht="62.25" customHeight="1">
      <c r="A399" s="30" t="s">
        <v>289</v>
      </c>
      <c r="B399" s="41" t="s">
        <v>333</v>
      </c>
      <c r="C399" s="41" t="s">
        <v>316</v>
      </c>
      <c r="D399" s="41" t="s">
        <v>135</v>
      </c>
      <c r="E399" s="41" t="s">
        <v>290</v>
      </c>
      <c r="F399" s="2"/>
      <c r="G399" s="10" t="e">
        <f>G400</f>
        <v>#REF!</v>
      </c>
    </row>
    <row r="400" spans="1:7" ht="15.75">
      <c r="A400" s="30" t="s">
        <v>291</v>
      </c>
      <c r="B400" s="41" t="s">
        <v>333</v>
      </c>
      <c r="C400" s="41" t="s">
        <v>316</v>
      </c>
      <c r="D400" s="41" t="s">
        <v>135</v>
      </c>
      <c r="E400" s="41" t="s">
        <v>292</v>
      </c>
      <c r="F400" s="2"/>
      <c r="G400" s="10" t="e">
        <f>#REF!</f>
        <v>#REF!</v>
      </c>
    </row>
    <row r="401" spans="1:7" ht="15.75">
      <c r="A401" s="25" t="s">
        <v>701</v>
      </c>
      <c r="B401" s="20" t="s">
        <v>702</v>
      </c>
      <c r="C401" s="41" t="s">
        <v>316</v>
      </c>
      <c r="D401" s="41" t="s">
        <v>135</v>
      </c>
      <c r="E401" s="41"/>
      <c r="F401" s="2"/>
      <c r="G401" s="10" t="e">
        <f>G402</f>
        <v>#REF!</v>
      </c>
    </row>
    <row r="402" spans="1:7" ht="63">
      <c r="A402" s="25" t="s">
        <v>289</v>
      </c>
      <c r="B402" s="20" t="s">
        <v>702</v>
      </c>
      <c r="C402" s="41" t="s">
        <v>316</v>
      </c>
      <c r="D402" s="41" t="s">
        <v>135</v>
      </c>
      <c r="E402" s="41" t="s">
        <v>290</v>
      </c>
      <c r="F402" s="2"/>
      <c r="G402" s="10" t="e">
        <f>G403</f>
        <v>#REF!</v>
      </c>
    </row>
    <row r="403" spans="1:7" ht="15.75">
      <c r="A403" s="25" t="s">
        <v>291</v>
      </c>
      <c r="B403" s="20" t="s">
        <v>702</v>
      </c>
      <c r="C403" s="41" t="s">
        <v>316</v>
      </c>
      <c r="D403" s="41" t="s">
        <v>135</v>
      </c>
      <c r="E403" s="41" t="s">
        <v>292</v>
      </c>
      <c r="F403" s="2"/>
      <c r="G403" s="10" t="e">
        <f>#REF!</f>
        <v>#REF!</v>
      </c>
    </row>
    <row r="404" spans="1:7" ht="63">
      <c r="A404" s="46" t="s">
        <v>278</v>
      </c>
      <c r="B404" s="41" t="s">
        <v>330</v>
      </c>
      <c r="C404" s="41" t="s">
        <v>316</v>
      </c>
      <c r="D404" s="41" t="s">
        <v>135</v>
      </c>
      <c r="E404" s="41"/>
      <c r="F404" s="2">
        <v>903</v>
      </c>
      <c r="G404" s="10" t="e">
        <f>G374</f>
        <v>#REF!</v>
      </c>
    </row>
    <row r="405" spans="1:7" ht="47.25" hidden="1">
      <c r="A405" s="63" t="s">
        <v>338</v>
      </c>
      <c r="B405" s="41" t="s">
        <v>339</v>
      </c>
      <c r="C405" s="41" t="s">
        <v>316</v>
      </c>
      <c r="D405" s="41" t="s">
        <v>135</v>
      </c>
      <c r="E405" s="41"/>
      <c r="F405" s="2"/>
      <c r="G405" s="10">
        <f>G406</f>
        <v>0</v>
      </c>
    </row>
    <row r="406" spans="1:7" ht="63" hidden="1">
      <c r="A406" s="30" t="s">
        <v>289</v>
      </c>
      <c r="B406" s="41" t="s">
        <v>339</v>
      </c>
      <c r="C406" s="41" t="s">
        <v>316</v>
      </c>
      <c r="D406" s="41" t="s">
        <v>135</v>
      </c>
      <c r="E406" s="41" t="s">
        <v>290</v>
      </c>
      <c r="F406" s="2"/>
      <c r="G406" s="10"/>
    </row>
    <row r="407" spans="1:7" ht="15.75" hidden="1">
      <c r="A407" s="30" t="s">
        <v>291</v>
      </c>
      <c r="B407" s="41" t="s">
        <v>339</v>
      </c>
      <c r="C407" s="41" t="s">
        <v>316</v>
      </c>
      <c r="D407" s="41" t="s">
        <v>135</v>
      </c>
      <c r="E407" s="41" t="s">
        <v>292</v>
      </c>
      <c r="F407" s="2"/>
      <c r="G407" s="10"/>
    </row>
    <row r="408" spans="1:7" ht="63" hidden="1">
      <c r="A408" s="46" t="s">
        <v>278</v>
      </c>
      <c r="B408" s="41" t="s">
        <v>339</v>
      </c>
      <c r="C408" s="41" t="s">
        <v>316</v>
      </c>
      <c r="D408" s="41" t="s">
        <v>135</v>
      </c>
      <c r="E408" s="41"/>
      <c r="F408" s="2">
        <v>903</v>
      </c>
      <c r="G408" s="10">
        <f>G407</f>
        <v>0</v>
      </c>
    </row>
    <row r="409" spans="1:7" ht="78.75">
      <c r="A409" s="42" t="s">
        <v>340</v>
      </c>
      <c r="B409" s="7" t="s">
        <v>341</v>
      </c>
      <c r="C409" s="76"/>
      <c r="D409" s="76"/>
      <c r="E409" s="76"/>
      <c r="F409" s="76"/>
      <c r="G409" s="62" t="e">
        <f>G410</f>
        <v>#REF!</v>
      </c>
    </row>
    <row r="410" spans="1:7" ht="15.75">
      <c r="A410" s="77" t="s">
        <v>315</v>
      </c>
      <c r="B410" s="41" t="s">
        <v>341</v>
      </c>
      <c r="C410" s="41" t="s">
        <v>316</v>
      </c>
      <c r="D410" s="77"/>
      <c r="E410" s="77"/>
      <c r="F410" s="77"/>
      <c r="G410" s="10" t="e">
        <f>G411</f>
        <v>#REF!</v>
      </c>
    </row>
    <row r="411" spans="1:7" ht="15.75">
      <c r="A411" s="77" t="s">
        <v>317</v>
      </c>
      <c r="B411" s="41" t="s">
        <v>341</v>
      </c>
      <c r="C411" s="41" t="s">
        <v>316</v>
      </c>
      <c r="D411" s="41" t="s">
        <v>135</v>
      </c>
      <c r="E411" s="77"/>
      <c r="F411" s="77"/>
      <c r="G411" s="10" t="e">
        <f>G412</f>
        <v>#REF!</v>
      </c>
    </row>
    <row r="412" spans="1:7" ht="63">
      <c r="A412" s="30" t="s">
        <v>342</v>
      </c>
      <c r="B412" s="41" t="s">
        <v>343</v>
      </c>
      <c r="C412" s="41" t="s">
        <v>316</v>
      </c>
      <c r="D412" s="41" t="s">
        <v>135</v>
      </c>
      <c r="E412" s="77"/>
      <c r="F412" s="77"/>
      <c r="G412" s="10" t="e">
        <f>G413</f>
        <v>#REF!</v>
      </c>
    </row>
    <row r="413" spans="1:7" ht="63">
      <c r="A413" s="25" t="s">
        <v>289</v>
      </c>
      <c r="B413" s="41" t="s">
        <v>343</v>
      </c>
      <c r="C413" s="41" t="s">
        <v>316</v>
      </c>
      <c r="D413" s="41" t="s">
        <v>135</v>
      </c>
      <c r="E413" s="41" t="s">
        <v>290</v>
      </c>
      <c r="F413" s="77"/>
      <c r="G413" s="10" t="e">
        <f>G414</f>
        <v>#REF!</v>
      </c>
    </row>
    <row r="414" spans="1:7" ht="15.75">
      <c r="A414" s="25" t="s">
        <v>291</v>
      </c>
      <c r="B414" s="41" t="s">
        <v>343</v>
      </c>
      <c r="C414" s="41" t="s">
        <v>316</v>
      </c>
      <c r="D414" s="41" t="s">
        <v>135</v>
      </c>
      <c r="E414" s="41" t="s">
        <v>292</v>
      </c>
      <c r="F414" s="77"/>
      <c r="G414" s="10" t="e">
        <f>#REF!</f>
        <v>#REF!</v>
      </c>
    </row>
    <row r="415" spans="1:7" ht="63" hidden="1">
      <c r="A415" s="46" t="s">
        <v>673</v>
      </c>
      <c r="B415" s="41" t="s">
        <v>343</v>
      </c>
      <c r="C415" s="41" t="s">
        <v>316</v>
      </c>
      <c r="D415" s="41" t="s">
        <v>135</v>
      </c>
      <c r="E415" s="41"/>
      <c r="F415" s="77"/>
      <c r="G415" s="10">
        <f>G416</f>
        <v>0</v>
      </c>
    </row>
    <row r="416" spans="1:7" ht="63" hidden="1">
      <c r="A416" s="30" t="s">
        <v>289</v>
      </c>
      <c r="B416" s="41" t="s">
        <v>343</v>
      </c>
      <c r="C416" s="41" t="s">
        <v>316</v>
      </c>
      <c r="D416" s="41" t="s">
        <v>135</v>
      </c>
      <c r="E416" s="41" t="s">
        <v>290</v>
      </c>
      <c r="F416" s="77"/>
      <c r="G416" s="10">
        <f>G417</f>
        <v>0</v>
      </c>
    </row>
    <row r="417" spans="1:7" ht="15.75" hidden="1">
      <c r="A417" s="30" t="s">
        <v>291</v>
      </c>
      <c r="B417" s="41" t="s">
        <v>343</v>
      </c>
      <c r="C417" s="41" t="s">
        <v>316</v>
      </c>
      <c r="D417" s="41" t="s">
        <v>135</v>
      </c>
      <c r="E417" s="41" t="s">
        <v>292</v>
      </c>
      <c r="F417" s="77"/>
      <c r="G417" s="10"/>
    </row>
    <row r="418" spans="1:7" ht="63">
      <c r="A418" s="46" t="s">
        <v>278</v>
      </c>
      <c r="B418" s="41" t="s">
        <v>341</v>
      </c>
      <c r="C418" s="41" t="s">
        <v>316</v>
      </c>
      <c r="D418" s="41" t="s">
        <v>135</v>
      </c>
      <c r="E418" s="77"/>
      <c r="F418" s="2">
        <v>903</v>
      </c>
      <c r="G418" s="10" t="e">
        <f>G409</f>
        <v>#REF!</v>
      </c>
    </row>
    <row r="419" spans="1:7" ht="63">
      <c r="A419" s="42" t="s">
        <v>559</v>
      </c>
      <c r="B419" s="7" t="s">
        <v>560</v>
      </c>
      <c r="C419" s="2"/>
      <c r="D419" s="2"/>
      <c r="E419" s="2"/>
      <c r="F419" s="2"/>
      <c r="G419" s="62" t="e">
        <f>G420+G433</f>
        <v>#REF!</v>
      </c>
    </row>
    <row r="420" spans="1:7" ht="78.75">
      <c r="A420" s="42" t="s">
        <v>561</v>
      </c>
      <c r="B420" s="7" t="s">
        <v>562</v>
      </c>
      <c r="C420" s="7"/>
      <c r="D420" s="7"/>
      <c r="E420" s="3"/>
      <c r="F420" s="3"/>
      <c r="G420" s="62" t="e">
        <f>G421</f>
        <v>#REF!</v>
      </c>
    </row>
    <row r="421" spans="1:7" ht="15.75">
      <c r="A421" s="77" t="s">
        <v>407</v>
      </c>
      <c r="B421" s="41" t="s">
        <v>562</v>
      </c>
      <c r="C421" s="41" t="s">
        <v>251</v>
      </c>
      <c r="D421" s="41"/>
      <c r="E421" s="2"/>
      <c r="F421" s="2"/>
      <c r="G421" s="10" t="e">
        <f>G422</f>
        <v>#REF!</v>
      </c>
    </row>
    <row r="422" spans="1:7" ht="15.75">
      <c r="A422" s="77" t="s">
        <v>558</v>
      </c>
      <c r="B422" s="41" t="s">
        <v>562</v>
      </c>
      <c r="C422" s="41" t="s">
        <v>251</v>
      </c>
      <c r="D422" s="41" t="s">
        <v>232</v>
      </c>
      <c r="E422" s="2"/>
      <c r="F422" s="2"/>
      <c r="G422" s="10" t="e">
        <f>G423+G426+G429</f>
        <v>#REF!</v>
      </c>
    </row>
    <row r="423" spans="1:7" ht="31.5">
      <c r="A423" s="25" t="s">
        <v>563</v>
      </c>
      <c r="B423" s="20" t="s">
        <v>564</v>
      </c>
      <c r="C423" s="41" t="s">
        <v>251</v>
      </c>
      <c r="D423" s="41" t="s">
        <v>232</v>
      </c>
      <c r="E423" s="2"/>
      <c r="F423" s="2"/>
      <c r="G423" s="10" t="e">
        <f>G424</f>
        <v>#REF!</v>
      </c>
    </row>
    <row r="424" spans="1:7" ht="51" customHeight="1">
      <c r="A424" s="25" t="s">
        <v>148</v>
      </c>
      <c r="B424" s="20" t="s">
        <v>564</v>
      </c>
      <c r="C424" s="41" t="s">
        <v>251</v>
      </c>
      <c r="D424" s="41" t="s">
        <v>232</v>
      </c>
      <c r="E424" s="2">
        <v>200</v>
      </c>
      <c r="F424" s="2"/>
      <c r="G424" s="10" t="e">
        <f>G425</f>
        <v>#REF!</v>
      </c>
    </row>
    <row r="425" spans="1:7" ht="47.25">
      <c r="A425" s="25" t="s">
        <v>150</v>
      </c>
      <c r="B425" s="20" t="s">
        <v>564</v>
      </c>
      <c r="C425" s="41" t="s">
        <v>251</v>
      </c>
      <c r="D425" s="41" t="s">
        <v>232</v>
      </c>
      <c r="E425" s="2">
        <v>240</v>
      </c>
      <c r="F425" s="2"/>
      <c r="G425" s="10" t="e">
        <f>#REF!</f>
        <v>#REF!</v>
      </c>
    </row>
    <row r="426" spans="1:7" ht="31.5" customHeight="1">
      <c r="A426" s="25" t="s">
        <v>565</v>
      </c>
      <c r="B426" s="20" t="s">
        <v>566</v>
      </c>
      <c r="C426" s="41" t="s">
        <v>251</v>
      </c>
      <c r="D426" s="41" t="s">
        <v>232</v>
      </c>
      <c r="E426" s="2"/>
      <c r="F426" s="2"/>
      <c r="G426" s="10" t="e">
        <f>G427</f>
        <v>#REF!</v>
      </c>
    </row>
    <row r="427" spans="1:7" ht="47.25">
      <c r="A427" s="25" t="s">
        <v>148</v>
      </c>
      <c r="B427" s="20" t="s">
        <v>566</v>
      </c>
      <c r="C427" s="41" t="s">
        <v>251</v>
      </c>
      <c r="D427" s="41" t="s">
        <v>232</v>
      </c>
      <c r="E427" s="2">
        <v>200</v>
      </c>
      <c r="F427" s="2"/>
      <c r="G427" s="10" t="e">
        <f>G428</f>
        <v>#REF!</v>
      </c>
    </row>
    <row r="428" spans="1:7" ht="47.25">
      <c r="A428" s="25" t="s">
        <v>150</v>
      </c>
      <c r="B428" s="20" t="s">
        <v>566</v>
      </c>
      <c r="C428" s="41" t="s">
        <v>251</v>
      </c>
      <c r="D428" s="41" t="s">
        <v>232</v>
      </c>
      <c r="E428" s="2">
        <v>240</v>
      </c>
      <c r="F428" s="2"/>
      <c r="G428" s="10" t="e">
        <f>#REF!</f>
        <v>#REF!</v>
      </c>
    </row>
    <row r="429" spans="1:7" ht="31.5">
      <c r="A429" s="25" t="s">
        <v>567</v>
      </c>
      <c r="B429" s="20" t="s">
        <v>568</v>
      </c>
      <c r="C429" s="41" t="s">
        <v>251</v>
      </c>
      <c r="D429" s="41" t="s">
        <v>232</v>
      </c>
      <c r="E429" s="2"/>
      <c r="F429" s="2"/>
      <c r="G429" s="10" t="e">
        <f>G430</f>
        <v>#REF!</v>
      </c>
    </row>
    <row r="430" spans="1:7" ht="47.25">
      <c r="A430" s="25" t="s">
        <v>148</v>
      </c>
      <c r="B430" s="20" t="s">
        <v>568</v>
      </c>
      <c r="C430" s="41" t="s">
        <v>251</v>
      </c>
      <c r="D430" s="41" t="s">
        <v>232</v>
      </c>
      <c r="E430" s="2">
        <v>200</v>
      </c>
      <c r="F430" s="2"/>
      <c r="G430" s="10" t="e">
        <f>G431</f>
        <v>#REF!</v>
      </c>
    </row>
    <row r="431" spans="1:7" ht="47.25">
      <c r="A431" s="25" t="s">
        <v>150</v>
      </c>
      <c r="B431" s="20" t="s">
        <v>568</v>
      </c>
      <c r="C431" s="41" t="s">
        <v>251</v>
      </c>
      <c r="D431" s="41" t="s">
        <v>232</v>
      </c>
      <c r="E431" s="2">
        <v>240</v>
      </c>
      <c r="F431" s="2"/>
      <c r="G431" s="10" t="e">
        <f>#REF!</f>
        <v>#REF!</v>
      </c>
    </row>
    <row r="432" spans="1:7" ht="47.25">
      <c r="A432" s="46" t="s">
        <v>641</v>
      </c>
      <c r="B432" s="41" t="s">
        <v>562</v>
      </c>
      <c r="C432" s="41" t="s">
        <v>251</v>
      </c>
      <c r="D432" s="41" t="s">
        <v>232</v>
      </c>
      <c r="E432" s="2"/>
      <c r="F432" s="2">
        <v>908</v>
      </c>
      <c r="G432" s="10" t="e">
        <f>G420</f>
        <v>#REF!</v>
      </c>
    </row>
    <row r="433" spans="1:7" ht="63">
      <c r="A433" s="23" t="s">
        <v>569</v>
      </c>
      <c r="B433" s="7" t="s">
        <v>570</v>
      </c>
      <c r="C433" s="7"/>
      <c r="D433" s="7"/>
      <c r="E433" s="3"/>
      <c r="F433" s="3"/>
      <c r="G433" s="62" t="e">
        <f>G434</f>
        <v>#REF!</v>
      </c>
    </row>
    <row r="434" spans="1:7" ht="15.75">
      <c r="A434" s="77" t="s">
        <v>407</v>
      </c>
      <c r="B434" s="41" t="s">
        <v>570</v>
      </c>
      <c r="C434" s="41" t="s">
        <v>251</v>
      </c>
      <c r="D434" s="41"/>
      <c r="E434" s="2"/>
      <c r="F434" s="2"/>
      <c r="G434" s="10" t="e">
        <f>G435</f>
        <v>#REF!</v>
      </c>
    </row>
    <row r="435" spans="1:7" ht="15.75">
      <c r="A435" s="77" t="s">
        <v>558</v>
      </c>
      <c r="B435" s="41" t="s">
        <v>570</v>
      </c>
      <c r="C435" s="41" t="s">
        <v>251</v>
      </c>
      <c r="D435" s="41" t="s">
        <v>232</v>
      </c>
      <c r="E435" s="2"/>
      <c r="F435" s="2"/>
      <c r="G435" s="10" t="e">
        <f>G436+G441+G444+G447</f>
        <v>#REF!</v>
      </c>
    </row>
    <row r="436" spans="1:7" ht="31.5">
      <c r="A436" s="25" t="s">
        <v>567</v>
      </c>
      <c r="B436" s="20" t="s">
        <v>571</v>
      </c>
      <c r="C436" s="41" t="s">
        <v>251</v>
      </c>
      <c r="D436" s="41" t="s">
        <v>232</v>
      </c>
      <c r="E436" s="2"/>
      <c r="F436" s="2"/>
      <c r="G436" s="10" t="e">
        <f>G437+G439</f>
        <v>#REF!</v>
      </c>
    </row>
    <row r="437" spans="1:7" ht="110.25">
      <c r="A437" s="25" t="s">
        <v>144</v>
      </c>
      <c r="B437" s="20" t="s">
        <v>571</v>
      </c>
      <c r="C437" s="41" t="s">
        <v>251</v>
      </c>
      <c r="D437" s="41" t="s">
        <v>232</v>
      </c>
      <c r="E437" s="2">
        <v>100</v>
      </c>
      <c r="F437" s="2"/>
      <c r="G437" s="10" t="e">
        <f>G438</f>
        <v>#REF!</v>
      </c>
    </row>
    <row r="438" spans="1:7" ht="31.5">
      <c r="A438" s="47" t="s">
        <v>359</v>
      </c>
      <c r="B438" s="20" t="s">
        <v>571</v>
      </c>
      <c r="C438" s="41" t="s">
        <v>251</v>
      </c>
      <c r="D438" s="41" t="s">
        <v>232</v>
      </c>
      <c r="E438" s="2">
        <v>110</v>
      </c>
      <c r="F438" s="2"/>
      <c r="G438" s="10" t="e">
        <f>#REF!</f>
        <v>#REF!</v>
      </c>
    </row>
    <row r="439" spans="1:7" ht="47.25">
      <c r="A439" s="25" t="s">
        <v>148</v>
      </c>
      <c r="B439" s="20" t="s">
        <v>571</v>
      </c>
      <c r="C439" s="41" t="s">
        <v>251</v>
      </c>
      <c r="D439" s="41" t="s">
        <v>232</v>
      </c>
      <c r="E439" s="2">
        <v>200</v>
      </c>
      <c r="F439" s="2"/>
      <c r="G439" s="10" t="e">
        <f>G440</f>
        <v>#REF!</v>
      </c>
    </row>
    <row r="440" spans="1:7" ht="47.25">
      <c r="A440" s="25" t="s">
        <v>150</v>
      </c>
      <c r="B440" s="20" t="s">
        <v>571</v>
      </c>
      <c r="C440" s="41" t="s">
        <v>251</v>
      </c>
      <c r="D440" s="41" t="s">
        <v>232</v>
      </c>
      <c r="E440" s="2">
        <v>240</v>
      </c>
      <c r="F440" s="2"/>
      <c r="G440" s="10" t="e">
        <f>#REF!</f>
        <v>#REF!</v>
      </c>
    </row>
    <row r="441" spans="1:7" ht="15.75">
      <c r="A441" s="25" t="s">
        <v>572</v>
      </c>
      <c r="B441" s="20" t="s">
        <v>573</v>
      </c>
      <c r="C441" s="41" t="s">
        <v>251</v>
      </c>
      <c r="D441" s="41" t="s">
        <v>232</v>
      </c>
      <c r="E441" s="2"/>
      <c r="F441" s="2"/>
      <c r="G441" s="10" t="e">
        <f>G442</f>
        <v>#REF!</v>
      </c>
    </row>
    <row r="442" spans="1:7" ht="47.25">
      <c r="A442" s="25" t="s">
        <v>148</v>
      </c>
      <c r="B442" s="20" t="s">
        <v>573</v>
      </c>
      <c r="C442" s="41" t="s">
        <v>251</v>
      </c>
      <c r="D442" s="41" t="s">
        <v>232</v>
      </c>
      <c r="E442" s="2">
        <v>200</v>
      </c>
      <c r="F442" s="2"/>
      <c r="G442" s="10" t="e">
        <f>G443</f>
        <v>#REF!</v>
      </c>
    </row>
    <row r="443" spans="1:7" ht="47.25">
      <c r="A443" s="25" t="s">
        <v>150</v>
      </c>
      <c r="B443" s="20" t="s">
        <v>573</v>
      </c>
      <c r="C443" s="41" t="s">
        <v>251</v>
      </c>
      <c r="D443" s="41" t="s">
        <v>232</v>
      </c>
      <c r="E443" s="2">
        <v>240</v>
      </c>
      <c r="F443" s="2"/>
      <c r="G443" s="10" t="e">
        <f>#REF!</f>
        <v>#REF!</v>
      </c>
    </row>
    <row r="444" spans="1:7" ht="63">
      <c r="A444" s="107" t="s">
        <v>574</v>
      </c>
      <c r="B444" s="20" t="s">
        <v>575</v>
      </c>
      <c r="C444" s="41" t="s">
        <v>251</v>
      </c>
      <c r="D444" s="41" t="s">
        <v>232</v>
      </c>
      <c r="E444" s="2"/>
      <c r="F444" s="2"/>
      <c r="G444" s="10" t="e">
        <f>G445</f>
        <v>#REF!</v>
      </c>
    </row>
    <row r="445" spans="1:7" ht="47.25">
      <c r="A445" s="25" t="s">
        <v>148</v>
      </c>
      <c r="B445" s="20" t="s">
        <v>575</v>
      </c>
      <c r="C445" s="41" t="s">
        <v>251</v>
      </c>
      <c r="D445" s="41" t="s">
        <v>232</v>
      </c>
      <c r="E445" s="2">
        <v>200</v>
      </c>
      <c r="F445" s="2"/>
      <c r="G445" s="10" t="e">
        <f>G446</f>
        <v>#REF!</v>
      </c>
    </row>
    <row r="446" spans="1:7" ht="47.25">
      <c r="A446" s="25" t="s">
        <v>150</v>
      </c>
      <c r="B446" s="20" t="s">
        <v>575</v>
      </c>
      <c r="C446" s="41" t="s">
        <v>251</v>
      </c>
      <c r="D446" s="41" t="s">
        <v>232</v>
      </c>
      <c r="E446" s="2">
        <v>240</v>
      </c>
      <c r="F446" s="2"/>
      <c r="G446" s="10" t="e">
        <f>#REF!</f>
        <v>#REF!</v>
      </c>
    </row>
    <row r="447" spans="1:7" ht="31.5">
      <c r="A447" s="107" t="s">
        <v>576</v>
      </c>
      <c r="B447" s="20" t="s">
        <v>577</v>
      </c>
      <c r="C447" s="41" t="s">
        <v>251</v>
      </c>
      <c r="D447" s="41" t="s">
        <v>232</v>
      </c>
      <c r="E447" s="2"/>
      <c r="F447" s="2"/>
      <c r="G447" s="10" t="e">
        <f>G448</f>
        <v>#REF!</v>
      </c>
    </row>
    <row r="448" spans="1:7" ht="47.25">
      <c r="A448" s="25" t="s">
        <v>148</v>
      </c>
      <c r="B448" s="20" t="s">
        <v>577</v>
      </c>
      <c r="C448" s="41" t="s">
        <v>251</v>
      </c>
      <c r="D448" s="41" t="s">
        <v>232</v>
      </c>
      <c r="E448" s="2">
        <v>200</v>
      </c>
      <c r="F448" s="2"/>
      <c r="G448" s="10" t="e">
        <f>G449</f>
        <v>#REF!</v>
      </c>
    </row>
    <row r="449" spans="1:7" ht="47.25">
      <c r="A449" s="25" t="s">
        <v>150</v>
      </c>
      <c r="B449" s="20" t="s">
        <v>577</v>
      </c>
      <c r="C449" s="41" t="s">
        <v>251</v>
      </c>
      <c r="D449" s="41" t="s">
        <v>232</v>
      </c>
      <c r="E449" s="2">
        <v>240</v>
      </c>
      <c r="F449" s="2"/>
      <c r="G449" s="10" t="e">
        <f>#REF!</f>
        <v>#REF!</v>
      </c>
    </row>
    <row r="450" spans="1:7" ht="47.25">
      <c r="A450" s="46" t="s">
        <v>641</v>
      </c>
      <c r="B450" s="20" t="s">
        <v>570</v>
      </c>
      <c r="C450" s="41" t="s">
        <v>251</v>
      </c>
      <c r="D450" s="41" t="s">
        <v>232</v>
      </c>
      <c r="E450" s="2"/>
      <c r="F450" s="2">
        <v>908</v>
      </c>
      <c r="G450" s="10" t="e">
        <f>G433</f>
        <v>#REF!</v>
      </c>
    </row>
    <row r="451" spans="1:7" ht="78.75">
      <c r="A451" s="35" t="s">
        <v>198</v>
      </c>
      <c r="B451" s="186" t="s">
        <v>199</v>
      </c>
      <c r="C451" s="7"/>
      <c r="D451" s="7"/>
      <c r="E451" s="7"/>
      <c r="F451" s="3"/>
      <c r="G451" s="62" t="e">
        <f>G452</f>
        <v>#REF!</v>
      </c>
    </row>
    <row r="452" spans="1:7" ht="15.75">
      <c r="A452" s="25" t="s">
        <v>134</v>
      </c>
      <c r="B452" s="5" t="s">
        <v>199</v>
      </c>
      <c r="C452" s="41" t="s">
        <v>135</v>
      </c>
      <c r="D452" s="41"/>
      <c r="E452" s="41"/>
      <c r="F452" s="2"/>
      <c r="G452" s="10" t="e">
        <f>G453</f>
        <v>#REF!</v>
      </c>
    </row>
    <row r="453" spans="1:7" ht="31.5">
      <c r="A453" s="25" t="s">
        <v>156</v>
      </c>
      <c r="B453" s="31" t="s">
        <v>199</v>
      </c>
      <c r="C453" s="41" t="s">
        <v>135</v>
      </c>
      <c r="D453" s="41" t="s">
        <v>157</v>
      </c>
      <c r="E453" s="41"/>
      <c r="F453" s="2"/>
      <c r="G453" s="10" t="e">
        <f>G454</f>
        <v>#REF!</v>
      </c>
    </row>
    <row r="454" spans="1:7" ht="47.25">
      <c r="A454" s="30" t="s">
        <v>174</v>
      </c>
      <c r="B454" s="20" t="s">
        <v>200</v>
      </c>
      <c r="C454" s="41" t="s">
        <v>135</v>
      </c>
      <c r="D454" s="41" t="s">
        <v>157</v>
      </c>
      <c r="E454" s="41"/>
      <c r="F454" s="2"/>
      <c r="G454" s="10" t="e">
        <f>G455</f>
        <v>#REF!</v>
      </c>
    </row>
    <row r="455" spans="1:7" ht="47.25">
      <c r="A455" s="30" t="s">
        <v>148</v>
      </c>
      <c r="B455" s="20" t="s">
        <v>200</v>
      </c>
      <c r="C455" s="41" t="s">
        <v>135</v>
      </c>
      <c r="D455" s="41" t="s">
        <v>157</v>
      </c>
      <c r="E455" s="41" t="s">
        <v>162</v>
      </c>
      <c r="F455" s="2"/>
      <c r="G455" s="10" t="e">
        <f>G456</f>
        <v>#REF!</v>
      </c>
    </row>
    <row r="456" spans="1:7" ht="78.75">
      <c r="A456" s="30" t="s">
        <v>201</v>
      </c>
      <c r="B456" s="20" t="s">
        <v>200</v>
      </c>
      <c r="C456" s="41" t="s">
        <v>135</v>
      </c>
      <c r="D456" s="41" t="s">
        <v>157</v>
      </c>
      <c r="E456" s="41" t="s">
        <v>177</v>
      </c>
      <c r="F456" s="2"/>
      <c r="G456" s="10" t="e">
        <f>#REF!</f>
        <v>#REF!</v>
      </c>
    </row>
    <row r="457" spans="1:7" ht="31.5">
      <c r="A457" s="30" t="s">
        <v>165</v>
      </c>
      <c r="B457" s="31" t="s">
        <v>199</v>
      </c>
      <c r="C457" s="41" t="s">
        <v>135</v>
      </c>
      <c r="D457" s="41" t="s">
        <v>157</v>
      </c>
      <c r="E457" s="41"/>
      <c r="F457" s="2">
        <v>902</v>
      </c>
      <c r="G457" s="10" t="e">
        <f>G451</f>
        <v>#REF!</v>
      </c>
    </row>
    <row r="458" spans="1:7" ht="94.5">
      <c r="A458" s="42" t="s">
        <v>674</v>
      </c>
      <c r="B458" s="7" t="s">
        <v>535</v>
      </c>
      <c r="C458" s="7"/>
      <c r="D458" s="7"/>
      <c r="E458" s="76"/>
      <c r="F458" s="3"/>
      <c r="G458" s="62" t="e">
        <f>G459</f>
        <v>#REF!</v>
      </c>
    </row>
    <row r="459" spans="1:7" ht="15.75">
      <c r="A459" s="30" t="s">
        <v>407</v>
      </c>
      <c r="B459" s="41" t="s">
        <v>535</v>
      </c>
      <c r="C459" s="41" t="s">
        <v>251</v>
      </c>
      <c r="D459" s="41"/>
      <c r="E459" s="77"/>
      <c r="F459" s="2"/>
      <c r="G459" s="10" t="e">
        <f>G460</f>
        <v>#REF!</v>
      </c>
    </row>
    <row r="460" spans="1:7" ht="15.75">
      <c r="A460" s="30" t="s">
        <v>534</v>
      </c>
      <c r="B460" s="41" t="s">
        <v>535</v>
      </c>
      <c r="C460" s="41" t="s">
        <v>251</v>
      </c>
      <c r="D460" s="41" t="s">
        <v>230</v>
      </c>
      <c r="E460" s="77"/>
      <c r="F460" s="2"/>
      <c r="G460" s="10" t="e">
        <f>G465+G468+G471+G474+G477+G480+G483</f>
        <v>#REF!</v>
      </c>
    </row>
    <row r="461" spans="1:7" ht="63" hidden="1">
      <c r="A461" s="36" t="s">
        <v>536</v>
      </c>
      <c r="B461" s="20" t="s">
        <v>537</v>
      </c>
      <c r="C461" s="41" t="s">
        <v>251</v>
      </c>
      <c r="D461" s="41" t="s">
        <v>230</v>
      </c>
      <c r="E461" s="77"/>
      <c r="F461" s="2"/>
      <c r="G461" s="10">
        <f>G462</f>
        <v>0</v>
      </c>
    </row>
    <row r="462" spans="1:7" ht="47.25" hidden="1">
      <c r="A462" s="30" t="s">
        <v>148</v>
      </c>
      <c r="B462" s="20" t="s">
        <v>537</v>
      </c>
      <c r="C462" s="41" t="s">
        <v>251</v>
      </c>
      <c r="D462" s="41" t="s">
        <v>230</v>
      </c>
      <c r="E462" s="41" t="s">
        <v>149</v>
      </c>
      <c r="F462" s="2"/>
      <c r="G462" s="10">
        <f>G463</f>
        <v>0</v>
      </c>
    </row>
    <row r="463" spans="1:7" ht="47.25" hidden="1">
      <c r="A463" s="30" t="s">
        <v>150</v>
      </c>
      <c r="B463" s="20" t="s">
        <v>537</v>
      </c>
      <c r="C463" s="41" t="s">
        <v>251</v>
      </c>
      <c r="D463" s="41" t="s">
        <v>230</v>
      </c>
      <c r="E463" s="41" t="s">
        <v>151</v>
      </c>
      <c r="F463" s="2"/>
      <c r="G463" s="10"/>
    </row>
    <row r="464" spans="1:7" ht="47.25" hidden="1">
      <c r="A464" s="46" t="s">
        <v>641</v>
      </c>
      <c r="B464" s="20" t="s">
        <v>537</v>
      </c>
      <c r="C464" s="41"/>
      <c r="D464" s="41"/>
      <c r="E464" s="41"/>
      <c r="F464" s="2">
        <v>908</v>
      </c>
      <c r="G464" s="10">
        <f>G461</f>
        <v>0</v>
      </c>
    </row>
    <row r="465" spans="1:7" ht="15.75">
      <c r="A465" s="107" t="s">
        <v>538</v>
      </c>
      <c r="B465" s="20" t="s">
        <v>539</v>
      </c>
      <c r="C465" s="41" t="s">
        <v>251</v>
      </c>
      <c r="D465" s="41" t="s">
        <v>230</v>
      </c>
      <c r="E465" s="41"/>
      <c r="F465" s="2"/>
      <c r="G465" s="10" t="e">
        <f>G466</f>
        <v>#REF!</v>
      </c>
    </row>
    <row r="466" spans="1:7" ht="47.25">
      <c r="A466" s="32" t="s">
        <v>148</v>
      </c>
      <c r="B466" s="20" t="s">
        <v>539</v>
      </c>
      <c r="C466" s="41" t="s">
        <v>251</v>
      </c>
      <c r="D466" s="41" t="s">
        <v>230</v>
      </c>
      <c r="E466" s="41" t="s">
        <v>149</v>
      </c>
      <c r="F466" s="2"/>
      <c r="G466" s="10" t="e">
        <f>G467</f>
        <v>#REF!</v>
      </c>
    </row>
    <row r="467" spans="1:7" ht="47.25">
      <c r="A467" s="32" t="s">
        <v>150</v>
      </c>
      <c r="B467" s="20" t="s">
        <v>539</v>
      </c>
      <c r="C467" s="41" t="s">
        <v>251</v>
      </c>
      <c r="D467" s="41" t="s">
        <v>230</v>
      </c>
      <c r="E467" s="41" t="s">
        <v>151</v>
      </c>
      <c r="F467" s="2"/>
      <c r="G467" s="10" t="e">
        <f>#REF!</f>
        <v>#REF!</v>
      </c>
    </row>
    <row r="468" spans="1:7" ht="15.75">
      <c r="A468" s="107" t="s">
        <v>540</v>
      </c>
      <c r="B468" s="20" t="s">
        <v>541</v>
      </c>
      <c r="C468" s="41" t="s">
        <v>251</v>
      </c>
      <c r="D468" s="41" t="s">
        <v>230</v>
      </c>
      <c r="E468" s="41"/>
      <c r="F468" s="2"/>
      <c r="G468" s="10" t="e">
        <f>G469</f>
        <v>#REF!</v>
      </c>
    </row>
    <row r="469" spans="1:7" ht="47.25">
      <c r="A469" s="32" t="s">
        <v>148</v>
      </c>
      <c r="B469" s="20" t="s">
        <v>541</v>
      </c>
      <c r="C469" s="41" t="s">
        <v>251</v>
      </c>
      <c r="D469" s="41" t="s">
        <v>230</v>
      </c>
      <c r="E469" s="41" t="s">
        <v>149</v>
      </c>
      <c r="F469" s="2"/>
      <c r="G469" s="10" t="e">
        <f>G470</f>
        <v>#REF!</v>
      </c>
    </row>
    <row r="470" spans="1:7" ht="47.25">
      <c r="A470" s="32" t="s">
        <v>150</v>
      </c>
      <c r="B470" s="20" t="s">
        <v>541</v>
      </c>
      <c r="C470" s="41" t="s">
        <v>251</v>
      </c>
      <c r="D470" s="41" t="s">
        <v>230</v>
      </c>
      <c r="E470" s="41" t="s">
        <v>151</v>
      </c>
      <c r="F470" s="2"/>
      <c r="G470" s="10" t="e">
        <f>#REF!</f>
        <v>#REF!</v>
      </c>
    </row>
    <row r="471" spans="1:7" ht="15.75">
      <c r="A471" s="107" t="s">
        <v>542</v>
      </c>
      <c r="B471" s="20" t="s">
        <v>543</v>
      </c>
      <c r="C471" s="41" t="s">
        <v>251</v>
      </c>
      <c r="D471" s="41" t="s">
        <v>230</v>
      </c>
      <c r="E471" s="41"/>
      <c r="F471" s="2"/>
      <c r="G471" s="10" t="e">
        <f>G472</f>
        <v>#REF!</v>
      </c>
    </row>
    <row r="472" spans="1:7" ht="47.25">
      <c r="A472" s="32" t="s">
        <v>148</v>
      </c>
      <c r="B472" s="20" t="s">
        <v>543</v>
      </c>
      <c r="C472" s="41" t="s">
        <v>251</v>
      </c>
      <c r="D472" s="41" t="s">
        <v>230</v>
      </c>
      <c r="E472" s="41" t="s">
        <v>149</v>
      </c>
      <c r="F472" s="2"/>
      <c r="G472" s="10" t="e">
        <f>G473</f>
        <v>#REF!</v>
      </c>
    </row>
    <row r="473" spans="1:7" ht="47.25">
      <c r="A473" s="32" t="s">
        <v>150</v>
      </c>
      <c r="B473" s="20" t="s">
        <v>543</v>
      </c>
      <c r="C473" s="41" t="s">
        <v>251</v>
      </c>
      <c r="D473" s="41" t="s">
        <v>230</v>
      </c>
      <c r="E473" s="41" t="s">
        <v>151</v>
      </c>
      <c r="F473" s="2"/>
      <c r="G473" s="10" t="e">
        <f>#REF!</f>
        <v>#REF!</v>
      </c>
    </row>
    <row r="474" spans="1:7" ht="31.5">
      <c r="A474" s="107" t="s">
        <v>544</v>
      </c>
      <c r="B474" s="20" t="s">
        <v>545</v>
      </c>
      <c r="C474" s="41" t="s">
        <v>251</v>
      </c>
      <c r="D474" s="41" t="s">
        <v>230</v>
      </c>
      <c r="E474" s="41"/>
      <c r="F474" s="2"/>
      <c r="G474" s="10" t="e">
        <f>G475</f>
        <v>#REF!</v>
      </c>
    </row>
    <row r="475" spans="1:7" ht="47.25">
      <c r="A475" s="32" t="s">
        <v>148</v>
      </c>
      <c r="B475" s="20" t="s">
        <v>545</v>
      </c>
      <c r="C475" s="41" t="s">
        <v>251</v>
      </c>
      <c r="D475" s="41" t="s">
        <v>230</v>
      </c>
      <c r="E475" s="41" t="s">
        <v>149</v>
      </c>
      <c r="F475" s="2"/>
      <c r="G475" s="10" t="e">
        <f>G476</f>
        <v>#REF!</v>
      </c>
    </row>
    <row r="476" spans="1:7" ht="47.25">
      <c r="A476" s="32" t="s">
        <v>150</v>
      </c>
      <c r="B476" s="20" t="s">
        <v>545</v>
      </c>
      <c r="C476" s="41" t="s">
        <v>251</v>
      </c>
      <c r="D476" s="41" t="s">
        <v>230</v>
      </c>
      <c r="E476" s="41" t="s">
        <v>151</v>
      </c>
      <c r="F476" s="2"/>
      <c r="G476" s="10" t="e">
        <f>#REF!</f>
        <v>#REF!</v>
      </c>
    </row>
    <row r="477" spans="1:7" ht="15.75">
      <c r="A477" s="107" t="s">
        <v>546</v>
      </c>
      <c r="B477" s="20" t="s">
        <v>547</v>
      </c>
      <c r="C477" s="41" t="s">
        <v>251</v>
      </c>
      <c r="D477" s="41" t="s">
        <v>230</v>
      </c>
      <c r="E477" s="41"/>
      <c r="F477" s="2"/>
      <c r="G477" s="10" t="e">
        <f>G478</f>
        <v>#REF!</v>
      </c>
    </row>
    <row r="478" spans="1:7" ht="47.25">
      <c r="A478" s="32" t="s">
        <v>148</v>
      </c>
      <c r="B478" s="20" t="s">
        <v>547</v>
      </c>
      <c r="C478" s="41" t="s">
        <v>251</v>
      </c>
      <c r="D478" s="41" t="s">
        <v>230</v>
      </c>
      <c r="E478" s="41" t="s">
        <v>149</v>
      </c>
      <c r="F478" s="2"/>
      <c r="G478" s="10" t="e">
        <f>G479</f>
        <v>#REF!</v>
      </c>
    </row>
    <row r="479" spans="1:7" ht="47.25">
      <c r="A479" s="32" t="s">
        <v>150</v>
      </c>
      <c r="B479" s="20" t="s">
        <v>547</v>
      </c>
      <c r="C479" s="41" t="s">
        <v>251</v>
      </c>
      <c r="D479" s="41" t="s">
        <v>230</v>
      </c>
      <c r="E479" s="41" t="s">
        <v>151</v>
      </c>
      <c r="F479" s="2"/>
      <c r="G479" s="10" t="e">
        <f>#REF!</f>
        <v>#REF!</v>
      </c>
    </row>
    <row r="480" spans="1:7" ht="31.5" hidden="1">
      <c r="A480" s="105" t="s">
        <v>548</v>
      </c>
      <c r="B480" s="20" t="s">
        <v>549</v>
      </c>
      <c r="C480" s="41" t="s">
        <v>251</v>
      </c>
      <c r="D480" s="41" t="s">
        <v>230</v>
      </c>
      <c r="E480" s="41"/>
      <c r="F480" s="2"/>
      <c r="G480" s="10">
        <f>G481</f>
        <v>0</v>
      </c>
    </row>
    <row r="481" spans="1:7" ht="47.25" hidden="1">
      <c r="A481" s="32" t="s">
        <v>148</v>
      </c>
      <c r="B481" s="20" t="s">
        <v>549</v>
      </c>
      <c r="C481" s="41" t="s">
        <v>251</v>
      </c>
      <c r="D481" s="41" t="s">
        <v>230</v>
      </c>
      <c r="E481" s="41"/>
      <c r="F481" s="2"/>
      <c r="G481" s="10">
        <f>G482</f>
        <v>0</v>
      </c>
    </row>
    <row r="482" spans="1:7" ht="47.25" hidden="1">
      <c r="A482" s="32" t="s">
        <v>150</v>
      </c>
      <c r="B482" s="20" t="s">
        <v>549</v>
      </c>
      <c r="C482" s="41" t="s">
        <v>251</v>
      </c>
      <c r="D482" s="41" t="s">
        <v>230</v>
      </c>
      <c r="E482" s="41"/>
      <c r="F482" s="2"/>
      <c r="G482" s="10"/>
    </row>
    <row r="483" spans="1:7" ht="31.5">
      <c r="A483" s="105" t="s">
        <v>550</v>
      </c>
      <c r="B483" s="20" t="s">
        <v>551</v>
      </c>
      <c r="C483" s="41" t="s">
        <v>251</v>
      </c>
      <c r="D483" s="41" t="s">
        <v>230</v>
      </c>
      <c r="E483" s="41"/>
      <c r="F483" s="2"/>
      <c r="G483" s="10" t="e">
        <f>G484</f>
        <v>#REF!</v>
      </c>
    </row>
    <row r="484" spans="1:7" ht="47.25">
      <c r="A484" s="25" t="s">
        <v>148</v>
      </c>
      <c r="B484" s="20" t="s">
        <v>551</v>
      </c>
      <c r="C484" s="41" t="s">
        <v>251</v>
      </c>
      <c r="D484" s="41" t="s">
        <v>230</v>
      </c>
      <c r="E484" s="2">
        <v>200</v>
      </c>
      <c r="F484" s="81"/>
      <c r="G484" s="6" t="e">
        <f>G485</f>
        <v>#REF!</v>
      </c>
    </row>
    <row r="485" spans="1:7" ht="47.25">
      <c r="A485" s="25" t="s">
        <v>150</v>
      </c>
      <c r="B485" s="20" t="s">
        <v>551</v>
      </c>
      <c r="C485" s="41" t="s">
        <v>251</v>
      </c>
      <c r="D485" s="41" t="s">
        <v>230</v>
      </c>
      <c r="E485" s="2">
        <v>240</v>
      </c>
      <c r="F485" s="81"/>
      <c r="G485" s="6" t="e">
        <f>#REF!</f>
        <v>#REF!</v>
      </c>
    </row>
    <row r="486" spans="1:7" ht="47.25">
      <c r="A486" s="46" t="s">
        <v>641</v>
      </c>
      <c r="B486" s="20" t="s">
        <v>535</v>
      </c>
      <c r="C486" s="41"/>
      <c r="D486" s="41"/>
      <c r="E486" s="2"/>
      <c r="F486" s="2">
        <v>908</v>
      </c>
      <c r="G486" s="6" t="e">
        <f>G458</f>
        <v>#REF!</v>
      </c>
    </row>
    <row r="487" spans="1:7" ht="63">
      <c r="A487" s="23" t="s">
        <v>351</v>
      </c>
      <c r="B487" s="24" t="s">
        <v>352</v>
      </c>
      <c r="C487" s="7"/>
      <c r="D487" s="7"/>
      <c r="E487" s="3"/>
      <c r="F487" s="3"/>
      <c r="G487" s="4" t="e">
        <f>G488+G499</f>
        <v>#REF!</v>
      </c>
    </row>
    <row r="488" spans="1:7" ht="15.75">
      <c r="A488" s="25" t="s">
        <v>280</v>
      </c>
      <c r="B488" s="20" t="s">
        <v>352</v>
      </c>
      <c r="C488" s="41" t="s">
        <v>281</v>
      </c>
      <c r="D488" s="41"/>
      <c r="E488" s="2"/>
      <c r="F488" s="2"/>
      <c r="G488" s="6" t="e">
        <f>G489</f>
        <v>#REF!</v>
      </c>
    </row>
    <row r="489" spans="1:7" ht="31.5">
      <c r="A489" s="25" t="s">
        <v>312</v>
      </c>
      <c r="B489" s="20" t="s">
        <v>352</v>
      </c>
      <c r="C489" s="41" t="s">
        <v>281</v>
      </c>
      <c r="D489" s="41" t="s">
        <v>236</v>
      </c>
      <c r="E489" s="2"/>
      <c r="F489" s="2"/>
      <c r="G489" s="6" t="e">
        <f>G490+G493</f>
        <v>#REF!</v>
      </c>
    </row>
    <row r="490" spans="1:7" ht="47.25">
      <c r="A490" s="25" t="s">
        <v>353</v>
      </c>
      <c r="B490" s="20" t="s">
        <v>354</v>
      </c>
      <c r="C490" s="41" t="s">
        <v>281</v>
      </c>
      <c r="D490" s="41" t="s">
        <v>236</v>
      </c>
      <c r="E490" s="2"/>
      <c r="F490" s="2"/>
      <c r="G490" s="6" t="e">
        <f>G491</f>
        <v>#REF!</v>
      </c>
    </row>
    <row r="491" spans="1:7" ht="47.25">
      <c r="A491" s="25" t="s">
        <v>148</v>
      </c>
      <c r="B491" s="20" t="s">
        <v>354</v>
      </c>
      <c r="C491" s="41" t="s">
        <v>281</v>
      </c>
      <c r="D491" s="41" t="s">
        <v>236</v>
      </c>
      <c r="E491" s="2">
        <v>200</v>
      </c>
      <c r="F491" s="2"/>
      <c r="G491" s="6" t="e">
        <f>G492</f>
        <v>#REF!</v>
      </c>
    </row>
    <row r="492" spans="1:7" ht="47.25">
      <c r="A492" s="25" t="s">
        <v>150</v>
      </c>
      <c r="B492" s="20" t="s">
        <v>354</v>
      </c>
      <c r="C492" s="41" t="s">
        <v>281</v>
      </c>
      <c r="D492" s="41" t="s">
        <v>236</v>
      </c>
      <c r="E492" s="2">
        <v>240</v>
      </c>
      <c r="F492" s="2"/>
      <c r="G492" s="6" t="e">
        <f>#REF!</f>
        <v>#REF!</v>
      </c>
    </row>
    <row r="493" spans="1:7" ht="78.75">
      <c r="A493" s="25" t="s">
        <v>493</v>
      </c>
      <c r="B493" s="20" t="s">
        <v>494</v>
      </c>
      <c r="C493" s="41" t="s">
        <v>281</v>
      </c>
      <c r="D493" s="41" t="s">
        <v>236</v>
      </c>
      <c r="E493" s="2"/>
      <c r="F493" s="2"/>
      <c r="G493" s="6" t="e">
        <f>G494+G496</f>
        <v>#REF!</v>
      </c>
    </row>
    <row r="494" spans="1:7" ht="110.25">
      <c r="A494" s="25" t="s">
        <v>144</v>
      </c>
      <c r="B494" s="20" t="s">
        <v>494</v>
      </c>
      <c r="C494" s="41" t="s">
        <v>281</v>
      </c>
      <c r="D494" s="41" t="s">
        <v>236</v>
      </c>
      <c r="E494" s="2">
        <v>100</v>
      </c>
      <c r="F494" s="2"/>
      <c r="G494" s="6" t="e">
        <f>G495</f>
        <v>#REF!</v>
      </c>
    </row>
    <row r="495" spans="1:7" ht="31.5">
      <c r="A495" s="25" t="s">
        <v>359</v>
      </c>
      <c r="B495" s="20" t="s">
        <v>494</v>
      </c>
      <c r="C495" s="41" t="s">
        <v>281</v>
      </c>
      <c r="D495" s="41" t="s">
        <v>236</v>
      </c>
      <c r="E495" s="2">
        <v>110</v>
      </c>
      <c r="F495" s="2"/>
      <c r="G495" s="6" t="e">
        <f>#REF!</f>
        <v>#REF!</v>
      </c>
    </row>
    <row r="496" spans="1:7" ht="47.25">
      <c r="A496" s="25" t="s">
        <v>148</v>
      </c>
      <c r="B496" s="20" t="s">
        <v>494</v>
      </c>
      <c r="C496" s="41" t="s">
        <v>281</v>
      </c>
      <c r="D496" s="41" t="s">
        <v>236</v>
      </c>
      <c r="E496" s="2">
        <v>200</v>
      </c>
      <c r="F496" s="2"/>
      <c r="G496" s="6" t="e">
        <f>G497</f>
        <v>#REF!</v>
      </c>
    </row>
    <row r="497" spans="1:7" ht="47.25">
      <c r="A497" s="25" t="s">
        <v>150</v>
      </c>
      <c r="B497" s="20" t="s">
        <v>494</v>
      </c>
      <c r="C497" s="41" t="s">
        <v>281</v>
      </c>
      <c r="D497" s="41" t="s">
        <v>236</v>
      </c>
      <c r="E497" s="2">
        <v>240</v>
      </c>
      <c r="F497" s="2"/>
      <c r="G497" s="6" t="e">
        <f>#REF!</f>
        <v>#REF!</v>
      </c>
    </row>
    <row r="498" spans="1:7" ht="47.25">
      <c r="A498" s="30" t="s">
        <v>420</v>
      </c>
      <c r="B498" s="20" t="s">
        <v>352</v>
      </c>
      <c r="C498" s="41" t="s">
        <v>281</v>
      </c>
      <c r="D498" s="41" t="s">
        <v>236</v>
      </c>
      <c r="E498" s="2"/>
      <c r="F498" s="2">
        <v>906</v>
      </c>
      <c r="G498" s="6" t="e">
        <f>G490+G493</f>
        <v>#REF!</v>
      </c>
    </row>
    <row r="499" spans="1:7" ht="15.75">
      <c r="A499" s="77" t="s">
        <v>315</v>
      </c>
      <c r="B499" s="20" t="s">
        <v>352</v>
      </c>
      <c r="C499" s="41" t="s">
        <v>316</v>
      </c>
      <c r="D499" s="41"/>
      <c r="E499" s="2"/>
      <c r="F499" s="2"/>
      <c r="G499" s="6" t="e">
        <f>G500</f>
        <v>#REF!</v>
      </c>
    </row>
    <row r="500" spans="1:7" ht="31.5">
      <c r="A500" s="25" t="s">
        <v>350</v>
      </c>
      <c r="B500" s="20" t="s">
        <v>352</v>
      </c>
      <c r="C500" s="41" t="s">
        <v>316</v>
      </c>
      <c r="D500" s="41" t="s">
        <v>167</v>
      </c>
      <c r="E500" s="2"/>
      <c r="F500" s="2"/>
      <c r="G500" s="6" t="e">
        <f>G501+G504+G507</f>
        <v>#REF!</v>
      </c>
    </row>
    <row r="501" spans="1:7" ht="47.25" hidden="1">
      <c r="A501" s="25" t="s">
        <v>353</v>
      </c>
      <c r="B501" s="20" t="s">
        <v>354</v>
      </c>
      <c r="C501" s="41" t="s">
        <v>316</v>
      </c>
      <c r="D501" s="41" t="s">
        <v>167</v>
      </c>
      <c r="E501" s="2"/>
      <c r="F501" s="2"/>
      <c r="G501" s="6" t="e">
        <f>G502</f>
        <v>#REF!</v>
      </c>
    </row>
    <row r="502" spans="1:7" ht="47.25" hidden="1">
      <c r="A502" s="25" t="s">
        <v>148</v>
      </c>
      <c r="B502" s="20" t="s">
        <v>354</v>
      </c>
      <c r="C502" s="41" t="s">
        <v>316</v>
      </c>
      <c r="D502" s="41" t="s">
        <v>167</v>
      </c>
      <c r="E502" s="2">
        <v>200</v>
      </c>
      <c r="F502" s="2"/>
      <c r="G502" s="6" t="e">
        <f>G503</f>
        <v>#REF!</v>
      </c>
    </row>
    <row r="503" spans="1:7" ht="47.25" hidden="1">
      <c r="A503" s="25" t="s">
        <v>150</v>
      </c>
      <c r="B503" s="20" t="s">
        <v>354</v>
      </c>
      <c r="C503" s="41" t="s">
        <v>316</v>
      </c>
      <c r="D503" s="41" t="s">
        <v>167</v>
      </c>
      <c r="E503" s="2">
        <v>240</v>
      </c>
      <c r="F503" s="2"/>
      <c r="G503" s="6" t="e">
        <f>#REF!</f>
        <v>#REF!</v>
      </c>
    </row>
    <row r="504" spans="1:7" ht="31.5">
      <c r="A504" s="25" t="s">
        <v>355</v>
      </c>
      <c r="B504" s="20" t="s">
        <v>356</v>
      </c>
      <c r="C504" s="41" t="s">
        <v>316</v>
      </c>
      <c r="D504" s="41" t="s">
        <v>167</v>
      </c>
      <c r="E504" s="2"/>
      <c r="F504" s="2"/>
      <c r="G504" s="6" t="e">
        <f>G505</f>
        <v>#REF!</v>
      </c>
    </row>
    <row r="505" spans="1:7" ht="47.25">
      <c r="A505" s="25" t="s">
        <v>148</v>
      </c>
      <c r="B505" s="20" t="s">
        <v>356</v>
      </c>
      <c r="C505" s="41" t="s">
        <v>316</v>
      </c>
      <c r="D505" s="41" t="s">
        <v>167</v>
      </c>
      <c r="E505" s="2">
        <v>200</v>
      </c>
      <c r="F505" s="2"/>
      <c r="G505" s="6" t="e">
        <f>G506</f>
        <v>#REF!</v>
      </c>
    </row>
    <row r="506" spans="1:7" ht="47.25">
      <c r="A506" s="25" t="s">
        <v>150</v>
      </c>
      <c r="B506" s="20" t="s">
        <v>356</v>
      </c>
      <c r="C506" s="41" t="s">
        <v>316</v>
      </c>
      <c r="D506" s="41" t="s">
        <v>167</v>
      </c>
      <c r="E506" s="2">
        <v>240</v>
      </c>
      <c r="F506" s="2"/>
      <c r="G506" s="6" t="e">
        <f>#REF!</f>
        <v>#REF!</v>
      </c>
    </row>
    <row r="507" spans="1:7" ht="47.25">
      <c r="A507" s="25" t="s">
        <v>697</v>
      </c>
      <c r="B507" s="20" t="s">
        <v>698</v>
      </c>
      <c r="C507" s="41" t="s">
        <v>316</v>
      </c>
      <c r="D507" s="41" t="s">
        <v>167</v>
      </c>
      <c r="E507" s="2"/>
      <c r="F507" s="2"/>
      <c r="G507" s="6" t="e">
        <f>G508</f>
        <v>#REF!</v>
      </c>
    </row>
    <row r="508" spans="1:7" ht="47.25">
      <c r="A508" s="25" t="s">
        <v>148</v>
      </c>
      <c r="B508" s="20" t="s">
        <v>698</v>
      </c>
      <c r="C508" s="41" t="s">
        <v>316</v>
      </c>
      <c r="D508" s="41" t="s">
        <v>167</v>
      </c>
      <c r="E508" s="2">
        <v>200</v>
      </c>
      <c r="F508" s="2"/>
      <c r="G508" s="6" t="e">
        <f>G509</f>
        <v>#REF!</v>
      </c>
    </row>
    <row r="509" spans="1:7" ht="47.25">
      <c r="A509" s="25" t="s">
        <v>150</v>
      </c>
      <c r="B509" s="20" t="s">
        <v>698</v>
      </c>
      <c r="C509" s="41" t="s">
        <v>316</v>
      </c>
      <c r="D509" s="41" t="s">
        <v>167</v>
      </c>
      <c r="E509" s="2">
        <v>240</v>
      </c>
      <c r="F509" s="2"/>
      <c r="G509" s="6" t="e">
        <f>#REF!</f>
        <v>#REF!</v>
      </c>
    </row>
    <row r="510" spans="1:7" ht="63">
      <c r="A510" s="46" t="s">
        <v>278</v>
      </c>
      <c r="B510" s="20" t="s">
        <v>352</v>
      </c>
      <c r="C510" s="41" t="s">
        <v>316</v>
      </c>
      <c r="D510" s="41" t="s">
        <v>167</v>
      </c>
      <c r="E510" s="2"/>
      <c r="F510" s="2">
        <v>903</v>
      </c>
      <c r="G510" s="6" t="e">
        <f>G499</f>
        <v>#REF!</v>
      </c>
    </row>
    <row r="511" spans="1:7" ht="78.75">
      <c r="A511" s="42" t="s">
        <v>732</v>
      </c>
      <c r="B511" s="24" t="s">
        <v>730</v>
      </c>
      <c r="C511" s="7"/>
      <c r="D511" s="7"/>
      <c r="E511" s="3"/>
      <c r="F511" s="3"/>
      <c r="G511" s="4" t="e">
        <f>G512+G521</f>
        <v>#REF!</v>
      </c>
    </row>
    <row r="512" spans="1:9" s="131" customFormat="1" ht="15.75">
      <c r="A512" s="30" t="s">
        <v>134</v>
      </c>
      <c r="B512" s="20" t="s">
        <v>730</v>
      </c>
      <c r="C512" s="41" t="s">
        <v>135</v>
      </c>
      <c r="D512" s="41"/>
      <c r="E512" s="2"/>
      <c r="F512" s="2"/>
      <c r="G512" s="6" t="e">
        <f>G513</f>
        <v>#REF!</v>
      </c>
      <c r="I512" s="132"/>
    </row>
    <row r="513" spans="1:9" s="131" customFormat="1" ht="31.5">
      <c r="A513" s="30" t="s">
        <v>156</v>
      </c>
      <c r="B513" s="20" t="s">
        <v>730</v>
      </c>
      <c r="C513" s="41" t="s">
        <v>135</v>
      </c>
      <c r="D513" s="41" t="s">
        <v>157</v>
      </c>
      <c r="E513" s="2"/>
      <c r="F513" s="2"/>
      <c r="G513" s="6" t="e">
        <f>G514+G517</f>
        <v>#REF!</v>
      </c>
      <c r="I513" s="132"/>
    </row>
    <row r="514" spans="1:7" ht="47.25">
      <c r="A514" s="32" t="s">
        <v>174</v>
      </c>
      <c r="B514" s="20" t="s">
        <v>738</v>
      </c>
      <c r="C514" s="41" t="s">
        <v>135</v>
      </c>
      <c r="D514" s="41" t="s">
        <v>157</v>
      </c>
      <c r="E514" s="2"/>
      <c r="F514" s="2"/>
      <c r="G514" s="6" t="e">
        <f>G515</f>
        <v>#REF!</v>
      </c>
    </row>
    <row r="515" spans="1:7" ht="47.25">
      <c r="A515" s="25" t="s">
        <v>148</v>
      </c>
      <c r="B515" s="20" t="s">
        <v>738</v>
      </c>
      <c r="C515" s="41" t="s">
        <v>135</v>
      </c>
      <c r="D515" s="41" t="s">
        <v>157</v>
      </c>
      <c r="E515" s="2">
        <v>200</v>
      </c>
      <c r="F515" s="2"/>
      <c r="G515" s="6" t="e">
        <f>G516</f>
        <v>#REF!</v>
      </c>
    </row>
    <row r="516" spans="1:7" ht="47.25">
      <c r="A516" s="25" t="s">
        <v>150</v>
      </c>
      <c r="B516" s="20" t="s">
        <v>738</v>
      </c>
      <c r="C516" s="41" t="s">
        <v>135</v>
      </c>
      <c r="D516" s="41" t="s">
        <v>157</v>
      </c>
      <c r="E516" s="2">
        <v>240</v>
      </c>
      <c r="F516" s="2"/>
      <c r="G516" s="6" t="e">
        <f>#REF!</f>
        <v>#REF!</v>
      </c>
    </row>
    <row r="517" spans="1:7" ht="66" customHeight="1" hidden="1">
      <c r="A517" s="30"/>
      <c r="B517" s="20" t="s">
        <v>731</v>
      </c>
      <c r="C517" s="41" t="s">
        <v>135</v>
      </c>
      <c r="D517" s="41" t="s">
        <v>157</v>
      </c>
      <c r="E517" s="2"/>
      <c r="F517" s="2"/>
      <c r="G517" s="6" t="e">
        <f>G518</f>
        <v>#REF!</v>
      </c>
    </row>
    <row r="518" spans="1:7" ht="47.25" hidden="1">
      <c r="A518" s="25" t="s">
        <v>148</v>
      </c>
      <c r="B518" s="20" t="s">
        <v>731</v>
      </c>
      <c r="C518" s="41" t="s">
        <v>135</v>
      </c>
      <c r="D518" s="41" t="s">
        <v>157</v>
      </c>
      <c r="E518" s="2">
        <v>200</v>
      </c>
      <c r="F518" s="2"/>
      <c r="G518" s="6" t="e">
        <f>G519</f>
        <v>#REF!</v>
      </c>
    </row>
    <row r="519" spans="1:7" ht="47.25" hidden="1">
      <c r="A519" s="25" t="s">
        <v>150</v>
      </c>
      <c r="B519" s="20" t="s">
        <v>731</v>
      </c>
      <c r="C519" s="41" t="s">
        <v>135</v>
      </c>
      <c r="D519" s="41" t="s">
        <v>157</v>
      </c>
      <c r="E519" s="2">
        <v>240</v>
      </c>
      <c r="F519" s="2"/>
      <c r="G519" s="6" t="e">
        <f>#REF!</f>
        <v>#REF!</v>
      </c>
    </row>
    <row r="520" spans="1:7" ht="31.5">
      <c r="A520" s="30" t="s">
        <v>165</v>
      </c>
      <c r="B520" s="20" t="s">
        <v>730</v>
      </c>
      <c r="C520" s="41" t="s">
        <v>135</v>
      </c>
      <c r="D520" s="41" t="s">
        <v>157</v>
      </c>
      <c r="E520" s="2"/>
      <c r="F520" s="2">
        <v>902</v>
      </c>
      <c r="G520" s="6" t="e">
        <f>G511</f>
        <v>#REF!</v>
      </c>
    </row>
    <row r="521" spans="1:9" s="131" customFormat="1" ht="15.75">
      <c r="A521" s="25" t="s">
        <v>315</v>
      </c>
      <c r="B521" s="20" t="s">
        <v>730</v>
      </c>
      <c r="C521" s="41" t="s">
        <v>316</v>
      </c>
      <c r="D521" s="41"/>
      <c r="E521" s="2"/>
      <c r="F521" s="2"/>
      <c r="G521" s="6" t="e">
        <f>G522</f>
        <v>#REF!</v>
      </c>
      <c r="I521" s="132"/>
    </row>
    <row r="522" spans="1:7" ht="31.5">
      <c r="A522" s="42" t="s">
        <v>350</v>
      </c>
      <c r="B522" s="20" t="s">
        <v>730</v>
      </c>
      <c r="C522" s="41" t="s">
        <v>316</v>
      </c>
      <c r="D522" s="41" t="s">
        <v>167</v>
      </c>
      <c r="E522" s="2"/>
      <c r="F522" s="2"/>
      <c r="G522" s="6" t="e">
        <f>G523</f>
        <v>#REF!</v>
      </c>
    </row>
    <row r="523" spans="1:7" ht="47.25">
      <c r="A523" s="32" t="s">
        <v>174</v>
      </c>
      <c r="B523" s="20" t="s">
        <v>738</v>
      </c>
      <c r="C523" s="41" t="s">
        <v>316</v>
      </c>
      <c r="D523" s="41" t="s">
        <v>167</v>
      </c>
      <c r="E523" s="2"/>
      <c r="F523" s="2"/>
      <c r="G523" s="6" t="e">
        <f>G524</f>
        <v>#REF!</v>
      </c>
    </row>
    <row r="524" spans="1:7" ht="47.25">
      <c r="A524" s="25" t="s">
        <v>148</v>
      </c>
      <c r="B524" s="20" t="s">
        <v>738</v>
      </c>
      <c r="C524" s="41" t="s">
        <v>316</v>
      </c>
      <c r="D524" s="41" t="s">
        <v>167</v>
      </c>
      <c r="E524" s="2">
        <v>200</v>
      </c>
      <c r="F524" s="2"/>
      <c r="G524" s="6" t="e">
        <f>G525</f>
        <v>#REF!</v>
      </c>
    </row>
    <row r="525" spans="1:7" ht="47.25">
      <c r="A525" s="25" t="s">
        <v>150</v>
      </c>
      <c r="B525" s="20" t="s">
        <v>738</v>
      </c>
      <c r="C525" s="41" t="s">
        <v>316</v>
      </c>
      <c r="D525" s="41" t="s">
        <v>167</v>
      </c>
      <c r="E525" s="2">
        <v>240</v>
      </c>
      <c r="F525" s="2"/>
      <c r="G525" s="6" t="e">
        <f>#REF!</f>
        <v>#REF!</v>
      </c>
    </row>
    <row r="526" spans="1:7" ht="63">
      <c r="A526" s="46" t="s">
        <v>278</v>
      </c>
      <c r="B526" s="20" t="s">
        <v>730</v>
      </c>
      <c r="C526" s="41" t="s">
        <v>316</v>
      </c>
      <c r="D526" s="41" t="s">
        <v>167</v>
      </c>
      <c r="E526" s="2"/>
      <c r="F526" s="2">
        <v>903</v>
      </c>
      <c r="G526" s="6" t="e">
        <f>G522</f>
        <v>#REF!</v>
      </c>
    </row>
    <row r="527" spans="1:7" ht="78.75">
      <c r="A527" s="23" t="s">
        <v>734</v>
      </c>
      <c r="B527" s="24" t="s">
        <v>736</v>
      </c>
      <c r="C527" s="7"/>
      <c r="D527" s="7"/>
      <c r="E527" s="3"/>
      <c r="F527" s="3"/>
      <c r="G527" s="4" t="e">
        <f>G528</f>
        <v>#REF!</v>
      </c>
    </row>
    <row r="528" spans="1:7" ht="15.75">
      <c r="A528" s="25" t="s">
        <v>407</v>
      </c>
      <c r="B528" s="20" t="s">
        <v>736</v>
      </c>
      <c r="C528" s="41" t="s">
        <v>251</v>
      </c>
      <c r="D528" s="41"/>
      <c r="E528" s="2"/>
      <c r="F528" s="2"/>
      <c r="G528" s="6" t="e">
        <f>G529</f>
        <v>#REF!</v>
      </c>
    </row>
    <row r="529" spans="1:7" ht="15.75">
      <c r="A529" s="25" t="s">
        <v>558</v>
      </c>
      <c r="B529" s="20" t="s">
        <v>736</v>
      </c>
      <c r="C529" s="41" t="s">
        <v>251</v>
      </c>
      <c r="D529" s="41" t="s">
        <v>232</v>
      </c>
      <c r="E529" s="2"/>
      <c r="F529" s="2"/>
      <c r="G529" s="6" t="e">
        <f>G530</f>
        <v>#REF!</v>
      </c>
    </row>
    <row r="530" spans="1:7" ht="31.5">
      <c r="A530" s="136" t="s">
        <v>735</v>
      </c>
      <c r="B530" s="20" t="s">
        <v>737</v>
      </c>
      <c r="C530" s="41" t="s">
        <v>251</v>
      </c>
      <c r="D530" s="41" t="s">
        <v>232</v>
      </c>
      <c r="E530" s="2"/>
      <c r="F530" s="2"/>
      <c r="G530" s="6" t="e">
        <f>G531</f>
        <v>#REF!</v>
      </c>
    </row>
    <row r="531" spans="1:7" ht="47.25">
      <c r="A531" s="25" t="s">
        <v>148</v>
      </c>
      <c r="B531" s="20" t="s">
        <v>737</v>
      </c>
      <c r="C531" s="41" t="s">
        <v>251</v>
      </c>
      <c r="D531" s="41" t="s">
        <v>232</v>
      </c>
      <c r="E531" s="2">
        <v>200</v>
      </c>
      <c r="F531" s="2"/>
      <c r="G531" s="6" t="e">
        <f>G532</f>
        <v>#REF!</v>
      </c>
    </row>
    <row r="532" spans="1:7" ht="47.25">
      <c r="A532" s="25" t="s">
        <v>150</v>
      </c>
      <c r="B532" s="20" t="s">
        <v>737</v>
      </c>
      <c r="C532" s="41" t="s">
        <v>251</v>
      </c>
      <c r="D532" s="41" t="s">
        <v>232</v>
      </c>
      <c r="E532" s="2">
        <v>240</v>
      </c>
      <c r="F532" s="2"/>
      <c r="G532" s="6" t="e">
        <f>#REF!</f>
        <v>#REF!</v>
      </c>
    </row>
    <row r="533" spans="1:7" ht="47.25">
      <c r="A533" s="46" t="s">
        <v>641</v>
      </c>
      <c r="B533" s="20" t="s">
        <v>736</v>
      </c>
      <c r="C533" s="41" t="s">
        <v>251</v>
      </c>
      <c r="D533" s="41" t="s">
        <v>232</v>
      </c>
      <c r="E533" s="2"/>
      <c r="F533" s="2">
        <v>908</v>
      </c>
      <c r="G533" s="6" t="e">
        <f>G527</f>
        <v>#REF!</v>
      </c>
    </row>
    <row r="534" spans="1:7" ht="15.75">
      <c r="A534" s="76" t="s">
        <v>675</v>
      </c>
      <c r="B534" s="76"/>
      <c r="C534" s="76"/>
      <c r="D534" s="82"/>
      <c r="E534" s="82"/>
      <c r="F534" s="82"/>
      <c r="G534" s="129" t="e">
        <f>G10+G19+G102+G217+G224+G242+G249+G271+G326+G409+G419+G451+G458+G487+G511+G527</f>
        <v>#REF!</v>
      </c>
    </row>
  </sheetData>
  <mergeCells count="1">
    <mergeCell ref="A5:G5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6"/>
  <sheetViews>
    <sheetView workbookViewId="0" topLeftCell="A1">
      <selection activeCell="I1" sqref="I1:L1048576"/>
    </sheetView>
  </sheetViews>
  <sheetFormatPr defaultColWidth="9.140625" defaultRowHeight="15"/>
  <cols>
    <col min="1" max="1" width="45.140625" style="0" customWidth="1"/>
    <col min="2" max="2" width="15.28125" style="0" customWidth="1"/>
    <col min="3" max="3" width="5.7109375" style="0" customWidth="1"/>
    <col min="4" max="4" width="6.7109375" style="0" customWidth="1"/>
    <col min="6" max="6" width="8.140625" style="0" customWidth="1"/>
    <col min="7" max="7" width="11.140625" style="0" customWidth="1"/>
    <col min="8" max="8" width="12.28125" style="0" customWidth="1"/>
    <col min="9" max="12" width="9.140625" style="0" hidden="1" customWidth="1"/>
  </cols>
  <sheetData>
    <row r="1" spans="1:8" ht="15.75">
      <c r="A1" s="253"/>
      <c r="B1" s="253"/>
      <c r="C1" s="253"/>
      <c r="D1" s="253"/>
      <c r="E1" s="252"/>
      <c r="F1" s="253"/>
      <c r="G1" s="252"/>
      <c r="H1" s="235" t="s">
        <v>1299</v>
      </c>
    </row>
    <row r="2" spans="1:8" ht="15.75">
      <c r="A2" s="253"/>
      <c r="B2" s="253"/>
      <c r="C2" s="253"/>
      <c r="D2" s="253"/>
      <c r="E2" s="252"/>
      <c r="F2" s="253"/>
      <c r="G2" s="252"/>
      <c r="H2" s="235" t="s">
        <v>609</v>
      </c>
    </row>
    <row r="3" spans="1:8" ht="18.75">
      <c r="A3" s="253"/>
      <c r="B3" s="253"/>
      <c r="C3" s="253"/>
      <c r="D3" s="253"/>
      <c r="E3" s="253"/>
      <c r="F3" s="65"/>
      <c r="G3" s="252"/>
      <c r="H3" s="216"/>
    </row>
    <row r="4" spans="1:8" ht="44.25" customHeight="1">
      <c r="A4" s="413" t="s">
        <v>1391</v>
      </c>
      <c r="B4" s="413"/>
      <c r="C4" s="413"/>
      <c r="D4" s="413"/>
      <c r="E4" s="413"/>
      <c r="F4" s="413"/>
      <c r="G4" s="413"/>
      <c r="H4" s="413"/>
    </row>
    <row r="5" spans="1:8" ht="16.5">
      <c r="A5" s="337"/>
      <c r="B5" s="337"/>
      <c r="C5" s="337"/>
      <c r="D5" s="337"/>
      <c r="E5" s="337"/>
      <c r="F5" s="337"/>
      <c r="G5" s="252"/>
      <c r="H5" s="253"/>
    </row>
    <row r="6" spans="1:8" ht="15.75">
      <c r="A6" s="65"/>
      <c r="B6" s="65"/>
      <c r="C6" s="65"/>
      <c r="D6" s="65"/>
      <c r="E6" s="68"/>
      <c r="F6" s="68"/>
      <c r="G6" s="252"/>
      <c r="H6" s="212" t="s">
        <v>2</v>
      </c>
    </row>
    <row r="7" spans="1:8" ht="31.5">
      <c r="A7" s="70" t="s">
        <v>610</v>
      </c>
      <c r="B7" s="70" t="s">
        <v>635</v>
      </c>
      <c r="C7" s="70" t="s">
        <v>636</v>
      </c>
      <c r="D7" s="70" t="s">
        <v>637</v>
      </c>
      <c r="E7" s="70" t="s">
        <v>638</v>
      </c>
      <c r="F7" s="70" t="s">
        <v>639</v>
      </c>
      <c r="G7" s="191" t="s">
        <v>1208</v>
      </c>
      <c r="H7" s="190" t="s">
        <v>1209</v>
      </c>
    </row>
    <row r="8" spans="1:8" ht="63">
      <c r="A8" s="60" t="s">
        <v>1190</v>
      </c>
      <c r="B8" s="7" t="s">
        <v>527</v>
      </c>
      <c r="C8" s="7"/>
      <c r="D8" s="7"/>
      <c r="E8" s="7"/>
      <c r="F8" s="7"/>
      <c r="G8" s="4">
        <f>G9+G16</f>
        <v>4546.2</v>
      </c>
      <c r="H8" s="4">
        <f>H9+H16</f>
        <v>4546.2</v>
      </c>
    </row>
    <row r="9" spans="1:8" ht="36" customHeight="1" hidden="1">
      <c r="A9" s="35" t="s">
        <v>1159</v>
      </c>
      <c r="B9" s="7" t="s">
        <v>1102</v>
      </c>
      <c r="C9" s="41"/>
      <c r="D9" s="41"/>
      <c r="E9" s="41"/>
      <c r="F9" s="41"/>
      <c r="G9" s="6">
        <f>G12</f>
        <v>0</v>
      </c>
      <c r="H9" s="6">
        <f>H12</f>
        <v>0</v>
      </c>
    </row>
    <row r="10" spans="1:8" ht="15.75" hidden="1">
      <c r="A10" s="30" t="s">
        <v>249</v>
      </c>
      <c r="B10" s="41" t="s">
        <v>1102</v>
      </c>
      <c r="C10" s="41" t="s">
        <v>167</v>
      </c>
      <c r="D10" s="41"/>
      <c r="E10" s="41"/>
      <c r="F10" s="41"/>
      <c r="G10" s="6">
        <f aca="true" t="shared" si="0" ref="G10:H10">G11</f>
        <v>0</v>
      </c>
      <c r="H10" s="6">
        <f t="shared" si="0"/>
        <v>0</v>
      </c>
    </row>
    <row r="11" spans="1:8" ht="15.75" hidden="1">
      <c r="A11" s="30" t="s">
        <v>525</v>
      </c>
      <c r="B11" s="41" t="s">
        <v>1102</v>
      </c>
      <c r="C11" s="41" t="s">
        <v>167</v>
      </c>
      <c r="D11" s="41" t="s">
        <v>236</v>
      </c>
      <c r="E11" s="41"/>
      <c r="F11" s="41"/>
      <c r="G11" s="6">
        <f aca="true" t="shared" si="1" ref="G11:H13">G12</f>
        <v>0</v>
      </c>
      <c r="H11" s="6">
        <f t="shared" si="1"/>
        <v>0</v>
      </c>
    </row>
    <row r="12" spans="1:8" ht="31.5" hidden="1">
      <c r="A12" s="30" t="s">
        <v>1161</v>
      </c>
      <c r="B12" s="41" t="s">
        <v>1160</v>
      </c>
      <c r="C12" s="41" t="s">
        <v>167</v>
      </c>
      <c r="D12" s="41" t="s">
        <v>236</v>
      </c>
      <c r="E12" s="41"/>
      <c r="F12" s="41"/>
      <c r="G12" s="6">
        <f t="shared" si="1"/>
        <v>0</v>
      </c>
      <c r="H12" s="6">
        <f t="shared" si="1"/>
        <v>0</v>
      </c>
    </row>
    <row r="13" spans="1:8" ht="31.5" hidden="1">
      <c r="A13" s="25" t="s">
        <v>148</v>
      </c>
      <c r="B13" s="41" t="s">
        <v>1160</v>
      </c>
      <c r="C13" s="41" t="s">
        <v>167</v>
      </c>
      <c r="D13" s="41" t="s">
        <v>236</v>
      </c>
      <c r="E13" s="41" t="s">
        <v>149</v>
      </c>
      <c r="F13" s="41"/>
      <c r="G13" s="6">
        <f t="shared" si="1"/>
        <v>0</v>
      </c>
      <c r="H13" s="6">
        <f t="shared" si="1"/>
        <v>0</v>
      </c>
    </row>
    <row r="14" spans="1:8" ht="47.25" hidden="1">
      <c r="A14" s="25" t="s">
        <v>150</v>
      </c>
      <c r="B14" s="41" t="s">
        <v>1160</v>
      </c>
      <c r="C14" s="41" t="s">
        <v>167</v>
      </c>
      <c r="D14" s="41" t="s">
        <v>236</v>
      </c>
      <c r="E14" s="41" t="s">
        <v>151</v>
      </c>
      <c r="F14" s="41"/>
      <c r="G14" s="6">
        <f>'пр.6.1.ведом.21-22'!G816</f>
        <v>0</v>
      </c>
      <c r="H14" s="6">
        <f>'пр.6.1.ведом.21-22'!H816</f>
        <v>0</v>
      </c>
    </row>
    <row r="15" spans="1:8" ht="47.25" hidden="1">
      <c r="A15" s="46" t="s">
        <v>641</v>
      </c>
      <c r="B15" s="41" t="s">
        <v>1160</v>
      </c>
      <c r="C15" s="41" t="s">
        <v>167</v>
      </c>
      <c r="D15" s="41" t="s">
        <v>236</v>
      </c>
      <c r="E15" s="41" t="s">
        <v>151</v>
      </c>
      <c r="F15" s="41" t="s">
        <v>642</v>
      </c>
      <c r="G15" s="6">
        <f>G14</f>
        <v>0</v>
      </c>
      <c r="H15" s="6">
        <f>H14</f>
        <v>0</v>
      </c>
    </row>
    <row r="16" spans="1:8" ht="47.25">
      <c r="A16" s="35" t="s">
        <v>1254</v>
      </c>
      <c r="B16" s="24" t="s">
        <v>1103</v>
      </c>
      <c r="C16" s="41"/>
      <c r="D16" s="41"/>
      <c r="E16" s="41"/>
      <c r="F16" s="41"/>
      <c r="G16" s="6">
        <f aca="true" t="shared" si="2" ref="G16:H18">G17</f>
        <v>4546.2</v>
      </c>
      <c r="H16" s="6">
        <f t="shared" si="2"/>
        <v>4546.2</v>
      </c>
    </row>
    <row r="17" spans="1:8" ht="15.75">
      <c r="A17" s="30" t="s">
        <v>249</v>
      </c>
      <c r="B17" s="41" t="s">
        <v>1103</v>
      </c>
      <c r="C17" s="41" t="s">
        <v>167</v>
      </c>
      <c r="D17" s="41"/>
      <c r="E17" s="41"/>
      <c r="F17" s="41"/>
      <c r="G17" s="6">
        <f t="shared" si="2"/>
        <v>4546.2</v>
      </c>
      <c r="H17" s="6">
        <f t="shared" si="2"/>
        <v>4546.2</v>
      </c>
    </row>
    <row r="18" spans="1:8" ht="15.75">
      <c r="A18" s="30" t="s">
        <v>525</v>
      </c>
      <c r="B18" s="41" t="s">
        <v>1103</v>
      </c>
      <c r="C18" s="41" t="s">
        <v>167</v>
      </c>
      <c r="D18" s="41" t="s">
        <v>236</v>
      </c>
      <c r="E18" s="41"/>
      <c r="F18" s="41"/>
      <c r="G18" s="6">
        <f t="shared" si="2"/>
        <v>4546.2</v>
      </c>
      <c r="H18" s="6">
        <f t="shared" si="2"/>
        <v>4546.2</v>
      </c>
    </row>
    <row r="19" spans="1:8" ht="15.75">
      <c r="A19" s="30" t="s">
        <v>528</v>
      </c>
      <c r="B19" s="41" t="s">
        <v>1162</v>
      </c>
      <c r="C19" s="41" t="s">
        <v>167</v>
      </c>
      <c r="D19" s="41" t="s">
        <v>236</v>
      </c>
      <c r="E19" s="41"/>
      <c r="F19" s="41"/>
      <c r="G19" s="6">
        <f>G20+G23</f>
        <v>4546.2</v>
      </c>
      <c r="H19" s="6">
        <f>H20+H23</f>
        <v>4546.2</v>
      </c>
    </row>
    <row r="20" spans="1:8" ht="31.5">
      <c r="A20" s="30" t="s">
        <v>148</v>
      </c>
      <c r="B20" s="41" t="s">
        <v>1162</v>
      </c>
      <c r="C20" s="41" t="s">
        <v>167</v>
      </c>
      <c r="D20" s="41" t="s">
        <v>236</v>
      </c>
      <c r="E20" s="41" t="s">
        <v>149</v>
      </c>
      <c r="F20" s="41"/>
      <c r="G20" s="6">
        <f aca="true" t="shared" si="3" ref="G20:H20">G21</f>
        <v>4546.2</v>
      </c>
      <c r="H20" s="6">
        <f t="shared" si="3"/>
        <v>4546.2</v>
      </c>
    </row>
    <row r="21" spans="1:8" ht="47.25">
      <c r="A21" s="30" t="s">
        <v>150</v>
      </c>
      <c r="B21" s="41" t="s">
        <v>1162</v>
      </c>
      <c r="C21" s="41" t="s">
        <v>167</v>
      </c>
      <c r="D21" s="41" t="s">
        <v>236</v>
      </c>
      <c r="E21" s="41" t="s">
        <v>151</v>
      </c>
      <c r="F21" s="41"/>
      <c r="G21" s="6">
        <f>'пр.6.1.ведом.21-22'!G820</f>
        <v>4546.2</v>
      </c>
      <c r="H21" s="6">
        <f>'пр.6.1.ведом.21-22'!H820</f>
        <v>4546.2</v>
      </c>
    </row>
    <row r="22" spans="1:8" ht="47.25">
      <c r="A22" s="46" t="s">
        <v>641</v>
      </c>
      <c r="B22" s="41" t="s">
        <v>1162</v>
      </c>
      <c r="C22" s="41" t="s">
        <v>167</v>
      </c>
      <c r="D22" s="41" t="s">
        <v>236</v>
      </c>
      <c r="E22" s="41" t="s">
        <v>151</v>
      </c>
      <c r="F22" s="41" t="s">
        <v>642</v>
      </c>
      <c r="G22" s="6">
        <f>G21</f>
        <v>4546.2</v>
      </c>
      <c r="H22" s="6">
        <f>H21</f>
        <v>4546.2</v>
      </c>
    </row>
    <row r="23" spans="1:8" ht="15.75" hidden="1">
      <c r="A23" s="25" t="s">
        <v>152</v>
      </c>
      <c r="B23" s="41" t="s">
        <v>1162</v>
      </c>
      <c r="C23" s="41" t="s">
        <v>167</v>
      </c>
      <c r="D23" s="41" t="s">
        <v>236</v>
      </c>
      <c r="E23" s="41" t="s">
        <v>162</v>
      </c>
      <c r="F23" s="41"/>
      <c r="G23" s="6">
        <f aca="true" t="shared" si="4" ref="G23:H23">G24</f>
        <v>0</v>
      </c>
      <c r="H23" s="6">
        <f t="shared" si="4"/>
        <v>0</v>
      </c>
    </row>
    <row r="24" spans="1:8" ht="15.75" hidden="1">
      <c r="A24" s="25" t="s">
        <v>154</v>
      </c>
      <c r="B24" s="41" t="s">
        <v>1162</v>
      </c>
      <c r="C24" s="41" t="s">
        <v>167</v>
      </c>
      <c r="D24" s="41" t="s">
        <v>236</v>
      </c>
      <c r="E24" s="41" t="s">
        <v>155</v>
      </c>
      <c r="F24" s="41"/>
      <c r="G24" s="6">
        <f>'пр.6.1.ведом.21-22'!G822</f>
        <v>0</v>
      </c>
      <c r="H24" s="6">
        <f>'пр.6.1.ведом.21-22'!H822</f>
        <v>0</v>
      </c>
    </row>
    <row r="25" spans="1:8" ht="47.25" hidden="1">
      <c r="A25" s="46" t="s">
        <v>641</v>
      </c>
      <c r="B25" s="41" t="s">
        <v>1162</v>
      </c>
      <c r="C25" s="41" t="s">
        <v>167</v>
      </c>
      <c r="D25" s="41" t="s">
        <v>236</v>
      </c>
      <c r="E25" s="41" t="s">
        <v>155</v>
      </c>
      <c r="F25" s="41" t="s">
        <v>642</v>
      </c>
      <c r="G25" s="6">
        <f>G24</f>
        <v>0</v>
      </c>
      <c r="H25" s="6">
        <f>H24</f>
        <v>0</v>
      </c>
    </row>
    <row r="26" spans="1:8" ht="63">
      <c r="A26" s="60" t="s">
        <v>360</v>
      </c>
      <c r="B26" s="7" t="s">
        <v>361</v>
      </c>
      <c r="C26" s="7"/>
      <c r="D26" s="7"/>
      <c r="E26" s="7"/>
      <c r="F26" s="7"/>
      <c r="G26" s="62">
        <f>G27+G56+G64+G72+G90+G98+G106+G147</f>
        <v>3645</v>
      </c>
      <c r="H26" s="62">
        <f>H27+H56+H64+H72+H90+H98+H106+H147</f>
        <v>3645</v>
      </c>
    </row>
    <row r="27" spans="1:8" ht="31.5">
      <c r="A27" s="60" t="s">
        <v>643</v>
      </c>
      <c r="B27" s="7" t="s">
        <v>363</v>
      </c>
      <c r="C27" s="7"/>
      <c r="D27" s="7"/>
      <c r="E27" s="7"/>
      <c r="F27" s="7"/>
      <c r="G27" s="62">
        <f>G29+G39+G49</f>
        <v>1035</v>
      </c>
      <c r="H27" s="62">
        <f>H29+H39+H49</f>
        <v>1035</v>
      </c>
    </row>
    <row r="28" spans="1:8" ht="63">
      <c r="A28" s="311" t="s">
        <v>1213</v>
      </c>
      <c r="B28" s="24" t="s">
        <v>957</v>
      </c>
      <c r="C28" s="7"/>
      <c r="D28" s="7"/>
      <c r="E28" s="41"/>
      <c r="F28" s="41"/>
      <c r="G28" s="62">
        <f>G29</f>
        <v>30</v>
      </c>
      <c r="H28" s="62">
        <f>H29</f>
        <v>30</v>
      </c>
    </row>
    <row r="29" spans="1:8" ht="15.75">
      <c r="A29" s="46" t="s">
        <v>280</v>
      </c>
      <c r="B29" s="41" t="s">
        <v>957</v>
      </c>
      <c r="C29" s="41" t="s">
        <v>281</v>
      </c>
      <c r="D29" s="41"/>
      <c r="E29" s="41"/>
      <c r="F29" s="41"/>
      <c r="G29" s="10">
        <f aca="true" t="shared" si="5" ref="G29:H29">G30</f>
        <v>30</v>
      </c>
      <c r="H29" s="10">
        <f t="shared" si="5"/>
        <v>30</v>
      </c>
    </row>
    <row r="30" spans="1:8" ht="17.25" customHeight="1">
      <c r="A30" s="46" t="s">
        <v>483</v>
      </c>
      <c r="B30" s="41" t="s">
        <v>957</v>
      </c>
      <c r="C30" s="41" t="s">
        <v>281</v>
      </c>
      <c r="D30" s="41" t="s">
        <v>281</v>
      </c>
      <c r="E30" s="41"/>
      <c r="F30" s="41"/>
      <c r="G30" s="10">
        <f>G31+G35</f>
        <v>30</v>
      </c>
      <c r="H30" s="10">
        <f>H31+H35</f>
        <v>30</v>
      </c>
    </row>
    <row r="31" spans="1:8" ht="31.5">
      <c r="A31" s="107" t="s">
        <v>1219</v>
      </c>
      <c r="B31" s="20" t="s">
        <v>958</v>
      </c>
      <c r="C31" s="41" t="s">
        <v>281</v>
      </c>
      <c r="D31" s="41" t="s">
        <v>281</v>
      </c>
      <c r="E31" s="41"/>
      <c r="F31" s="41"/>
      <c r="G31" s="10">
        <f>G32</f>
        <v>30</v>
      </c>
      <c r="H31" s="10">
        <f>H32</f>
        <v>30</v>
      </c>
    </row>
    <row r="32" spans="1:8" ht="94.5">
      <c r="A32" s="25" t="s">
        <v>144</v>
      </c>
      <c r="B32" s="20" t="s">
        <v>958</v>
      </c>
      <c r="C32" s="41" t="s">
        <v>281</v>
      </c>
      <c r="D32" s="41" t="s">
        <v>281</v>
      </c>
      <c r="E32" s="41" t="s">
        <v>145</v>
      </c>
      <c r="F32" s="41"/>
      <c r="G32" s="10">
        <f>G33</f>
        <v>30</v>
      </c>
      <c r="H32" s="10">
        <f>H33</f>
        <v>30</v>
      </c>
    </row>
    <row r="33" spans="1:8" ht="31.5">
      <c r="A33" s="25" t="s">
        <v>359</v>
      </c>
      <c r="B33" s="20" t="s">
        <v>958</v>
      </c>
      <c r="C33" s="41" t="s">
        <v>281</v>
      </c>
      <c r="D33" s="41" t="s">
        <v>281</v>
      </c>
      <c r="E33" s="41" t="s">
        <v>226</v>
      </c>
      <c r="F33" s="41"/>
      <c r="G33" s="10">
        <f>'пр.6.1.ведом.21-22'!G308</f>
        <v>30</v>
      </c>
      <c r="H33" s="10">
        <f>'пр.6.1.ведом.21-22'!H308</f>
        <v>30</v>
      </c>
    </row>
    <row r="34" spans="1:8" ht="47.25">
      <c r="A34" s="46" t="s">
        <v>278</v>
      </c>
      <c r="B34" s="20" t="s">
        <v>958</v>
      </c>
      <c r="C34" s="41" t="s">
        <v>281</v>
      </c>
      <c r="D34" s="41" t="s">
        <v>281</v>
      </c>
      <c r="E34" s="41" t="s">
        <v>226</v>
      </c>
      <c r="F34" s="41" t="s">
        <v>645</v>
      </c>
      <c r="G34" s="6">
        <f>G33</f>
        <v>30</v>
      </c>
      <c r="H34" s="6">
        <f>H33</f>
        <v>30</v>
      </c>
    </row>
    <row r="35" spans="1:8" ht="31.5" hidden="1">
      <c r="A35" s="25" t="s">
        <v>1214</v>
      </c>
      <c r="B35" s="20" t="s">
        <v>1238</v>
      </c>
      <c r="C35" s="41" t="s">
        <v>281</v>
      </c>
      <c r="D35" s="41" t="s">
        <v>281</v>
      </c>
      <c r="E35" s="41"/>
      <c r="F35" s="41"/>
      <c r="G35" s="10">
        <f>G36</f>
        <v>0</v>
      </c>
      <c r="H35" s="10">
        <f>H36</f>
        <v>0</v>
      </c>
    </row>
    <row r="36" spans="1:8" ht="31.5" hidden="1">
      <c r="A36" s="25" t="s">
        <v>148</v>
      </c>
      <c r="B36" s="20" t="s">
        <v>1238</v>
      </c>
      <c r="C36" s="41" t="s">
        <v>281</v>
      </c>
      <c r="D36" s="41" t="s">
        <v>281</v>
      </c>
      <c r="E36" s="41" t="s">
        <v>149</v>
      </c>
      <c r="F36" s="41"/>
      <c r="G36" s="10">
        <f>G37</f>
        <v>0</v>
      </c>
      <c r="H36" s="10">
        <f>H37</f>
        <v>0</v>
      </c>
    </row>
    <row r="37" spans="1:8" ht="47.25" hidden="1">
      <c r="A37" s="25" t="s">
        <v>150</v>
      </c>
      <c r="B37" s="20" t="s">
        <v>1238</v>
      </c>
      <c r="C37" s="41" t="s">
        <v>281</v>
      </c>
      <c r="D37" s="41" t="s">
        <v>281</v>
      </c>
      <c r="E37" s="41" t="s">
        <v>151</v>
      </c>
      <c r="F37" s="41"/>
      <c r="G37" s="10">
        <f>'пр.6.1.ведом.21-22'!G311</f>
        <v>0</v>
      </c>
      <c r="H37" s="10">
        <f>'пр.6.1.ведом.21-22'!H311</f>
        <v>0</v>
      </c>
    </row>
    <row r="38" spans="1:8" ht="47.25" hidden="1">
      <c r="A38" s="46" t="s">
        <v>278</v>
      </c>
      <c r="B38" s="20" t="s">
        <v>1238</v>
      </c>
      <c r="C38" s="41" t="s">
        <v>281</v>
      </c>
      <c r="D38" s="41" t="s">
        <v>281</v>
      </c>
      <c r="E38" s="41" t="s">
        <v>151</v>
      </c>
      <c r="F38" s="41" t="s">
        <v>645</v>
      </c>
      <c r="G38" s="6">
        <f>G37</f>
        <v>0</v>
      </c>
      <c r="H38" s="6">
        <f>H37</f>
        <v>0</v>
      </c>
    </row>
    <row r="39" spans="1:8" ht="78.75">
      <c r="A39" s="23" t="s">
        <v>1215</v>
      </c>
      <c r="B39" s="24" t="s">
        <v>959</v>
      </c>
      <c r="C39" s="41"/>
      <c r="D39" s="41"/>
      <c r="E39" s="41"/>
      <c r="F39" s="41"/>
      <c r="G39" s="62">
        <f>G40</f>
        <v>955</v>
      </c>
      <c r="H39" s="62">
        <f>H40</f>
        <v>955</v>
      </c>
    </row>
    <row r="40" spans="1:8" ht="15.75">
      <c r="A40" s="46" t="s">
        <v>280</v>
      </c>
      <c r="B40" s="41" t="s">
        <v>959</v>
      </c>
      <c r="C40" s="41" t="s">
        <v>281</v>
      </c>
      <c r="D40" s="41"/>
      <c r="E40" s="41"/>
      <c r="F40" s="41"/>
      <c r="G40" s="10">
        <f>G41</f>
        <v>955</v>
      </c>
      <c r="H40" s="10">
        <f>H41</f>
        <v>955</v>
      </c>
    </row>
    <row r="41" spans="1:8" ht="21.75" customHeight="1">
      <c r="A41" s="46" t="s">
        <v>483</v>
      </c>
      <c r="B41" s="41" t="s">
        <v>959</v>
      </c>
      <c r="C41" s="41" t="s">
        <v>281</v>
      </c>
      <c r="D41" s="41" t="s">
        <v>281</v>
      </c>
      <c r="E41" s="41"/>
      <c r="F41" s="41"/>
      <c r="G41" s="10">
        <f>G42+G46</f>
        <v>955</v>
      </c>
      <c r="H41" s="10">
        <f>H42+H46</f>
        <v>955</v>
      </c>
    </row>
    <row r="42" spans="1:8" ht="31.5">
      <c r="A42" s="25" t="s">
        <v>1216</v>
      </c>
      <c r="B42" s="20" t="s">
        <v>977</v>
      </c>
      <c r="C42" s="41" t="s">
        <v>281</v>
      </c>
      <c r="D42" s="41" t="s">
        <v>281</v>
      </c>
      <c r="E42" s="41"/>
      <c r="F42" s="41"/>
      <c r="G42" s="10">
        <f>G43</f>
        <v>40</v>
      </c>
      <c r="H42" s="10">
        <f>H43</f>
        <v>40</v>
      </c>
    </row>
    <row r="43" spans="1:8" ht="94.5">
      <c r="A43" s="25" t="s">
        <v>144</v>
      </c>
      <c r="B43" s="20" t="s">
        <v>977</v>
      </c>
      <c r="C43" s="41" t="s">
        <v>281</v>
      </c>
      <c r="D43" s="41" t="s">
        <v>281</v>
      </c>
      <c r="E43" s="41" t="s">
        <v>145</v>
      </c>
      <c r="F43" s="41"/>
      <c r="G43" s="10">
        <f aca="true" t="shared" si="6" ref="G43:H43">G44</f>
        <v>40</v>
      </c>
      <c r="H43" s="10">
        <f t="shared" si="6"/>
        <v>40</v>
      </c>
    </row>
    <row r="44" spans="1:8" ht="31.5">
      <c r="A44" s="25" t="s">
        <v>359</v>
      </c>
      <c r="B44" s="20" t="s">
        <v>977</v>
      </c>
      <c r="C44" s="41" t="s">
        <v>281</v>
      </c>
      <c r="D44" s="41" t="s">
        <v>281</v>
      </c>
      <c r="E44" s="41" t="s">
        <v>226</v>
      </c>
      <c r="F44" s="41"/>
      <c r="G44" s="10">
        <f>'пр.6.1.ведом.21-22'!G315</f>
        <v>40</v>
      </c>
      <c r="H44" s="10">
        <f>'пр.6.1.ведом.21-22'!H315</f>
        <v>40</v>
      </c>
    </row>
    <row r="45" spans="1:8" ht="47.25">
      <c r="A45" s="46" t="s">
        <v>278</v>
      </c>
      <c r="B45" s="20" t="s">
        <v>977</v>
      </c>
      <c r="C45" s="41" t="s">
        <v>281</v>
      </c>
      <c r="D45" s="41" t="s">
        <v>281</v>
      </c>
      <c r="E45" s="41" t="s">
        <v>226</v>
      </c>
      <c r="F45" s="41" t="s">
        <v>645</v>
      </c>
      <c r="G45" s="6">
        <f>G44</f>
        <v>40</v>
      </c>
      <c r="H45" s="6">
        <f>H44</f>
        <v>40</v>
      </c>
    </row>
    <row r="46" spans="1:8" ht="31.5">
      <c r="A46" s="25" t="s">
        <v>148</v>
      </c>
      <c r="B46" s="20" t="s">
        <v>977</v>
      </c>
      <c r="C46" s="41" t="s">
        <v>281</v>
      </c>
      <c r="D46" s="41" t="s">
        <v>281</v>
      </c>
      <c r="E46" s="41" t="s">
        <v>149</v>
      </c>
      <c r="F46" s="41"/>
      <c r="G46" s="10">
        <f aca="true" t="shared" si="7" ref="G46:H46">G47</f>
        <v>915</v>
      </c>
      <c r="H46" s="10">
        <f t="shared" si="7"/>
        <v>915</v>
      </c>
    </row>
    <row r="47" spans="1:8" ht="47.25">
      <c r="A47" s="25" t="s">
        <v>150</v>
      </c>
      <c r="B47" s="20" t="s">
        <v>977</v>
      </c>
      <c r="C47" s="41" t="s">
        <v>281</v>
      </c>
      <c r="D47" s="41" t="s">
        <v>281</v>
      </c>
      <c r="E47" s="41" t="s">
        <v>151</v>
      </c>
      <c r="F47" s="41"/>
      <c r="G47" s="6">
        <f>'пр.6.1.ведом.21-22'!G317</f>
        <v>915</v>
      </c>
      <c r="H47" s="6">
        <f>'пр.6.1.ведом.21-22'!H317</f>
        <v>915</v>
      </c>
    </row>
    <row r="48" spans="1:8" ht="47.25">
      <c r="A48" s="46" t="s">
        <v>278</v>
      </c>
      <c r="B48" s="20" t="s">
        <v>977</v>
      </c>
      <c r="C48" s="41" t="s">
        <v>281</v>
      </c>
      <c r="D48" s="41" t="s">
        <v>281</v>
      </c>
      <c r="E48" s="41" t="s">
        <v>151</v>
      </c>
      <c r="F48" s="41" t="s">
        <v>645</v>
      </c>
      <c r="G48" s="6">
        <f>G47</f>
        <v>915</v>
      </c>
      <c r="H48" s="6">
        <f>H47</f>
        <v>915</v>
      </c>
    </row>
    <row r="49" spans="1:8" ht="47.25">
      <c r="A49" s="23" t="s">
        <v>1221</v>
      </c>
      <c r="B49" s="24" t="s">
        <v>1217</v>
      </c>
      <c r="C49" s="41"/>
      <c r="D49" s="41"/>
      <c r="E49" s="41"/>
      <c r="F49" s="41"/>
      <c r="G49" s="4">
        <f>G52</f>
        <v>50</v>
      </c>
      <c r="H49" s="4">
        <f>H52</f>
        <v>50</v>
      </c>
    </row>
    <row r="50" spans="1:8" ht="15.75">
      <c r="A50" s="46" t="s">
        <v>280</v>
      </c>
      <c r="B50" s="41" t="s">
        <v>1217</v>
      </c>
      <c r="C50" s="41" t="s">
        <v>281</v>
      </c>
      <c r="D50" s="41"/>
      <c r="E50" s="41"/>
      <c r="F50" s="41"/>
      <c r="G50" s="10">
        <f>G51</f>
        <v>50</v>
      </c>
      <c r="H50" s="10">
        <f>H51</f>
        <v>50</v>
      </c>
    </row>
    <row r="51" spans="1:8" ht="20.25" customHeight="1">
      <c r="A51" s="46" t="s">
        <v>483</v>
      </c>
      <c r="B51" s="41" t="s">
        <v>1217</v>
      </c>
      <c r="C51" s="41" t="s">
        <v>281</v>
      </c>
      <c r="D51" s="41" t="s">
        <v>281</v>
      </c>
      <c r="E51" s="41"/>
      <c r="F51" s="41"/>
      <c r="G51" s="10">
        <f>G52</f>
        <v>50</v>
      </c>
      <c r="H51" s="10">
        <f>H52</f>
        <v>50</v>
      </c>
    </row>
    <row r="52" spans="1:8" ht="63">
      <c r="A52" s="352" t="s">
        <v>1218</v>
      </c>
      <c r="B52" s="20" t="s">
        <v>1239</v>
      </c>
      <c r="C52" s="41" t="s">
        <v>281</v>
      </c>
      <c r="D52" s="41" t="s">
        <v>281</v>
      </c>
      <c r="E52" s="20"/>
      <c r="F52" s="41"/>
      <c r="G52" s="6">
        <f aca="true" t="shared" si="8" ref="G52:H52">G53</f>
        <v>50</v>
      </c>
      <c r="H52" s="6">
        <f t="shared" si="8"/>
        <v>50</v>
      </c>
    </row>
    <row r="53" spans="1:8" ht="31.5">
      <c r="A53" s="25" t="s">
        <v>265</v>
      </c>
      <c r="B53" s="20" t="s">
        <v>1239</v>
      </c>
      <c r="C53" s="41" t="s">
        <v>281</v>
      </c>
      <c r="D53" s="41" t="s">
        <v>281</v>
      </c>
      <c r="E53" s="20" t="s">
        <v>266</v>
      </c>
      <c r="F53" s="41"/>
      <c r="G53" s="6">
        <f>G54</f>
        <v>50</v>
      </c>
      <c r="H53" s="6">
        <f>H54</f>
        <v>50</v>
      </c>
    </row>
    <row r="54" spans="1:8" ht="31.5">
      <c r="A54" s="25" t="s">
        <v>365</v>
      </c>
      <c r="B54" s="20" t="s">
        <v>1239</v>
      </c>
      <c r="C54" s="41" t="s">
        <v>281</v>
      </c>
      <c r="D54" s="41" t="s">
        <v>281</v>
      </c>
      <c r="E54" s="20" t="s">
        <v>366</v>
      </c>
      <c r="F54" s="41"/>
      <c r="G54" s="10">
        <f>'пр.6.1.ведом.21-22'!G321</f>
        <v>50</v>
      </c>
      <c r="H54" s="10">
        <f>'пр.6.1.ведом.21-22'!H321</f>
        <v>50</v>
      </c>
    </row>
    <row r="55" spans="1:8" ht="47.25">
      <c r="A55" s="46" t="s">
        <v>278</v>
      </c>
      <c r="B55" s="20" t="s">
        <v>1239</v>
      </c>
      <c r="C55" s="41" t="s">
        <v>281</v>
      </c>
      <c r="D55" s="41" t="s">
        <v>281</v>
      </c>
      <c r="E55" s="41" t="s">
        <v>366</v>
      </c>
      <c r="F55" s="41" t="s">
        <v>645</v>
      </c>
      <c r="G55" s="6">
        <f>G54</f>
        <v>50</v>
      </c>
      <c r="H55" s="6">
        <f>H54</f>
        <v>50</v>
      </c>
    </row>
    <row r="56" spans="1:8" ht="47.25">
      <c r="A56" s="60" t="s">
        <v>646</v>
      </c>
      <c r="B56" s="7" t="s">
        <v>370</v>
      </c>
      <c r="C56" s="7"/>
      <c r="D56" s="7"/>
      <c r="E56" s="7"/>
      <c r="F56" s="7"/>
      <c r="G56" s="62">
        <f>G57</f>
        <v>150</v>
      </c>
      <c r="H56" s="62">
        <f>H57</f>
        <v>150</v>
      </c>
    </row>
    <row r="57" spans="1:8" ht="31.5">
      <c r="A57" s="23" t="s">
        <v>981</v>
      </c>
      <c r="B57" s="24" t="s">
        <v>980</v>
      </c>
      <c r="C57" s="7"/>
      <c r="D57" s="7"/>
      <c r="E57" s="7"/>
      <c r="F57" s="7"/>
      <c r="G57" s="62">
        <f>G58</f>
        <v>150</v>
      </c>
      <c r="H57" s="62">
        <f>H58</f>
        <v>150</v>
      </c>
    </row>
    <row r="58" spans="1:8" ht="15.75">
      <c r="A58" s="46" t="s">
        <v>260</v>
      </c>
      <c r="B58" s="41" t="s">
        <v>980</v>
      </c>
      <c r="C58" s="41" t="s">
        <v>261</v>
      </c>
      <c r="D58" s="41"/>
      <c r="E58" s="41"/>
      <c r="F58" s="41"/>
      <c r="G58" s="10">
        <f aca="true" t="shared" si="9" ref="G58:H61">G59</f>
        <v>150</v>
      </c>
      <c r="H58" s="10">
        <f t="shared" si="9"/>
        <v>150</v>
      </c>
    </row>
    <row r="59" spans="1:8" ht="15.75">
      <c r="A59" s="46" t="s">
        <v>269</v>
      </c>
      <c r="B59" s="41" t="s">
        <v>980</v>
      </c>
      <c r="C59" s="41" t="s">
        <v>261</v>
      </c>
      <c r="D59" s="41" t="s">
        <v>232</v>
      </c>
      <c r="E59" s="41"/>
      <c r="F59" s="41"/>
      <c r="G59" s="10">
        <f>G60</f>
        <v>150</v>
      </c>
      <c r="H59" s="10">
        <f>H60</f>
        <v>150</v>
      </c>
    </row>
    <row r="60" spans="1:8" ht="31.5">
      <c r="A60" s="25" t="s">
        <v>873</v>
      </c>
      <c r="B60" s="20" t="s">
        <v>982</v>
      </c>
      <c r="C60" s="41" t="s">
        <v>261</v>
      </c>
      <c r="D60" s="41" t="s">
        <v>232</v>
      </c>
      <c r="E60" s="41"/>
      <c r="F60" s="41"/>
      <c r="G60" s="10">
        <f t="shared" si="9"/>
        <v>150</v>
      </c>
      <c r="H60" s="10">
        <f t="shared" si="9"/>
        <v>150</v>
      </c>
    </row>
    <row r="61" spans="1:8" ht="31.5">
      <c r="A61" s="30" t="s">
        <v>265</v>
      </c>
      <c r="B61" s="20" t="s">
        <v>982</v>
      </c>
      <c r="C61" s="41" t="s">
        <v>261</v>
      </c>
      <c r="D61" s="41" t="s">
        <v>232</v>
      </c>
      <c r="E61" s="41" t="s">
        <v>266</v>
      </c>
      <c r="F61" s="41"/>
      <c r="G61" s="10">
        <f t="shared" si="9"/>
        <v>150</v>
      </c>
      <c r="H61" s="10">
        <f t="shared" si="9"/>
        <v>150</v>
      </c>
    </row>
    <row r="62" spans="1:8" ht="47.25">
      <c r="A62" s="30" t="s">
        <v>267</v>
      </c>
      <c r="B62" s="20" t="s">
        <v>982</v>
      </c>
      <c r="C62" s="41" t="s">
        <v>261</v>
      </c>
      <c r="D62" s="41" t="s">
        <v>232</v>
      </c>
      <c r="E62" s="41" t="s">
        <v>268</v>
      </c>
      <c r="F62" s="41"/>
      <c r="G62" s="10">
        <f>'пр.6.1.ведом.21-22'!G425</f>
        <v>150</v>
      </c>
      <c r="H62" s="10">
        <f>'пр.6.1.ведом.21-22'!H425</f>
        <v>150</v>
      </c>
    </row>
    <row r="63" spans="1:8" ht="47.25">
      <c r="A63" s="46" t="s">
        <v>278</v>
      </c>
      <c r="B63" s="20" t="s">
        <v>982</v>
      </c>
      <c r="C63" s="41" t="s">
        <v>261</v>
      </c>
      <c r="D63" s="41" t="s">
        <v>232</v>
      </c>
      <c r="E63" s="41" t="s">
        <v>268</v>
      </c>
      <c r="F63" s="41" t="s">
        <v>645</v>
      </c>
      <c r="G63" s="10">
        <f>G62</f>
        <v>150</v>
      </c>
      <c r="H63" s="10">
        <f>H62</f>
        <v>150</v>
      </c>
    </row>
    <row r="64" spans="1:8" ht="47.25">
      <c r="A64" s="60" t="s">
        <v>647</v>
      </c>
      <c r="B64" s="7" t="s">
        <v>373</v>
      </c>
      <c r="C64" s="7"/>
      <c r="D64" s="7"/>
      <c r="E64" s="7"/>
      <c r="F64" s="7"/>
      <c r="G64" s="62">
        <f aca="true" t="shared" si="10" ref="G64:H64">G66</f>
        <v>420</v>
      </c>
      <c r="H64" s="62">
        <f t="shared" si="10"/>
        <v>420</v>
      </c>
    </row>
    <row r="65" spans="1:8" ht="47.25">
      <c r="A65" s="23" t="s">
        <v>1156</v>
      </c>
      <c r="B65" s="24" t="s">
        <v>983</v>
      </c>
      <c r="C65" s="41"/>
      <c r="D65" s="41"/>
      <c r="E65" s="41"/>
      <c r="F65" s="41"/>
      <c r="G65" s="10">
        <f>G66</f>
        <v>420</v>
      </c>
      <c r="H65" s="10">
        <f>H66</f>
        <v>420</v>
      </c>
    </row>
    <row r="66" spans="1:8" ht="15.75">
      <c r="A66" s="46" t="s">
        <v>260</v>
      </c>
      <c r="B66" s="41" t="s">
        <v>983</v>
      </c>
      <c r="C66" s="41" t="s">
        <v>261</v>
      </c>
      <c r="D66" s="41"/>
      <c r="E66" s="41"/>
      <c r="F66" s="41"/>
      <c r="G66" s="10">
        <f aca="true" t="shared" si="11" ref="G66:H69">G67</f>
        <v>420</v>
      </c>
      <c r="H66" s="10">
        <f t="shared" si="11"/>
        <v>420</v>
      </c>
    </row>
    <row r="67" spans="1:8" ht="15.75">
      <c r="A67" s="46" t="s">
        <v>269</v>
      </c>
      <c r="B67" s="41" t="s">
        <v>983</v>
      </c>
      <c r="C67" s="41" t="s">
        <v>261</v>
      </c>
      <c r="D67" s="41" t="s">
        <v>232</v>
      </c>
      <c r="E67" s="41"/>
      <c r="F67" s="41"/>
      <c r="G67" s="10">
        <f>G68</f>
        <v>420</v>
      </c>
      <c r="H67" s="10">
        <f>H68</f>
        <v>420</v>
      </c>
    </row>
    <row r="68" spans="1:8" ht="31.5">
      <c r="A68" s="30" t="s">
        <v>174</v>
      </c>
      <c r="B68" s="20" t="s">
        <v>984</v>
      </c>
      <c r="C68" s="41" t="s">
        <v>261</v>
      </c>
      <c r="D68" s="41" t="s">
        <v>232</v>
      </c>
      <c r="E68" s="41"/>
      <c r="F68" s="41"/>
      <c r="G68" s="10">
        <f t="shared" si="11"/>
        <v>420</v>
      </c>
      <c r="H68" s="10">
        <f t="shared" si="11"/>
        <v>420</v>
      </c>
    </row>
    <row r="69" spans="1:8" ht="31.5">
      <c r="A69" s="30" t="s">
        <v>265</v>
      </c>
      <c r="B69" s="20" t="s">
        <v>984</v>
      </c>
      <c r="C69" s="41" t="s">
        <v>261</v>
      </c>
      <c r="D69" s="41" t="s">
        <v>232</v>
      </c>
      <c r="E69" s="41" t="s">
        <v>266</v>
      </c>
      <c r="F69" s="41"/>
      <c r="G69" s="10">
        <f t="shared" si="11"/>
        <v>420</v>
      </c>
      <c r="H69" s="10">
        <f t="shared" si="11"/>
        <v>420</v>
      </c>
    </row>
    <row r="70" spans="1:8" ht="31.5">
      <c r="A70" s="30" t="s">
        <v>365</v>
      </c>
      <c r="B70" s="20" t="s">
        <v>984</v>
      </c>
      <c r="C70" s="41" t="s">
        <v>261</v>
      </c>
      <c r="D70" s="41" t="s">
        <v>232</v>
      </c>
      <c r="E70" s="41" t="s">
        <v>366</v>
      </c>
      <c r="F70" s="41"/>
      <c r="G70" s="10">
        <f>'пр.6.1.ведом.21-22'!G430</f>
        <v>420</v>
      </c>
      <c r="H70" s="10">
        <f>'пр.6.1.ведом.21-22'!H430</f>
        <v>420</v>
      </c>
    </row>
    <row r="71" spans="1:8" ht="47.25">
      <c r="A71" s="46" t="s">
        <v>278</v>
      </c>
      <c r="B71" s="20" t="s">
        <v>984</v>
      </c>
      <c r="C71" s="41" t="s">
        <v>261</v>
      </c>
      <c r="D71" s="41" t="s">
        <v>232</v>
      </c>
      <c r="E71" s="41" t="s">
        <v>366</v>
      </c>
      <c r="F71" s="41" t="s">
        <v>645</v>
      </c>
      <c r="G71" s="10">
        <f>G70</f>
        <v>420</v>
      </c>
      <c r="H71" s="10">
        <f>H70</f>
        <v>420</v>
      </c>
    </row>
    <row r="72" spans="1:8" ht="31.5">
      <c r="A72" s="60" t="s">
        <v>649</v>
      </c>
      <c r="B72" s="7" t="s">
        <v>376</v>
      </c>
      <c r="C72" s="7"/>
      <c r="D72" s="7"/>
      <c r="E72" s="7"/>
      <c r="F72" s="7"/>
      <c r="G72" s="62">
        <f>G74+G80</f>
        <v>1400</v>
      </c>
      <c r="H72" s="62">
        <f>H74+H80</f>
        <v>1400</v>
      </c>
    </row>
    <row r="73" spans="1:8" ht="31.5">
      <c r="A73" s="23" t="s">
        <v>1222</v>
      </c>
      <c r="B73" s="24" t="s">
        <v>986</v>
      </c>
      <c r="C73" s="41"/>
      <c r="D73" s="41"/>
      <c r="E73" s="41"/>
      <c r="F73" s="41"/>
      <c r="G73" s="10">
        <f>G74</f>
        <v>920</v>
      </c>
      <c r="H73" s="10">
        <f>H74</f>
        <v>920</v>
      </c>
    </row>
    <row r="74" spans="1:8" ht="15.75">
      <c r="A74" s="46" t="s">
        <v>260</v>
      </c>
      <c r="B74" s="41" t="s">
        <v>986</v>
      </c>
      <c r="C74" s="41" t="s">
        <v>261</v>
      </c>
      <c r="D74" s="41"/>
      <c r="E74" s="41"/>
      <c r="F74" s="41"/>
      <c r="G74" s="10">
        <f aca="true" t="shared" si="12" ref="G74:H74">G75</f>
        <v>920</v>
      </c>
      <c r="H74" s="10">
        <f t="shared" si="12"/>
        <v>920</v>
      </c>
    </row>
    <row r="75" spans="1:8" ht="15.75">
      <c r="A75" s="46" t="s">
        <v>269</v>
      </c>
      <c r="B75" s="41" t="s">
        <v>986</v>
      </c>
      <c r="C75" s="41" t="s">
        <v>261</v>
      </c>
      <c r="D75" s="41" t="s">
        <v>232</v>
      </c>
      <c r="E75" s="41"/>
      <c r="F75" s="41"/>
      <c r="G75" s="10">
        <f>G76</f>
        <v>920</v>
      </c>
      <c r="H75" s="10">
        <f>H76</f>
        <v>920</v>
      </c>
    </row>
    <row r="76" spans="1:8" ht="63">
      <c r="A76" s="107" t="s">
        <v>1223</v>
      </c>
      <c r="B76" s="20" t="s">
        <v>987</v>
      </c>
      <c r="C76" s="41" t="s">
        <v>261</v>
      </c>
      <c r="D76" s="41" t="s">
        <v>232</v>
      </c>
      <c r="E76" s="41"/>
      <c r="F76" s="41"/>
      <c r="G76" s="10">
        <f>G77</f>
        <v>920</v>
      </c>
      <c r="H76" s="10">
        <f>H77</f>
        <v>920</v>
      </c>
    </row>
    <row r="77" spans="1:8" ht="31.5">
      <c r="A77" s="25" t="s">
        <v>265</v>
      </c>
      <c r="B77" s="20" t="s">
        <v>987</v>
      </c>
      <c r="C77" s="41" t="s">
        <v>261</v>
      </c>
      <c r="D77" s="41" t="s">
        <v>232</v>
      </c>
      <c r="E77" s="41" t="s">
        <v>266</v>
      </c>
      <c r="F77" s="41"/>
      <c r="G77" s="10">
        <f aca="true" t="shared" si="13" ref="G77:H77">G78</f>
        <v>920</v>
      </c>
      <c r="H77" s="10">
        <f t="shared" si="13"/>
        <v>920</v>
      </c>
    </row>
    <row r="78" spans="1:8" ht="31.5">
      <c r="A78" s="25" t="s">
        <v>365</v>
      </c>
      <c r="B78" s="20" t="s">
        <v>987</v>
      </c>
      <c r="C78" s="41" t="s">
        <v>261</v>
      </c>
      <c r="D78" s="41" t="s">
        <v>232</v>
      </c>
      <c r="E78" s="41" t="s">
        <v>366</v>
      </c>
      <c r="F78" s="41"/>
      <c r="G78" s="10">
        <f>'пр.6.1.ведом.21-22'!G435</f>
        <v>920</v>
      </c>
      <c r="H78" s="10">
        <f>'пр.6.1.ведом.21-22'!H435</f>
        <v>920</v>
      </c>
    </row>
    <row r="79" spans="1:8" ht="47.25">
      <c r="A79" s="46" t="s">
        <v>278</v>
      </c>
      <c r="B79" s="20" t="s">
        <v>987</v>
      </c>
      <c r="C79" s="41" t="s">
        <v>261</v>
      </c>
      <c r="D79" s="41" t="s">
        <v>232</v>
      </c>
      <c r="E79" s="41" t="s">
        <v>366</v>
      </c>
      <c r="F79" s="41" t="s">
        <v>645</v>
      </c>
      <c r="G79" s="10">
        <f>G78</f>
        <v>920</v>
      </c>
      <c r="H79" s="10">
        <f>H78</f>
        <v>920</v>
      </c>
    </row>
    <row r="80" spans="1:8" ht="31.5">
      <c r="A80" s="23" t="s">
        <v>985</v>
      </c>
      <c r="B80" s="24" t="s">
        <v>988</v>
      </c>
      <c r="C80" s="7"/>
      <c r="D80" s="7"/>
      <c r="E80" s="7"/>
      <c r="F80" s="7"/>
      <c r="G80" s="62">
        <f>G83+G87</f>
        <v>480</v>
      </c>
      <c r="H80" s="62">
        <f>H83+H87</f>
        <v>480</v>
      </c>
    </row>
    <row r="81" spans="1:8" ht="15.75">
      <c r="A81" s="46" t="s">
        <v>260</v>
      </c>
      <c r="B81" s="41" t="s">
        <v>988</v>
      </c>
      <c r="C81" s="41" t="s">
        <v>261</v>
      </c>
      <c r="D81" s="41"/>
      <c r="E81" s="41"/>
      <c r="F81" s="41"/>
      <c r="G81" s="10">
        <f aca="true" t="shared" si="14" ref="G81:H81">G82</f>
        <v>270</v>
      </c>
      <c r="H81" s="10">
        <f t="shared" si="14"/>
        <v>270</v>
      </c>
    </row>
    <row r="82" spans="1:8" ht="15.75">
      <c r="A82" s="46" t="s">
        <v>269</v>
      </c>
      <c r="B82" s="41" t="s">
        <v>988</v>
      </c>
      <c r="C82" s="41" t="s">
        <v>261</v>
      </c>
      <c r="D82" s="41" t="s">
        <v>232</v>
      </c>
      <c r="E82" s="41"/>
      <c r="F82" s="41"/>
      <c r="G82" s="10">
        <f aca="true" t="shared" si="15" ref="G82:H84">G83</f>
        <v>270</v>
      </c>
      <c r="H82" s="10">
        <f t="shared" si="15"/>
        <v>270</v>
      </c>
    </row>
    <row r="83" spans="1:8" ht="31.5">
      <c r="A83" s="25" t="s">
        <v>1157</v>
      </c>
      <c r="B83" s="20" t="s">
        <v>989</v>
      </c>
      <c r="C83" s="41" t="s">
        <v>261</v>
      </c>
      <c r="D83" s="41" t="s">
        <v>232</v>
      </c>
      <c r="E83" s="41"/>
      <c r="F83" s="41"/>
      <c r="G83" s="10">
        <f t="shared" si="15"/>
        <v>270</v>
      </c>
      <c r="H83" s="10">
        <f t="shared" si="15"/>
        <v>270</v>
      </c>
    </row>
    <row r="84" spans="1:8" ht="31.5">
      <c r="A84" s="25" t="s">
        <v>148</v>
      </c>
      <c r="B84" s="20" t="s">
        <v>989</v>
      </c>
      <c r="C84" s="41" t="s">
        <v>261</v>
      </c>
      <c r="D84" s="41" t="s">
        <v>232</v>
      </c>
      <c r="E84" s="41" t="s">
        <v>149</v>
      </c>
      <c r="F84" s="41"/>
      <c r="G84" s="10">
        <f t="shared" si="15"/>
        <v>270</v>
      </c>
      <c r="H84" s="10">
        <f t="shared" si="15"/>
        <v>270</v>
      </c>
    </row>
    <row r="85" spans="1:8" ht="47.25">
      <c r="A85" s="25" t="s">
        <v>150</v>
      </c>
      <c r="B85" s="20" t="s">
        <v>989</v>
      </c>
      <c r="C85" s="41" t="s">
        <v>261</v>
      </c>
      <c r="D85" s="41" t="s">
        <v>232</v>
      </c>
      <c r="E85" s="41" t="s">
        <v>151</v>
      </c>
      <c r="F85" s="41"/>
      <c r="G85" s="10">
        <f>'пр.6.1.ведом.21-22'!G439</f>
        <v>270</v>
      </c>
      <c r="H85" s="10">
        <f>'пр.6.1.ведом.21-22'!H439</f>
        <v>270</v>
      </c>
    </row>
    <row r="86" spans="1:8" ht="47.25">
      <c r="A86" s="46" t="s">
        <v>278</v>
      </c>
      <c r="B86" s="20" t="s">
        <v>989</v>
      </c>
      <c r="C86" s="41" t="s">
        <v>261</v>
      </c>
      <c r="D86" s="41" t="s">
        <v>232</v>
      </c>
      <c r="E86" s="41" t="s">
        <v>151</v>
      </c>
      <c r="F86" s="41" t="s">
        <v>645</v>
      </c>
      <c r="G86" s="10">
        <f>G85</f>
        <v>270</v>
      </c>
      <c r="H86" s="10">
        <f>H85</f>
        <v>270</v>
      </c>
    </row>
    <row r="87" spans="1:8" s="252" customFormat="1" ht="31.5">
      <c r="A87" s="25" t="s">
        <v>265</v>
      </c>
      <c r="B87" s="20" t="s">
        <v>989</v>
      </c>
      <c r="C87" s="41" t="s">
        <v>261</v>
      </c>
      <c r="D87" s="41" t="s">
        <v>232</v>
      </c>
      <c r="E87" s="41" t="s">
        <v>266</v>
      </c>
      <c r="F87" s="41"/>
      <c r="G87" s="10">
        <f>G88</f>
        <v>210</v>
      </c>
      <c r="H87" s="10">
        <f>H88</f>
        <v>210</v>
      </c>
    </row>
    <row r="88" spans="1:8" s="252" customFormat="1" ht="31.5">
      <c r="A88" s="25" t="s">
        <v>365</v>
      </c>
      <c r="B88" s="20" t="s">
        <v>989</v>
      </c>
      <c r="C88" s="41" t="s">
        <v>261</v>
      </c>
      <c r="D88" s="41" t="s">
        <v>232</v>
      </c>
      <c r="E88" s="41" t="s">
        <v>366</v>
      </c>
      <c r="F88" s="41"/>
      <c r="G88" s="10">
        <f>'пр.6.1.ведом.21-22'!G441</f>
        <v>210</v>
      </c>
      <c r="H88" s="10">
        <f>'пр.6.1.ведом.21-22'!H441</f>
        <v>210</v>
      </c>
    </row>
    <row r="89" spans="1:8" s="252" customFormat="1" ht="47.25">
      <c r="A89" s="46" t="s">
        <v>278</v>
      </c>
      <c r="B89" s="20" t="s">
        <v>989</v>
      </c>
      <c r="C89" s="41" t="s">
        <v>261</v>
      </c>
      <c r="D89" s="41" t="s">
        <v>232</v>
      </c>
      <c r="E89" s="41" t="s">
        <v>366</v>
      </c>
      <c r="F89" s="41" t="s">
        <v>645</v>
      </c>
      <c r="G89" s="10">
        <f>G88</f>
        <v>210</v>
      </c>
      <c r="H89" s="10">
        <f>H88</f>
        <v>210</v>
      </c>
    </row>
    <row r="90" spans="1:8" ht="47.25">
      <c r="A90" s="60" t="s">
        <v>651</v>
      </c>
      <c r="B90" s="7" t="s">
        <v>379</v>
      </c>
      <c r="C90" s="7"/>
      <c r="D90" s="7"/>
      <c r="E90" s="7"/>
      <c r="F90" s="7"/>
      <c r="G90" s="62">
        <f aca="true" t="shared" si="16" ref="G90:H90">G92</f>
        <v>250</v>
      </c>
      <c r="H90" s="62">
        <f t="shared" si="16"/>
        <v>250</v>
      </c>
    </row>
    <row r="91" spans="1:8" ht="47.25">
      <c r="A91" s="23" t="s">
        <v>1225</v>
      </c>
      <c r="B91" s="24" t="s">
        <v>991</v>
      </c>
      <c r="C91" s="7"/>
      <c r="D91" s="7"/>
      <c r="E91" s="7"/>
      <c r="F91" s="7"/>
      <c r="G91" s="62">
        <f>G92</f>
        <v>250</v>
      </c>
      <c r="H91" s="62">
        <f>H92</f>
        <v>250</v>
      </c>
    </row>
    <row r="92" spans="1:8" ht="15.75">
      <c r="A92" s="46" t="s">
        <v>260</v>
      </c>
      <c r="B92" s="41" t="s">
        <v>991</v>
      </c>
      <c r="C92" s="41" t="s">
        <v>261</v>
      </c>
      <c r="D92" s="41"/>
      <c r="E92" s="41"/>
      <c r="F92" s="41"/>
      <c r="G92" s="10">
        <f aca="true" t="shared" si="17" ref="G92:H95">G93</f>
        <v>250</v>
      </c>
      <c r="H92" s="10">
        <f t="shared" si="17"/>
        <v>250</v>
      </c>
    </row>
    <row r="93" spans="1:8" ht="15.75">
      <c r="A93" s="46" t="s">
        <v>269</v>
      </c>
      <c r="B93" s="41" t="s">
        <v>991</v>
      </c>
      <c r="C93" s="41" t="s">
        <v>261</v>
      </c>
      <c r="D93" s="41" t="s">
        <v>232</v>
      </c>
      <c r="E93" s="41"/>
      <c r="F93" s="41"/>
      <c r="G93" s="10">
        <f>G94</f>
        <v>250</v>
      </c>
      <c r="H93" s="10">
        <f>H94</f>
        <v>250</v>
      </c>
    </row>
    <row r="94" spans="1:8" ht="63">
      <c r="A94" s="25" t="s">
        <v>1224</v>
      </c>
      <c r="B94" s="20" t="s">
        <v>990</v>
      </c>
      <c r="C94" s="41" t="s">
        <v>261</v>
      </c>
      <c r="D94" s="41" t="s">
        <v>232</v>
      </c>
      <c r="E94" s="41"/>
      <c r="F94" s="41"/>
      <c r="G94" s="10">
        <f t="shared" si="17"/>
        <v>250</v>
      </c>
      <c r="H94" s="10">
        <f t="shared" si="17"/>
        <v>250</v>
      </c>
    </row>
    <row r="95" spans="1:8" ht="31.5">
      <c r="A95" s="25" t="s">
        <v>265</v>
      </c>
      <c r="B95" s="20" t="s">
        <v>990</v>
      </c>
      <c r="C95" s="41" t="s">
        <v>261</v>
      </c>
      <c r="D95" s="41" t="s">
        <v>232</v>
      </c>
      <c r="E95" s="41" t="s">
        <v>266</v>
      </c>
      <c r="F95" s="41"/>
      <c r="G95" s="10">
        <f t="shared" si="17"/>
        <v>250</v>
      </c>
      <c r="H95" s="10">
        <f t="shared" si="17"/>
        <v>250</v>
      </c>
    </row>
    <row r="96" spans="1:8" ht="31.5">
      <c r="A96" s="25" t="s">
        <v>365</v>
      </c>
      <c r="B96" s="20" t="s">
        <v>990</v>
      </c>
      <c r="C96" s="41" t="s">
        <v>261</v>
      </c>
      <c r="D96" s="41" t="s">
        <v>232</v>
      </c>
      <c r="E96" s="41" t="s">
        <v>366</v>
      </c>
      <c r="F96" s="41"/>
      <c r="G96" s="10">
        <f>'пр.6.1.ведом.21-22'!G446</f>
        <v>250</v>
      </c>
      <c r="H96" s="10">
        <f>'пр.6.1.ведом.21-22'!H446</f>
        <v>250</v>
      </c>
    </row>
    <row r="97" spans="1:8" ht="47.25">
      <c r="A97" s="46" t="s">
        <v>278</v>
      </c>
      <c r="B97" s="20" t="s">
        <v>990</v>
      </c>
      <c r="C97" s="41" t="s">
        <v>261</v>
      </c>
      <c r="D97" s="41" t="s">
        <v>232</v>
      </c>
      <c r="E97" s="41" t="s">
        <v>366</v>
      </c>
      <c r="F97" s="41" t="s">
        <v>645</v>
      </c>
      <c r="G97" s="10">
        <f>G96</f>
        <v>250</v>
      </c>
      <c r="H97" s="10">
        <f>H96</f>
        <v>250</v>
      </c>
    </row>
    <row r="98" spans="1:8" ht="63">
      <c r="A98" s="60" t="s">
        <v>381</v>
      </c>
      <c r="B98" s="7" t="s">
        <v>382</v>
      </c>
      <c r="C98" s="7"/>
      <c r="D98" s="7"/>
      <c r="E98" s="7"/>
      <c r="F98" s="7"/>
      <c r="G98" s="62">
        <f aca="true" t="shared" si="18" ref="G98:H98">G100</f>
        <v>260</v>
      </c>
      <c r="H98" s="62">
        <f t="shared" si="18"/>
        <v>260</v>
      </c>
    </row>
    <row r="99" spans="1:8" ht="31.5">
      <c r="A99" s="23" t="s">
        <v>1155</v>
      </c>
      <c r="B99" s="24" t="s">
        <v>971</v>
      </c>
      <c r="C99" s="7"/>
      <c r="D99" s="7"/>
      <c r="E99" s="7"/>
      <c r="F99" s="7"/>
      <c r="G99" s="62">
        <f aca="true" t="shared" si="19" ref="G99:H101">G100</f>
        <v>260</v>
      </c>
      <c r="H99" s="62">
        <f t="shared" si="19"/>
        <v>260</v>
      </c>
    </row>
    <row r="100" spans="1:8" ht="15.75">
      <c r="A100" s="46" t="s">
        <v>315</v>
      </c>
      <c r="B100" s="41" t="s">
        <v>971</v>
      </c>
      <c r="C100" s="41" t="s">
        <v>316</v>
      </c>
      <c r="D100" s="41"/>
      <c r="E100" s="41"/>
      <c r="F100" s="41"/>
      <c r="G100" s="10">
        <f t="shared" si="19"/>
        <v>260</v>
      </c>
      <c r="H100" s="10">
        <f t="shared" si="19"/>
        <v>260</v>
      </c>
    </row>
    <row r="101" spans="1:8" ht="31.5">
      <c r="A101" s="46" t="s">
        <v>350</v>
      </c>
      <c r="B101" s="41" t="s">
        <v>971</v>
      </c>
      <c r="C101" s="41" t="s">
        <v>316</v>
      </c>
      <c r="D101" s="41" t="s">
        <v>167</v>
      </c>
      <c r="E101" s="41"/>
      <c r="F101" s="41"/>
      <c r="G101" s="10">
        <f t="shared" si="19"/>
        <v>260</v>
      </c>
      <c r="H101" s="10">
        <f t="shared" si="19"/>
        <v>260</v>
      </c>
    </row>
    <row r="102" spans="1:8" ht="31.5">
      <c r="A102" s="30" t="s">
        <v>174</v>
      </c>
      <c r="B102" s="20" t="s">
        <v>1240</v>
      </c>
      <c r="C102" s="41" t="s">
        <v>316</v>
      </c>
      <c r="D102" s="41" t="s">
        <v>167</v>
      </c>
      <c r="E102" s="41"/>
      <c r="F102" s="41"/>
      <c r="G102" s="10">
        <f aca="true" t="shared" si="20" ref="G102:H103">G103</f>
        <v>260</v>
      </c>
      <c r="H102" s="10">
        <f t="shared" si="20"/>
        <v>260</v>
      </c>
    </row>
    <row r="103" spans="1:8" ht="31.5">
      <c r="A103" s="30" t="s">
        <v>148</v>
      </c>
      <c r="B103" s="20" t="s">
        <v>1240</v>
      </c>
      <c r="C103" s="41" t="s">
        <v>316</v>
      </c>
      <c r="D103" s="41" t="s">
        <v>167</v>
      </c>
      <c r="E103" s="41" t="s">
        <v>149</v>
      </c>
      <c r="F103" s="41"/>
      <c r="G103" s="10">
        <f t="shared" si="20"/>
        <v>260</v>
      </c>
      <c r="H103" s="10">
        <f t="shared" si="20"/>
        <v>260</v>
      </c>
    </row>
    <row r="104" spans="1:8" ht="47.25">
      <c r="A104" s="30" t="s">
        <v>150</v>
      </c>
      <c r="B104" s="20" t="s">
        <v>1240</v>
      </c>
      <c r="C104" s="41" t="s">
        <v>316</v>
      </c>
      <c r="D104" s="41" t="s">
        <v>167</v>
      </c>
      <c r="E104" s="41" t="s">
        <v>151</v>
      </c>
      <c r="F104" s="41"/>
      <c r="G104" s="10">
        <f>'Пр.6 ведом.20'!G417</f>
        <v>260</v>
      </c>
      <c r="H104" s="10">
        <f>'Пр.6 ведом.20'!H417</f>
        <v>260</v>
      </c>
    </row>
    <row r="105" spans="1:8" ht="47.25">
      <c r="A105" s="46" t="s">
        <v>278</v>
      </c>
      <c r="B105" s="20" t="s">
        <v>1240</v>
      </c>
      <c r="C105" s="41" t="s">
        <v>316</v>
      </c>
      <c r="D105" s="41" t="s">
        <v>167</v>
      </c>
      <c r="E105" s="41" t="s">
        <v>151</v>
      </c>
      <c r="F105" s="41" t="s">
        <v>645</v>
      </c>
      <c r="G105" s="10">
        <f>G104</f>
        <v>260</v>
      </c>
      <c r="H105" s="10">
        <f>H104</f>
        <v>260</v>
      </c>
    </row>
    <row r="106" spans="1:8" ht="63">
      <c r="A106" s="42" t="s">
        <v>384</v>
      </c>
      <c r="B106" s="7" t="s">
        <v>385</v>
      </c>
      <c r="C106" s="7"/>
      <c r="D106" s="7"/>
      <c r="E106" s="7"/>
      <c r="F106" s="7"/>
      <c r="G106" s="62">
        <f>G107+G118+G129+G140</f>
        <v>70</v>
      </c>
      <c r="H106" s="62">
        <f>H107+H118+H129+H140</f>
        <v>70</v>
      </c>
    </row>
    <row r="107" spans="1:8" ht="47.25" hidden="1">
      <c r="A107" s="315" t="s">
        <v>1228</v>
      </c>
      <c r="B107" s="24" t="s">
        <v>942</v>
      </c>
      <c r="C107" s="7"/>
      <c r="D107" s="7"/>
      <c r="E107" s="7"/>
      <c r="F107" s="7"/>
      <c r="G107" s="62">
        <f>G108</f>
        <v>0</v>
      </c>
      <c r="H107" s="62">
        <f>H108</f>
        <v>0</v>
      </c>
    </row>
    <row r="108" spans="1:8" ht="15.75" hidden="1">
      <c r="A108" s="46" t="s">
        <v>249</v>
      </c>
      <c r="B108" s="41" t="s">
        <v>942</v>
      </c>
      <c r="C108" s="41" t="s">
        <v>167</v>
      </c>
      <c r="D108" s="41"/>
      <c r="E108" s="41"/>
      <c r="F108" s="41"/>
      <c r="G108" s="10">
        <f aca="true" t="shared" si="21" ref="G108:H108">G109</f>
        <v>0</v>
      </c>
      <c r="H108" s="10">
        <f t="shared" si="21"/>
        <v>0</v>
      </c>
    </row>
    <row r="109" spans="1:8" ht="31.5" hidden="1">
      <c r="A109" s="46" t="s">
        <v>254</v>
      </c>
      <c r="B109" s="41" t="s">
        <v>942</v>
      </c>
      <c r="C109" s="41" t="s">
        <v>167</v>
      </c>
      <c r="D109" s="41" t="s">
        <v>255</v>
      </c>
      <c r="E109" s="41"/>
      <c r="F109" s="41"/>
      <c r="G109" s="10">
        <f>G110+G114</f>
        <v>0</v>
      </c>
      <c r="H109" s="10">
        <f>H110+H114</f>
        <v>0</v>
      </c>
    </row>
    <row r="110" spans="1:8" ht="63" hidden="1">
      <c r="A110" s="25" t="s">
        <v>392</v>
      </c>
      <c r="B110" s="20" t="s">
        <v>1229</v>
      </c>
      <c r="C110" s="41" t="s">
        <v>167</v>
      </c>
      <c r="D110" s="41" t="s">
        <v>255</v>
      </c>
      <c r="E110" s="41"/>
      <c r="F110" s="41"/>
      <c r="G110" s="10">
        <f aca="true" t="shared" si="22" ref="G110:H110">G111</f>
        <v>0</v>
      </c>
      <c r="H110" s="10">
        <f t="shared" si="22"/>
        <v>0</v>
      </c>
    </row>
    <row r="111" spans="1:8" ht="31.5" hidden="1">
      <c r="A111" s="25" t="s">
        <v>265</v>
      </c>
      <c r="B111" s="20" t="s">
        <v>1229</v>
      </c>
      <c r="C111" s="41" t="s">
        <v>167</v>
      </c>
      <c r="D111" s="41" t="s">
        <v>255</v>
      </c>
      <c r="E111" s="41" t="s">
        <v>266</v>
      </c>
      <c r="F111" s="41"/>
      <c r="G111" s="10">
        <f>G112</f>
        <v>0</v>
      </c>
      <c r="H111" s="10">
        <f>H112</f>
        <v>0</v>
      </c>
    </row>
    <row r="112" spans="1:8" ht="47.25" hidden="1">
      <c r="A112" s="25" t="s">
        <v>267</v>
      </c>
      <c r="B112" s="20" t="s">
        <v>1229</v>
      </c>
      <c r="C112" s="41" t="s">
        <v>167</v>
      </c>
      <c r="D112" s="41" t="s">
        <v>255</v>
      </c>
      <c r="E112" s="41" t="s">
        <v>268</v>
      </c>
      <c r="F112" s="41"/>
      <c r="G112" s="10">
        <f>'пр.6.1.ведом.21-22'!G239</f>
        <v>0</v>
      </c>
      <c r="H112" s="10">
        <f>'пр.6.1.ведом.21-22'!H239</f>
        <v>0</v>
      </c>
    </row>
    <row r="113" spans="1:8" ht="47.25" hidden="1">
      <c r="A113" s="46" t="s">
        <v>278</v>
      </c>
      <c r="B113" s="20" t="s">
        <v>1229</v>
      </c>
      <c r="C113" s="41" t="s">
        <v>167</v>
      </c>
      <c r="D113" s="41" t="s">
        <v>255</v>
      </c>
      <c r="E113" s="41" t="s">
        <v>268</v>
      </c>
      <c r="F113" s="41" t="s">
        <v>645</v>
      </c>
      <c r="G113" s="10">
        <f>G112</f>
        <v>0</v>
      </c>
      <c r="H113" s="10">
        <f>H112</f>
        <v>0</v>
      </c>
    </row>
    <row r="114" spans="1:8" ht="63" hidden="1">
      <c r="A114" s="25" t="s">
        <v>392</v>
      </c>
      <c r="B114" s="20" t="s">
        <v>1230</v>
      </c>
      <c r="C114" s="41" t="s">
        <v>167</v>
      </c>
      <c r="D114" s="41" t="s">
        <v>255</v>
      </c>
      <c r="E114" s="41"/>
      <c r="F114" s="41"/>
      <c r="G114" s="10">
        <f>G115</f>
        <v>0</v>
      </c>
      <c r="H114" s="10">
        <f>H115</f>
        <v>0</v>
      </c>
    </row>
    <row r="115" spans="1:8" ht="31.5" hidden="1">
      <c r="A115" s="25" t="s">
        <v>265</v>
      </c>
      <c r="B115" s="20" t="s">
        <v>1230</v>
      </c>
      <c r="C115" s="41" t="s">
        <v>167</v>
      </c>
      <c r="D115" s="41" t="s">
        <v>255</v>
      </c>
      <c r="E115" s="41" t="s">
        <v>266</v>
      </c>
      <c r="F115" s="41"/>
      <c r="G115" s="10">
        <f>G116</f>
        <v>0</v>
      </c>
      <c r="H115" s="10">
        <f>H116</f>
        <v>0</v>
      </c>
    </row>
    <row r="116" spans="1:8" ht="47.25" hidden="1">
      <c r="A116" s="25" t="s">
        <v>267</v>
      </c>
      <c r="B116" s="20" t="s">
        <v>1230</v>
      </c>
      <c r="C116" s="41" t="s">
        <v>167</v>
      </c>
      <c r="D116" s="41" t="s">
        <v>255</v>
      </c>
      <c r="E116" s="41" t="s">
        <v>268</v>
      </c>
      <c r="F116" s="41"/>
      <c r="G116" s="10">
        <f>'пр.6.1.ведом.21-22'!G242</f>
        <v>0</v>
      </c>
      <c r="H116" s="10">
        <f>'пр.6.1.ведом.21-22'!H242</f>
        <v>0</v>
      </c>
    </row>
    <row r="117" spans="1:8" ht="47.25" hidden="1">
      <c r="A117" s="46" t="s">
        <v>278</v>
      </c>
      <c r="B117" s="20" t="s">
        <v>1230</v>
      </c>
      <c r="C117" s="41" t="s">
        <v>167</v>
      </c>
      <c r="D117" s="41" t="s">
        <v>255</v>
      </c>
      <c r="E117" s="41" t="s">
        <v>268</v>
      </c>
      <c r="F117" s="41" t="s">
        <v>645</v>
      </c>
      <c r="G117" s="10">
        <f>G116</f>
        <v>0</v>
      </c>
      <c r="H117" s="10">
        <f>H116</f>
        <v>0</v>
      </c>
    </row>
    <row r="118" spans="1:8" ht="47.25">
      <c r="A118" s="23" t="s">
        <v>1226</v>
      </c>
      <c r="B118" s="24" t="s">
        <v>943</v>
      </c>
      <c r="C118" s="7"/>
      <c r="D118" s="7"/>
      <c r="E118" s="7"/>
      <c r="F118" s="7"/>
      <c r="G118" s="62">
        <f>G121+G125</f>
        <v>60</v>
      </c>
      <c r="H118" s="62">
        <f>H121+H125</f>
        <v>60</v>
      </c>
    </row>
    <row r="119" spans="1:8" ht="15.75">
      <c r="A119" s="46" t="s">
        <v>249</v>
      </c>
      <c r="B119" s="41" t="s">
        <v>943</v>
      </c>
      <c r="C119" s="41" t="s">
        <v>167</v>
      </c>
      <c r="D119" s="41"/>
      <c r="E119" s="41"/>
      <c r="F119" s="41"/>
      <c r="G119" s="10">
        <f aca="true" t="shared" si="23" ref="G119:H119">G120</f>
        <v>60</v>
      </c>
      <c r="H119" s="10">
        <f t="shared" si="23"/>
        <v>60</v>
      </c>
    </row>
    <row r="120" spans="1:8" ht="31.5">
      <c r="A120" s="46" t="s">
        <v>254</v>
      </c>
      <c r="B120" s="41" t="s">
        <v>943</v>
      </c>
      <c r="C120" s="41" t="s">
        <v>167</v>
      </c>
      <c r="D120" s="41" t="s">
        <v>255</v>
      </c>
      <c r="E120" s="41"/>
      <c r="F120" s="41"/>
      <c r="G120" s="10">
        <f>G121+G125</f>
        <v>60</v>
      </c>
      <c r="H120" s="10">
        <f>H121+H125</f>
        <v>60</v>
      </c>
    </row>
    <row r="121" spans="1:8" ht="31.5">
      <c r="A121" s="25" t="s">
        <v>1227</v>
      </c>
      <c r="B121" s="20" t="s">
        <v>1231</v>
      </c>
      <c r="C121" s="41" t="s">
        <v>167</v>
      </c>
      <c r="D121" s="41" t="s">
        <v>255</v>
      </c>
      <c r="E121" s="41"/>
      <c r="F121" s="41"/>
      <c r="G121" s="10">
        <f>G122</f>
        <v>60</v>
      </c>
      <c r="H121" s="10">
        <f>H122</f>
        <v>60</v>
      </c>
    </row>
    <row r="122" spans="1:8" ht="47.25">
      <c r="A122" s="25" t="s">
        <v>289</v>
      </c>
      <c r="B122" s="20" t="s">
        <v>1231</v>
      </c>
      <c r="C122" s="41" t="s">
        <v>167</v>
      </c>
      <c r="D122" s="41" t="s">
        <v>255</v>
      </c>
      <c r="E122" s="41" t="s">
        <v>290</v>
      </c>
      <c r="F122" s="41"/>
      <c r="G122" s="10">
        <f>G123</f>
        <v>60</v>
      </c>
      <c r="H122" s="10">
        <f>H123</f>
        <v>60</v>
      </c>
    </row>
    <row r="123" spans="1:8" ht="78.75">
      <c r="A123" s="25" t="s">
        <v>1314</v>
      </c>
      <c r="B123" s="20" t="s">
        <v>1231</v>
      </c>
      <c r="C123" s="41" t="s">
        <v>167</v>
      </c>
      <c r="D123" s="41" t="s">
        <v>255</v>
      </c>
      <c r="E123" s="41" t="s">
        <v>389</v>
      </c>
      <c r="F123" s="41"/>
      <c r="G123" s="10">
        <f>'пр.6.1.ведом.21-22'!G246</f>
        <v>60</v>
      </c>
      <c r="H123" s="10">
        <f>'пр.6.1.ведом.21-22'!H246</f>
        <v>60</v>
      </c>
    </row>
    <row r="124" spans="1:8" ht="47.25">
      <c r="A124" s="46" t="s">
        <v>278</v>
      </c>
      <c r="B124" s="20" t="s">
        <v>1231</v>
      </c>
      <c r="C124" s="41" t="s">
        <v>167</v>
      </c>
      <c r="D124" s="41" t="s">
        <v>255</v>
      </c>
      <c r="E124" s="41" t="s">
        <v>389</v>
      </c>
      <c r="F124" s="41" t="s">
        <v>645</v>
      </c>
      <c r="G124" s="10">
        <f>G123</f>
        <v>60</v>
      </c>
      <c r="H124" s="10">
        <f>H123</f>
        <v>60</v>
      </c>
    </row>
    <row r="125" spans="1:8" ht="126" hidden="1">
      <c r="A125" s="25" t="s">
        <v>390</v>
      </c>
      <c r="B125" s="20" t="s">
        <v>1232</v>
      </c>
      <c r="C125" s="41" t="s">
        <v>167</v>
      </c>
      <c r="D125" s="41" t="s">
        <v>255</v>
      </c>
      <c r="E125" s="41"/>
      <c r="F125" s="41"/>
      <c r="G125" s="10">
        <f>G126</f>
        <v>0</v>
      </c>
      <c r="H125" s="10">
        <f>H126</f>
        <v>0</v>
      </c>
    </row>
    <row r="126" spans="1:8" ht="47.25" hidden="1">
      <c r="A126" s="25" t="s">
        <v>289</v>
      </c>
      <c r="B126" s="20" t="s">
        <v>1232</v>
      </c>
      <c r="C126" s="41" t="s">
        <v>167</v>
      </c>
      <c r="D126" s="41" t="s">
        <v>255</v>
      </c>
      <c r="E126" s="41" t="s">
        <v>290</v>
      </c>
      <c r="F126" s="41"/>
      <c r="G126" s="10">
        <f>G127</f>
        <v>0</v>
      </c>
      <c r="H126" s="10">
        <f>H127</f>
        <v>0</v>
      </c>
    </row>
    <row r="127" spans="1:8" ht="78.75" hidden="1">
      <c r="A127" s="25" t="s">
        <v>1314</v>
      </c>
      <c r="B127" s="20" t="s">
        <v>1232</v>
      </c>
      <c r="C127" s="41" t="s">
        <v>167</v>
      </c>
      <c r="D127" s="41" t="s">
        <v>255</v>
      </c>
      <c r="E127" s="41" t="s">
        <v>389</v>
      </c>
      <c r="F127" s="41"/>
      <c r="G127" s="10">
        <f>'пр.6.1.ведом.21-22'!G249</f>
        <v>0</v>
      </c>
      <c r="H127" s="10">
        <f>'пр.6.1.ведом.21-22'!H249</f>
        <v>0</v>
      </c>
    </row>
    <row r="128" spans="1:8" ht="47.25" hidden="1">
      <c r="A128" s="46" t="s">
        <v>278</v>
      </c>
      <c r="B128" s="20" t="s">
        <v>1232</v>
      </c>
      <c r="C128" s="41" t="s">
        <v>167</v>
      </c>
      <c r="D128" s="41" t="s">
        <v>255</v>
      </c>
      <c r="E128" s="41" t="s">
        <v>389</v>
      </c>
      <c r="F128" s="41" t="s">
        <v>645</v>
      </c>
      <c r="G128" s="10">
        <f>G127</f>
        <v>0</v>
      </c>
      <c r="H128" s="10">
        <f>H127</f>
        <v>0</v>
      </c>
    </row>
    <row r="129" spans="1:8" ht="31.5" hidden="1">
      <c r="A129" s="23" t="s">
        <v>1153</v>
      </c>
      <c r="B129" s="24" t="s">
        <v>944</v>
      </c>
      <c r="C129" s="7"/>
      <c r="D129" s="7"/>
      <c r="E129" s="7"/>
      <c r="F129" s="7"/>
      <c r="G129" s="62">
        <f>G132+G136</f>
        <v>0</v>
      </c>
      <c r="H129" s="62">
        <f>H132+H136</f>
        <v>0</v>
      </c>
    </row>
    <row r="130" spans="1:8" ht="15.75" hidden="1">
      <c r="A130" s="46" t="s">
        <v>249</v>
      </c>
      <c r="B130" s="41" t="s">
        <v>944</v>
      </c>
      <c r="C130" s="41" t="s">
        <v>167</v>
      </c>
      <c r="D130" s="41"/>
      <c r="E130" s="41"/>
      <c r="F130" s="41"/>
      <c r="G130" s="10">
        <f aca="true" t="shared" si="24" ref="G130:H130">G131</f>
        <v>0</v>
      </c>
      <c r="H130" s="10">
        <f t="shared" si="24"/>
        <v>0</v>
      </c>
    </row>
    <row r="131" spans="1:8" ht="31.5" hidden="1">
      <c r="A131" s="46" t="s">
        <v>254</v>
      </c>
      <c r="B131" s="41" t="s">
        <v>944</v>
      </c>
      <c r="C131" s="41" t="s">
        <v>167</v>
      </c>
      <c r="D131" s="41" t="s">
        <v>255</v>
      </c>
      <c r="E131" s="41"/>
      <c r="F131" s="41"/>
      <c r="G131" s="10">
        <f>G132+G136</f>
        <v>0</v>
      </c>
      <c r="H131" s="10">
        <f>H132+H136</f>
        <v>0</v>
      </c>
    </row>
    <row r="132" spans="1:8" ht="47.25" hidden="1">
      <c r="A132" s="384" t="s">
        <v>1235</v>
      </c>
      <c r="B132" s="20" t="s">
        <v>1233</v>
      </c>
      <c r="C132" s="41" t="s">
        <v>167</v>
      </c>
      <c r="D132" s="41" t="s">
        <v>255</v>
      </c>
      <c r="E132" s="41"/>
      <c r="F132" s="41"/>
      <c r="G132" s="10">
        <f>G133</f>
        <v>0</v>
      </c>
      <c r="H132" s="10">
        <f>H133</f>
        <v>0</v>
      </c>
    </row>
    <row r="133" spans="1:8" ht="31.5" hidden="1">
      <c r="A133" s="25" t="s">
        <v>148</v>
      </c>
      <c r="B133" s="20" t="s">
        <v>1233</v>
      </c>
      <c r="C133" s="41" t="s">
        <v>167</v>
      </c>
      <c r="D133" s="41" t="s">
        <v>255</v>
      </c>
      <c r="E133" s="41" t="s">
        <v>149</v>
      </c>
      <c r="F133" s="41"/>
      <c r="G133" s="10">
        <f>G134</f>
        <v>0</v>
      </c>
      <c r="H133" s="10">
        <f>H134</f>
        <v>0</v>
      </c>
    </row>
    <row r="134" spans="1:8" ht="47.25" hidden="1">
      <c r="A134" s="25" t="s">
        <v>150</v>
      </c>
      <c r="B134" s="20" t="s">
        <v>1233</v>
      </c>
      <c r="C134" s="41" t="s">
        <v>167</v>
      </c>
      <c r="D134" s="41" t="s">
        <v>255</v>
      </c>
      <c r="E134" s="41" t="s">
        <v>151</v>
      </c>
      <c r="F134" s="41"/>
      <c r="G134" s="10">
        <f>'пр.6.1.ведом.21-22'!G253</f>
        <v>0</v>
      </c>
      <c r="H134" s="10">
        <f>'пр.6.1.ведом.21-22'!H253</f>
        <v>0</v>
      </c>
    </row>
    <row r="135" spans="1:8" ht="47.25" hidden="1">
      <c r="A135" s="46" t="s">
        <v>278</v>
      </c>
      <c r="B135" s="20" t="s">
        <v>1233</v>
      </c>
      <c r="C135" s="41" t="s">
        <v>167</v>
      </c>
      <c r="D135" s="41" t="s">
        <v>255</v>
      </c>
      <c r="E135" s="41" t="s">
        <v>151</v>
      </c>
      <c r="F135" s="9" t="s">
        <v>645</v>
      </c>
      <c r="G135" s="10">
        <f>G134</f>
        <v>0</v>
      </c>
      <c r="H135" s="10">
        <f>H134</f>
        <v>0</v>
      </c>
    </row>
    <row r="136" spans="1:8" ht="47.25" hidden="1">
      <c r="A136" s="25" t="s">
        <v>394</v>
      </c>
      <c r="B136" s="20" t="s">
        <v>1234</v>
      </c>
      <c r="C136" s="41" t="s">
        <v>167</v>
      </c>
      <c r="D136" s="41" t="s">
        <v>255</v>
      </c>
      <c r="E136" s="41"/>
      <c r="F136" s="41"/>
      <c r="G136" s="10">
        <f>G137</f>
        <v>0</v>
      </c>
      <c r="H136" s="10">
        <f>H137</f>
        <v>0</v>
      </c>
    </row>
    <row r="137" spans="1:8" ht="31.5" hidden="1">
      <c r="A137" s="25" t="s">
        <v>148</v>
      </c>
      <c r="B137" s="20" t="s">
        <v>1234</v>
      </c>
      <c r="C137" s="41" t="s">
        <v>167</v>
      </c>
      <c r="D137" s="41" t="s">
        <v>255</v>
      </c>
      <c r="E137" s="41" t="s">
        <v>149</v>
      </c>
      <c r="F137" s="41"/>
      <c r="G137" s="10">
        <f>G138</f>
        <v>0</v>
      </c>
      <c r="H137" s="10">
        <f>H138</f>
        <v>0</v>
      </c>
    </row>
    <row r="138" spans="1:8" ht="47.25" hidden="1">
      <c r="A138" s="25" t="s">
        <v>150</v>
      </c>
      <c r="B138" s="20" t="s">
        <v>1234</v>
      </c>
      <c r="C138" s="41" t="s">
        <v>167</v>
      </c>
      <c r="D138" s="41" t="s">
        <v>255</v>
      </c>
      <c r="E138" s="41" t="s">
        <v>151</v>
      </c>
      <c r="F138" s="41"/>
      <c r="G138" s="10">
        <f>'пр.6.1.ведом.21-22'!G256</f>
        <v>0</v>
      </c>
      <c r="H138" s="10">
        <f>'пр.6.1.ведом.21-22'!H256</f>
        <v>0</v>
      </c>
    </row>
    <row r="139" spans="1:8" ht="47.25" hidden="1">
      <c r="A139" s="46" t="s">
        <v>278</v>
      </c>
      <c r="B139" s="20" t="s">
        <v>1234</v>
      </c>
      <c r="C139" s="41" t="s">
        <v>167</v>
      </c>
      <c r="D139" s="41" t="s">
        <v>255</v>
      </c>
      <c r="E139" s="41" t="s">
        <v>151</v>
      </c>
      <c r="F139" s="9" t="s">
        <v>645</v>
      </c>
      <c r="G139" s="10">
        <f>G138</f>
        <v>0</v>
      </c>
      <c r="H139" s="10">
        <f>H138</f>
        <v>0</v>
      </c>
    </row>
    <row r="140" spans="1:8" s="252" customFormat="1" ht="47.25">
      <c r="A140" s="312" t="s">
        <v>1334</v>
      </c>
      <c r="B140" s="24" t="s">
        <v>1333</v>
      </c>
      <c r="C140" s="7"/>
      <c r="D140" s="7"/>
      <c r="E140" s="7"/>
      <c r="F140" s="7"/>
      <c r="G140" s="62">
        <f>G141</f>
        <v>10</v>
      </c>
      <c r="H140" s="62">
        <f>H141</f>
        <v>10</v>
      </c>
    </row>
    <row r="141" spans="1:8" s="252" customFormat="1" ht="15.75">
      <c r="A141" s="46" t="s">
        <v>249</v>
      </c>
      <c r="B141" s="41" t="s">
        <v>1333</v>
      </c>
      <c r="C141" s="41" t="s">
        <v>167</v>
      </c>
      <c r="D141" s="41"/>
      <c r="E141" s="41"/>
      <c r="F141" s="41"/>
      <c r="G141" s="10">
        <f aca="true" t="shared" si="25" ref="G141:H141">G142</f>
        <v>10</v>
      </c>
      <c r="H141" s="10">
        <f t="shared" si="25"/>
        <v>10</v>
      </c>
    </row>
    <row r="142" spans="1:8" s="252" customFormat="1" ht="31.5">
      <c r="A142" s="46" t="s">
        <v>254</v>
      </c>
      <c r="B142" s="41" t="s">
        <v>1333</v>
      </c>
      <c r="C142" s="41" t="s">
        <v>167</v>
      </c>
      <c r="D142" s="41" t="s">
        <v>255</v>
      </c>
      <c r="E142" s="41"/>
      <c r="F142" s="41"/>
      <c r="G142" s="10">
        <f aca="true" t="shared" si="26" ref="G142:H144">G143</f>
        <v>10</v>
      </c>
      <c r="H142" s="10">
        <f t="shared" si="26"/>
        <v>10</v>
      </c>
    </row>
    <row r="143" spans="1:8" s="252" customFormat="1" ht="31.5">
      <c r="A143" s="352" t="s">
        <v>1335</v>
      </c>
      <c r="B143" s="20" t="s">
        <v>1377</v>
      </c>
      <c r="C143" s="41" t="s">
        <v>167</v>
      </c>
      <c r="D143" s="41" t="s">
        <v>255</v>
      </c>
      <c r="E143" s="41"/>
      <c r="F143" s="41"/>
      <c r="G143" s="10">
        <f t="shared" si="26"/>
        <v>10</v>
      </c>
      <c r="H143" s="10">
        <f t="shared" si="26"/>
        <v>10</v>
      </c>
    </row>
    <row r="144" spans="1:8" s="252" customFormat="1" ht="31.5">
      <c r="A144" s="25" t="s">
        <v>148</v>
      </c>
      <c r="B144" s="20" t="s">
        <v>1377</v>
      </c>
      <c r="C144" s="41" t="s">
        <v>167</v>
      </c>
      <c r="D144" s="41" t="s">
        <v>255</v>
      </c>
      <c r="E144" s="41" t="s">
        <v>149</v>
      </c>
      <c r="F144" s="41"/>
      <c r="G144" s="10">
        <f t="shared" si="26"/>
        <v>10</v>
      </c>
      <c r="H144" s="10">
        <f t="shared" si="26"/>
        <v>10</v>
      </c>
    </row>
    <row r="145" spans="1:8" s="252" customFormat="1" ht="47.25">
      <c r="A145" s="25" t="s">
        <v>150</v>
      </c>
      <c r="B145" s="20" t="s">
        <v>1377</v>
      </c>
      <c r="C145" s="41" t="s">
        <v>167</v>
      </c>
      <c r="D145" s="41" t="s">
        <v>255</v>
      </c>
      <c r="E145" s="41" t="s">
        <v>151</v>
      </c>
      <c r="F145" s="41"/>
      <c r="G145" s="10">
        <f>'пр.6.1.ведом.21-22'!G260</f>
        <v>10</v>
      </c>
      <c r="H145" s="10">
        <f>'пр.6.1.ведом.21-22'!H260</f>
        <v>10</v>
      </c>
    </row>
    <row r="146" spans="1:8" s="252" customFormat="1" ht="47.25">
      <c r="A146" s="46" t="s">
        <v>278</v>
      </c>
      <c r="B146" s="20" t="s">
        <v>1377</v>
      </c>
      <c r="C146" s="41" t="s">
        <v>167</v>
      </c>
      <c r="D146" s="41" t="s">
        <v>255</v>
      </c>
      <c r="E146" s="41" t="s">
        <v>151</v>
      </c>
      <c r="F146" s="9" t="s">
        <v>645</v>
      </c>
      <c r="G146" s="10">
        <f>G145</f>
        <v>10</v>
      </c>
      <c r="H146" s="10">
        <f>H145</f>
        <v>10</v>
      </c>
    </row>
    <row r="147" spans="1:8" ht="110.25">
      <c r="A147" s="42" t="s">
        <v>397</v>
      </c>
      <c r="B147" s="7" t="s">
        <v>398</v>
      </c>
      <c r="C147" s="7"/>
      <c r="D147" s="7"/>
      <c r="E147" s="7"/>
      <c r="F147" s="8"/>
      <c r="G147" s="62">
        <f>G148</f>
        <v>60</v>
      </c>
      <c r="H147" s="62">
        <f>H148</f>
        <v>60</v>
      </c>
    </row>
    <row r="148" spans="1:8" ht="63">
      <c r="A148" s="382" t="s">
        <v>1236</v>
      </c>
      <c r="B148" s="7" t="s">
        <v>938</v>
      </c>
      <c r="C148" s="7"/>
      <c r="D148" s="7"/>
      <c r="E148" s="7"/>
      <c r="F148" s="8"/>
      <c r="G148" s="62">
        <f>G149</f>
        <v>60</v>
      </c>
      <c r="H148" s="62">
        <f>H149</f>
        <v>60</v>
      </c>
    </row>
    <row r="149" spans="1:8" ht="15.75">
      <c r="A149" s="46" t="s">
        <v>134</v>
      </c>
      <c r="B149" s="41" t="s">
        <v>938</v>
      </c>
      <c r="C149" s="41" t="s">
        <v>135</v>
      </c>
      <c r="D149" s="41"/>
      <c r="E149" s="41"/>
      <c r="F149" s="9"/>
      <c r="G149" s="10">
        <f aca="true" t="shared" si="27" ref="G149:H152">G150</f>
        <v>60</v>
      </c>
      <c r="H149" s="10">
        <f t="shared" si="27"/>
        <v>60</v>
      </c>
    </row>
    <row r="150" spans="1:8" ht="15.75">
      <c r="A150" s="46" t="s">
        <v>156</v>
      </c>
      <c r="B150" s="41" t="s">
        <v>938</v>
      </c>
      <c r="C150" s="41" t="s">
        <v>135</v>
      </c>
      <c r="D150" s="41" t="s">
        <v>157</v>
      </c>
      <c r="E150" s="41"/>
      <c r="F150" s="9"/>
      <c r="G150" s="10">
        <f>G151+G155</f>
        <v>60</v>
      </c>
      <c r="H150" s="10">
        <f>H151+H155</f>
        <v>60</v>
      </c>
    </row>
    <row r="151" spans="1:8" ht="47.25">
      <c r="A151" s="107" t="s">
        <v>1237</v>
      </c>
      <c r="B151" s="41" t="s">
        <v>939</v>
      </c>
      <c r="C151" s="41" t="s">
        <v>135</v>
      </c>
      <c r="D151" s="41" t="s">
        <v>157</v>
      </c>
      <c r="E151" s="41"/>
      <c r="F151" s="9"/>
      <c r="G151" s="10">
        <f t="shared" si="27"/>
        <v>60</v>
      </c>
      <c r="H151" s="10">
        <f t="shared" si="27"/>
        <v>60</v>
      </c>
    </row>
    <row r="152" spans="1:8" ht="31.5">
      <c r="A152" s="30" t="s">
        <v>148</v>
      </c>
      <c r="B152" s="41" t="s">
        <v>939</v>
      </c>
      <c r="C152" s="41" t="s">
        <v>135</v>
      </c>
      <c r="D152" s="41" t="s">
        <v>157</v>
      </c>
      <c r="E152" s="41" t="s">
        <v>149</v>
      </c>
      <c r="F152" s="9"/>
      <c r="G152" s="10">
        <f t="shared" si="27"/>
        <v>60</v>
      </c>
      <c r="H152" s="10">
        <f t="shared" si="27"/>
        <v>60</v>
      </c>
    </row>
    <row r="153" spans="1:8" ht="47.25">
      <c r="A153" s="30" t="s">
        <v>150</v>
      </c>
      <c r="B153" s="41" t="s">
        <v>939</v>
      </c>
      <c r="C153" s="41" t="s">
        <v>135</v>
      </c>
      <c r="D153" s="41" t="s">
        <v>157</v>
      </c>
      <c r="E153" s="41" t="s">
        <v>151</v>
      </c>
      <c r="F153" s="9"/>
      <c r="G153" s="10">
        <f>'пр.6.1.ведом.21-22'!G206</f>
        <v>60</v>
      </c>
      <c r="H153" s="10">
        <f>'пр.6.1.ведом.21-22'!H206</f>
        <v>60</v>
      </c>
    </row>
    <row r="154" spans="1:8" ht="47.25">
      <c r="A154" s="46" t="s">
        <v>278</v>
      </c>
      <c r="B154" s="41" t="s">
        <v>939</v>
      </c>
      <c r="C154" s="41" t="s">
        <v>135</v>
      </c>
      <c r="D154" s="41" t="s">
        <v>157</v>
      </c>
      <c r="E154" s="41" t="s">
        <v>151</v>
      </c>
      <c r="F154" s="9" t="s">
        <v>645</v>
      </c>
      <c r="G154" s="10">
        <f>G153</f>
        <v>60</v>
      </c>
      <c r="H154" s="10">
        <f>H153</f>
        <v>60</v>
      </c>
    </row>
    <row r="155" spans="1:8" ht="47.25" hidden="1">
      <c r="A155" s="36" t="s">
        <v>941</v>
      </c>
      <c r="B155" s="20" t="s">
        <v>940</v>
      </c>
      <c r="C155" s="41" t="s">
        <v>135</v>
      </c>
      <c r="D155" s="41" t="s">
        <v>157</v>
      </c>
      <c r="E155" s="41"/>
      <c r="F155" s="9"/>
      <c r="G155" s="10">
        <f>G156</f>
        <v>0</v>
      </c>
      <c r="H155" s="10">
        <f>H156</f>
        <v>0</v>
      </c>
    </row>
    <row r="156" spans="1:8" ht="31.5" hidden="1">
      <c r="A156" s="25" t="s">
        <v>148</v>
      </c>
      <c r="B156" s="20" t="s">
        <v>940</v>
      </c>
      <c r="C156" s="41" t="s">
        <v>135</v>
      </c>
      <c r="D156" s="41" t="s">
        <v>157</v>
      </c>
      <c r="E156" s="41" t="s">
        <v>149</v>
      </c>
      <c r="F156" s="9"/>
      <c r="G156" s="10">
        <f>G157</f>
        <v>0</v>
      </c>
      <c r="H156" s="10">
        <f>H157</f>
        <v>0</v>
      </c>
    </row>
    <row r="157" spans="1:8" ht="47.25" hidden="1">
      <c r="A157" s="25" t="s">
        <v>150</v>
      </c>
      <c r="B157" s="20" t="s">
        <v>940</v>
      </c>
      <c r="C157" s="41" t="s">
        <v>135</v>
      </c>
      <c r="D157" s="41" t="s">
        <v>157</v>
      </c>
      <c r="E157" s="41" t="s">
        <v>151</v>
      </c>
      <c r="F157" s="9"/>
      <c r="G157" s="10">
        <f>'пр.6.1.ведом.21-22'!G209</f>
        <v>0</v>
      </c>
      <c r="H157" s="10">
        <f>'пр.6.1.ведом.21-22'!H209</f>
        <v>0</v>
      </c>
    </row>
    <row r="158" spans="1:8" ht="47.25" hidden="1">
      <c r="A158" s="46" t="s">
        <v>278</v>
      </c>
      <c r="B158" s="20" t="s">
        <v>940</v>
      </c>
      <c r="C158" s="41" t="s">
        <v>135</v>
      </c>
      <c r="D158" s="41" t="s">
        <v>157</v>
      </c>
      <c r="E158" s="41" t="s">
        <v>151</v>
      </c>
      <c r="F158" s="9" t="s">
        <v>645</v>
      </c>
      <c r="G158" s="10">
        <f>G157</f>
        <v>0</v>
      </c>
      <c r="H158" s="10">
        <f>H157</f>
        <v>0</v>
      </c>
    </row>
    <row r="159" spans="1:8" ht="47.25">
      <c r="A159" s="60" t="s">
        <v>443</v>
      </c>
      <c r="B159" s="7" t="s">
        <v>423</v>
      </c>
      <c r="C159" s="7"/>
      <c r="D159" s="7"/>
      <c r="E159" s="7"/>
      <c r="F159" s="7"/>
      <c r="G159" s="62">
        <f>G160+G243+G285+G345+G353</f>
        <v>277019</v>
      </c>
      <c r="H159" s="62">
        <f>H160+H243+H285+H345+H353</f>
        <v>277019</v>
      </c>
    </row>
    <row r="160" spans="1:8" ht="47.25">
      <c r="A160" s="42" t="s">
        <v>424</v>
      </c>
      <c r="B160" s="7" t="s">
        <v>425</v>
      </c>
      <c r="C160" s="7"/>
      <c r="D160" s="7"/>
      <c r="E160" s="7"/>
      <c r="F160" s="7"/>
      <c r="G160" s="62">
        <f>G161+G190</f>
        <v>250843.1</v>
      </c>
      <c r="H160" s="62">
        <f>H161+H190</f>
        <v>250843.1</v>
      </c>
    </row>
    <row r="161" spans="1:8" ht="47.25">
      <c r="A161" s="23" t="s">
        <v>1036</v>
      </c>
      <c r="B161" s="24" t="s">
        <v>1014</v>
      </c>
      <c r="C161" s="7"/>
      <c r="D161" s="7"/>
      <c r="E161" s="7"/>
      <c r="F161" s="7"/>
      <c r="G161" s="62">
        <f>G162</f>
        <v>75945</v>
      </c>
      <c r="H161" s="62">
        <f>H162</f>
        <v>75945</v>
      </c>
    </row>
    <row r="162" spans="1:8" ht="15.75">
      <c r="A162" s="30" t="s">
        <v>280</v>
      </c>
      <c r="B162" s="41" t="s">
        <v>1014</v>
      </c>
      <c r="C162" s="41" t="s">
        <v>281</v>
      </c>
      <c r="D162" s="41"/>
      <c r="E162" s="41"/>
      <c r="F162" s="41"/>
      <c r="G162" s="10">
        <f>G163+G172+G185</f>
        <v>75945</v>
      </c>
      <c r="H162" s="10">
        <f>H163+H172+H185</f>
        <v>75945</v>
      </c>
    </row>
    <row r="163" spans="1:8" ht="15.75">
      <c r="A163" s="46" t="s">
        <v>421</v>
      </c>
      <c r="B163" s="41" t="s">
        <v>1014</v>
      </c>
      <c r="C163" s="41" t="s">
        <v>281</v>
      </c>
      <c r="D163" s="41" t="s">
        <v>135</v>
      </c>
      <c r="E163" s="41"/>
      <c r="F163" s="41"/>
      <c r="G163" s="10">
        <f>G164+G168</f>
        <v>13527</v>
      </c>
      <c r="H163" s="10">
        <f>H164+H168</f>
        <v>13527</v>
      </c>
    </row>
    <row r="164" spans="1:8" ht="63">
      <c r="A164" s="25" t="s">
        <v>1071</v>
      </c>
      <c r="B164" s="20" t="s">
        <v>1070</v>
      </c>
      <c r="C164" s="41" t="s">
        <v>281</v>
      </c>
      <c r="D164" s="41" t="s">
        <v>135</v>
      </c>
      <c r="E164" s="41"/>
      <c r="F164" s="41"/>
      <c r="G164" s="10">
        <f aca="true" t="shared" si="28" ref="G164:H165">G165</f>
        <v>8224.3</v>
      </c>
      <c r="H164" s="10">
        <f t="shared" si="28"/>
        <v>8224.3</v>
      </c>
    </row>
    <row r="165" spans="1:8" ht="47.25">
      <c r="A165" s="25" t="s">
        <v>289</v>
      </c>
      <c r="B165" s="20" t="s">
        <v>1070</v>
      </c>
      <c r="C165" s="41" t="s">
        <v>281</v>
      </c>
      <c r="D165" s="41" t="s">
        <v>135</v>
      </c>
      <c r="E165" s="41" t="s">
        <v>290</v>
      </c>
      <c r="F165" s="41"/>
      <c r="G165" s="10">
        <f t="shared" si="28"/>
        <v>8224.3</v>
      </c>
      <c r="H165" s="10">
        <f t="shared" si="28"/>
        <v>8224.3</v>
      </c>
    </row>
    <row r="166" spans="1:8" ht="15.75">
      <c r="A166" s="25" t="s">
        <v>291</v>
      </c>
      <c r="B166" s="20" t="s">
        <v>1070</v>
      </c>
      <c r="C166" s="41" t="s">
        <v>281</v>
      </c>
      <c r="D166" s="41" t="s">
        <v>135</v>
      </c>
      <c r="E166" s="41" t="s">
        <v>292</v>
      </c>
      <c r="F166" s="41"/>
      <c r="G166" s="6">
        <f>'пр.6.1.ведом.21-22'!G504</f>
        <v>8224.3</v>
      </c>
      <c r="H166" s="6">
        <f>'пр.6.1.ведом.21-22'!H504</f>
        <v>8224.3</v>
      </c>
    </row>
    <row r="167" spans="1:8" ht="31.5">
      <c r="A167" s="30" t="s">
        <v>420</v>
      </c>
      <c r="B167" s="20" t="s">
        <v>1070</v>
      </c>
      <c r="C167" s="41" t="s">
        <v>281</v>
      </c>
      <c r="D167" s="41" t="s">
        <v>135</v>
      </c>
      <c r="E167" s="41" t="s">
        <v>292</v>
      </c>
      <c r="F167" s="41" t="s">
        <v>654</v>
      </c>
      <c r="G167" s="10">
        <f>G166</f>
        <v>8224.3</v>
      </c>
      <c r="H167" s="10">
        <f>H166</f>
        <v>8224.3</v>
      </c>
    </row>
    <row r="168" spans="1:8" ht="63">
      <c r="A168" s="25" t="s">
        <v>1255</v>
      </c>
      <c r="B168" s="20" t="s">
        <v>1072</v>
      </c>
      <c r="C168" s="41" t="s">
        <v>281</v>
      </c>
      <c r="D168" s="41" t="s">
        <v>135</v>
      </c>
      <c r="E168" s="41"/>
      <c r="F168" s="41"/>
      <c r="G168" s="6">
        <f>G169</f>
        <v>5302.7</v>
      </c>
      <c r="H168" s="6">
        <f>H169</f>
        <v>5302.7</v>
      </c>
    </row>
    <row r="169" spans="1:8" ht="47.25">
      <c r="A169" s="25" t="s">
        <v>289</v>
      </c>
      <c r="B169" s="20" t="s">
        <v>1072</v>
      </c>
      <c r="C169" s="41" t="s">
        <v>281</v>
      </c>
      <c r="D169" s="41" t="s">
        <v>135</v>
      </c>
      <c r="E169" s="41" t="s">
        <v>290</v>
      </c>
      <c r="F169" s="41"/>
      <c r="G169" s="6">
        <f>G170</f>
        <v>5302.7</v>
      </c>
      <c r="H169" s="6">
        <f>H170</f>
        <v>5302.7</v>
      </c>
    </row>
    <row r="170" spans="1:8" ht="15.75">
      <c r="A170" s="25" t="s">
        <v>291</v>
      </c>
      <c r="B170" s="20" t="s">
        <v>1072</v>
      </c>
      <c r="C170" s="41" t="s">
        <v>281</v>
      </c>
      <c r="D170" s="41" t="s">
        <v>135</v>
      </c>
      <c r="E170" s="41" t="s">
        <v>292</v>
      </c>
      <c r="F170" s="41"/>
      <c r="G170" s="6">
        <f>'пр.6.1.ведом.21-22'!G507</f>
        <v>5302.7</v>
      </c>
      <c r="H170" s="6">
        <f>'пр.6.1.ведом.21-22'!H507</f>
        <v>5302.7</v>
      </c>
    </row>
    <row r="171" spans="1:8" ht="31.5">
      <c r="A171" s="30" t="s">
        <v>420</v>
      </c>
      <c r="B171" s="20" t="s">
        <v>1072</v>
      </c>
      <c r="C171" s="41" t="s">
        <v>281</v>
      </c>
      <c r="D171" s="41" t="s">
        <v>135</v>
      </c>
      <c r="E171" s="41" t="s">
        <v>292</v>
      </c>
      <c r="F171" s="41" t="s">
        <v>654</v>
      </c>
      <c r="G171" s="10">
        <f>G170</f>
        <v>5302.7</v>
      </c>
      <c r="H171" s="10">
        <f>H170</f>
        <v>5302.7</v>
      </c>
    </row>
    <row r="172" spans="1:8" ht="15.75">
      <c r="A172" s="30" t="s">
        <v>442</v>
      </c>
      <c r="B172" s="41" t="s">
        <v>1014</v>
      </c>
      <c r="C172" s="41" t="s">
        <v>281</v>
      </c>
      <c r="D172" s="41" t="s">
        <v>230</v>
      </c>
      <c r="E172" s="41"/>
      <c r="F172" s="41"/>
      <c r="G172" s="10">
        <f>G173+G177+G181</f>
        <v>29803</v>
      </c>
      <c r="H172" s="10">
        <f>H173+H177+H181</f>
        <v>29803</v>
      </c>
    </row>
    <row r="173" spans="1:8" ht="63">
      <c r="A173" s="25" t="s">
        <v>1076</v>
      </c>
      <c r="B173" s="20" t="s">
        <v>1073</v>
      </c>
      <c r="C173" s="41" t="s">
        <v>281</v>
      </c>
      <c r="D173" s="41" t="s">
        <v>230</v>
      </c>
      <c r="E173" s="41"/>
      <c r="F173" s="41"/>
      <c r="G173" s="10">
        <f aca="true" t="shared" si="29" ref="G173:H174">G174</f>
        <v>9775.400000000001</v>
      </c>
      <c r="H173" s="10">
        <f t="shared" si="29"/>
        <v>9775.400000000001</v>
      </c>
    </row>
    <row r="174" spans="1:8" ht="47.25">
      <c r="A174" s="25" t="s">
        <v>289</v>
      </c>
      <c r="B174" s="20" t="s">
        <v>1073</v>
      </c>
      <c r="C174" s="41" t="s">
        <v>281</v>
      </c>
      <c r="D174" s="41" t="s">
        <v>230</v>
      </c>
      <c r="E174" s="41" t="s">
        <v>290</v>
      </c>
      <c r="F174" s="41"/>
      <c r="G174" s="10">
        <f t="shared" si="29"/>
        <v>9775.400000000001</v>
      </c>
      <c r="H174" s="10">
        <f t="shared" si="29"/>
        <v>9775.400000000001</v>
      </c>
    </row>
    <row r="175" spans="1:8" ht="15.75">
      <c r="A175" s="25" t="s">
        <v>291</v>
      </c>
      <c r="B175" s="20" t="s">
        <v>1073</v>
      </c>
      <c r="C175" s="41" t="s">
        <v>281</v>
      </c>
      <c r="D175" s="41" t="s">
        <v>230</v>
      </c>
      <c r="E175" s="41" t="s">
        <v>292</v>
      </c>
      <c r="F175" s="41"/>
      <c r="G175" s="6">
        <f>'пр.6.1.ведом.21-22'!G565</f>
        <v>9775.400000000001</v>
      </c>
      <c r="H175" s="6">
        <f>'пр.6.1.ведом.21-22'!H565</f>
        <v>9775.400000000001</v>
      </c>
    </row>
    <row r="176" spans="1:8" ht="31.5">
      <c r="A176" s="30" t="s">
        <v>420</v>
      </c>
      <c r="B176" s="20" t="s">
        <v>1073</v>
      </c>
      <c r="C176" s="41" t="s">
        <v>281</v>
      </c>
      <c r="D176" s="41" t="s">
        <v>230</v>
      </c>
      <c r="E176" s="41" t="s">
        <v>292</v>
      </c>
      <c r="F176" s="41" t="s">
        <v>654</v>
      </c>
      <c r="G176" s="10">
        <f>G175</f>
        <v>9775.400000000001</v>
      </c>
      <c r="H176" s="10">
        <f>H175</f>
        <v>9775.400000000001</v>
      </c>
    </row>
    <row r="177" spans="1:8" ht="63">
      <c r="A177" s="25" t="s">
        <v>1077</v>
      </c>
      <c r="B177" s="20" t="s">
        <v>1074</v>
      </c>
      <c r="C177" s="41" t="s">
        <v>281</v>
      </c>
      <c r="D177" s="41" t="s">
        <v>230</v>
      </c>
      <c r="E177" s="41"/>
      <c r="F177" s="41"/>
      <c r="G177" s="6">
        <f>G178</f>
        <v>13351.7</v>
      </c>
      <c r="H177" s="6">
        <f>H178</f>
        <v>13351.7</v>
      </c>
    </row>
    <row r="178" spans="1:8" ht="47.25">
      <c r="A178" s="25" t="s">
        <v>289</v>
      </c>
      <c r="B178" s="20" t="s">
        <v>1074</v>
      </c>
      <c r="C178" s="41" t="s">
        <v>281</v>
      </c>
      <c r="D178" s="41" t="s">
        <v>230</v>
      </c>
      <c r="E178" s="41" t="s">
        <v>290</v>
      </c>
      <c r="F178" s="41"/>
      <c r="G178" s="6">
        <f>G179</f>
        <v>13351.7</v>
      </c>
      <c r="H178" s="6">
        <f>H179</f>
        <v>13351.7</v>
      </c>
    </row>
    <row r="179" spans="1:8" ht="15.75">
      <c r="A179" s="25" t="s">
        <v>291</v>
      </c>
      <c r="B179" s="20" t="s">
        <v>1074</v>
      </c>
      <c r="C179" s="41" t="s">
        <v>281</v>
      </c>
      <c r="D179" s="41" t="s">
        <v>230</v>
      </c>
      <c r="E179" s="41" t="s">
        <v>292</v>
      </c>
      <c r="F179" s="41"/>
      <c r="G179" s="6">
        <f>'пр.6.1.ведом.21-22'!G568</f>
        <v>13351.7</v>
      </c>
      <c r="H179" s="6">
        <f>'пр.6.1.ведом.21-22'!H568</f>
        <v>13351.7</v>
      </c>
    </row>
    <row r="180" spans="1:8" ht="31.5">
      <c r="A180" s="30" t="s">
        <v>420</v>
      </c>
      <c r="B180" s="20" t="s">
        <v>1074</v>
      </c>
      <c r="C180" s="41" t="s">
        <v>281</v>
      </c>
      <c r="D180" s="41" t="s">
        <v>230</v>
      </c>
      <c r="E180" s="41" t="s">
        <v>292</v>
      </c>
      <c r="F180" s="41" t="s">
        <v>654</v>
      </c>
      <c r="G180" s="10">
        <f>G179</f>
        <v>13351.7</v>
      </c>
      <c r="H180" s="10">
        <f>H179</f>
        <v>13351.7</v>
      </c>
    </row>
    <row r="181" spans="1:8" ht="63">
      <c r="A181" s="25" t="s">
        <v>1078</v>
      </c>
      <c r="B181" s="20" t="s">
        <v>1075</v>
      </c>
      <c r="C181" s="41" t="s">
        <v>281</v>
      </c>
      <c r="D181" s="41" t="s">
        <v>230</v>
      </c>
      <c r="E181" s="41"/>
      <c r="F181" s="41"/>
      <c r="G181" s="6">
        <f>G182</f>
        <v>6675.9</v>
      </c>
      <c r="H181" s="6">
        <f>H182</f>
        <v>6675.9</v>
      </c>
    </row>
    <row r="182" spans="1:8" ht="47.25">
      <c r="A182" s="25" t="s">
        <v>289</v>
      </c>
      <c r="B182" s="20" t="s">
        <v>1075</v>
      </c>
      <c r="C182" s="41" t="s">
        <v>281</v>
      </c>
      <c r="D182" s="41" t="s">
        <v>230</v>
      </c>
      <c r="E182" s="41" t="s">
        <v>290</v>
      </c>
      <c r="F182" s="41"/>
      <c r="G182" s="6">
        <f>G183</f>
        <v>6675.9</v>
      </c>
      <c r="H182" s="6">
        <f>H183</f>
        <v>6675.9</v>
      </c>
    </row>
    <row r="183" spans="1:8" ht="15.75">
      <c r="A183" s="25" t="s">
        <v>291</v>
      </c>
      <c r="B183" s="20" t="s">
        <v>1075</v>
      </c>
      <c r="C183" s="41" t="s">
        <v>281</v>
      </c>
      <c r="D183" s="41" t="s">
        <v>230</v>
      </c>
      <c r="E183" s="41" t="s">
        <v>292</v>
      </c>
      <c r="F183" s="41"/>
      <c r="G183" s="6">
        <f>'пр.6.1.ведом.21-22'!G571</f>
        <v>6675.9</v>
      </c>
      <c r="H183" s="6">
        <f>'пр.6.1.ведом.21-22'!H571</f>
        <v>6675.9</v>
      </c>
    </row>
    <row r="184" spans="1:8" ht="31.5">
      <c r="A184" s="30" t="s">
        <v>420</v>
      </c>
      <c r="B184" s="20" t="s">
        <v>1075</v>
      </c>
      <c r="C184" s="41" t="s">
        <v>281</v>
      </c>
      <c r="D184" s="41" t="s">
        <v>230</v>
      </c>
      <c r="E184" s="41" t="s">
        <v>292</v>
      </c>
      <c r="F184" s="41" t="s">
        <v>654</v>
      </c>
      <c r="G184" s="10">
        <f>G183</f>
        <v>6675.9</v>
      </c>
      <c r="H184" s="10">
        <f>H183</f>
        <v>6675.9</v>
      </c>
    </row>
    <row r="185" spans="1:8" ht="15.75">
      <c r="A185" s="30" t="s">
        <v>282</v>
      </c>
      <c r="B185" s="41" t="s">
        <v>1014</v>
      </c>
      <c r="C185" s="41" t="s">
        <v>281</v>
      </c>
      <c r="D185" s="41" t="s">
        <v>232</v>
      </c>
      <c r="E185" s="41"/>
      <c r="F185" s="41"/>
      <c r="G185" s="6">
        <f aca="true" t="shared" si="30" ref="G185:H187">G186</f>
        <v>32614.999999999996</v>
      </c>
      <c r="H185" s="6">
        <f t="shared" si="30"/>
        <v>32614.999999999996</v>
      </c>
    </row>
    <row r="186" spans="1:8" ht="47.25">
      <c r="A186" s="30" t="s">
        <v>287</v>
      </c>
      <c r="B186" s="20" t="s">
        <v>1059</v>
      </c>
      <c r="C186" s="41" t="s">
        <v>281</v>
      </c>
      <c r="D186" s="41" t="s">
        <v>232</v>
      </c>
      <c r="E186" s="7"/>
      <c r="F186" s="7"/>
      <c r="G186" s="10">
        <f t="shared" si="30"/>
        <v>32614.999999999996</v>
      </c>
      <c r="H186" s="10">
        <f t="shared" si="30"/>
        <v>32614.999999999996</v>
      </c>
    </row>
    <row r="187" spans="1:8" ht="47.25">
      <c r="A187" s="30" t="s">
        <v>289</v>
      </c>
      <c r="B187" s="20" t="s">
        <v>1059</v>
      </c>
      <c r="C187" s="41" t="s">
        <v>281</v>
      </c>
      <c r="D187" s="41" t="s">
        <v>232</v>
      </c>
      <c r="E187" s="41" t="s">
        <v>290</v>
      </c>
      <c r="F187" s="41"/>
      <c r="G187" s="10">
        <f t="shared" si="30"/>
        <v>32614.999999999996</v>
      </c>
      <c r="H187" s="10">
        <f t="shared" si="30"/>
        <v>32614.999999999996</v>
      </c>
    </row>
    <row r="188" spans="1:8" ht="15.75">
      <c r="A188" s="30" t="s">
        <v>291</v>
      </c>
      <c r="B188" s="20" t="s">
        <v>1059</v>
      </c>
      <c r="C188" s="41" t="s">
        <v>281</v>
      </c>
      <c r="D188" s="41" t="s">
        <v>232</v>
      </c>
      <c r="E188" s="41" t="s">
        <v>292</v>
      </c>
      <c r="F188" s="41"/>
      <c r="G188" s="6">
        <f>'пр.6.1.ведом.21-22'!G643</f>
        <v>32614.999999999996</v>
      </c>
      <c r="H188" s="6">
        <f>'пр.6.1.ведом.21-22'!H643</f>
        <v>32614.999999999996</v>
      </c>
    </row>
    <row r="189" spans="1:8" ht="31.5">
      <c r="A189" s="30" t="s">
        <v>420</v>
      </c>
      <c r="B189" s="20" t="s">
        <v>1059</v>
      </c>
      <c r="C189" s="41" t="s">
        <v>281</v>
      </c>
      <c r="D189" s="41" t="s">
        <v>232</v>
      </c>
      <c r="E189" s="41" t="s">
        <v>292</v>
      </c>
      <c r="F189" s="41" t="s">
        <v>654</v>
      </c>
      <c r="G189" s="10">
        <f>G188</f>
        <v>32614.999999999996</v>
      </c>
      <c r="H189" s="10">
        <f>H188</f>
        <v>32614.999999999996</v>
      </c>
    </row>
    <row r="190" spans="1:8" ht="47.25">
      <c r="A190" s="23" t="s">
        <v>976</v>
      </c>
      <c r="B190" s="24" t="s">
        <v>1029</v>
      </c>
      <c r="C190" s="7"/>
      <c r="D190" s="7"/>
      <c r="E190" s="7"/>
      <c r="F190" s="7"/>
      <c r="G190" s="4">
        <f>G191</f>
        <v>174898.1</v>
      </c>
      <c r="H190" s="4">
        <f>H191</f>
        <v>174898.1</v>
      </c>
    </row>
    <row r="191" spans="1:8" ht="15.75">
      <c r="A191" s="30" t="s">
        <v>280</v>
      </c>
      <c r="B191" s="41" t="s">
        <v>1029</v>
      </c>
      <c r="C191" s="41" t="s">
        <v>281</v>
      </c>
      <c r="D191" s="41"/>
      <c r="E191" s="41"/>
      <c r="F191" s="41"/>
      <c r="G191" s="10">
        <f>G192+G209+G230</f>
        <v>174898.1</v>
      </c>
      <c r="H191" s="10">
        <f>H192+H209+H230</f>
        <v>174898.1</v>
      </c>
    </row>
    <row r="192" spans="1:8" ht="15.75">
      <c r="A192" s="46" t="s">
        <v>421</v>
      </c>
      <c r="B192" s="41" t="s">
        <v>1029</v>
      </c>
      <c r="C192" s="41" t="s">
        <v>281</v>
      </c>
      <c r="D192" s="41" t="s">
        <v>135</v>
      </c>
      <c r="E192" s="41"/>
      <c r="F192" s="41"/>
      <c r="G192" s="10">
        <f>G193+G197+G201+G205</f>
        <v>73039.4</v>
      </c>
      <c r="H192" s="10">
        <f>H193+H197+H201+H205</f>
        <v>73039.4</v>
      </c>
    </row>
    <row r="193" spans="1:8" ht="78.75">
      <c r="A193" s="32" t="s">
        <v>306</v>
      </c>
      <c r="B193" s="20" t="s">
        <v>1028</v>
      </c>
      <c r="C193" s="41" t="s">
        <v>281</v>
      </c>
      <c r="D193" s="41" t="s">
        <v>135</v>
      </c>
      <c r="E193" s="41"/>
      <c r="F193" s="41"/>
      <c r="G193" s="6">
        <f>G194</f>
        <v>363.7</v>
      </c>
      <c r="H193" s="6">
        <f>H194</f>
        <v>363.7</v>
      </c>
    </row>
    <row r="194" spans="1:8" ht="47.25">
      <c r="A194" s="25" t="s">
        <v>289</v>
      </c>
      <c r="B194" s="20" t="s">
        <v>1028</v>
      </c>
      <c r="C194" s="41" t="s">
        <v>281</v>
      </c>
      <c r="D194" s="41" t="s">
        <v>135</v>
      </c>
      <c r="E194" s="41" t="s">
        <v>290</v>
      </c>
      <c r="F194" s="41"/>
      <c r="G194" s="6">
        <f>G195</f>
        <v>363.7</v>
      </c>
      <c r="H194" s="6">
        <f>H195</f>
        <v>363.7</v>
      </c>
    </row>
    <row r="195" spans="1:8" ht="15.75">
      <c r="A195" s="25" t="s">
        <v>291</v>
      </c>
      <c r="B195" s="20" t="s">
        <v>1028</v>
      </c>
      <c r="C195" s="41" t="s">
        <v>281</v>
      </c>
      <c r="D195" s="41" t="s">
        <v>135</v>
      </c>
      <c r="E195" s="41" t="s">
        <v>292</v>
      </c>
      <c r="F195" s="41"/>
      <c r="G195" s="6">
        <f>'пр.6.1.ведом.21-22'!G511</f>
        <v>363.7</v>
      </c>
      <c r="H195" s="6">
        <f>'пр.6.1.ведом.21-22'!H511</f>
        <v>363.7</v>
      </c>
    </row>
    <row r="196" spans="1:8" ht="31.5">
      <c r="A196" s="30" t="s">
        <v>420</v>
      </c>
      <c r="B196" s="20" t="s">
        <v>1028</v>
      </c>
      <c r="C196" s="41" t="s">
        <v>281</v>
      </c>
      <c r="D196" s="41" t="s">
        <v>135</v>
      </c>
      <c r="E196" s="41" t="s">
        <v>292</v>
      </c>
      <c r="F196" s="41" t="s">
        <v>654</v>
      </c>
      <c r="G196" s="10">
        <f>G195</f>
        <v>363.7</v>
      </c>
      <c r="H196" s="10">
        <f>H195</f>
        <v>363.7</v>
      </c>
    </row>
    <row r="197" spans="1:8" ht="94.5">
      <c r="A197" s="32" t="s">
        <v>437</v>
      </c>
      <c r="B197" s="20" t="s">
        <v>1031</v>
      </c>
      <c r="C197" s="41" t="s">
        <v>281</v>
      </c>
      <c r="D197" s="41" t="s">
        <v>135</v>
      </c>
      <c r="E197" s="41"/>
      <c r="F197" s="41"/>
      <c r="G197" s="6">
        <f>G198</f>
        <v>1755.8</v>
      </c>
      <c r="H197" s="6">
        <f>H198</f>
        <v>1755.8</v>
      </c>
    </row>
    <row r="198" spans="1:8" ht="47.25">
      <c r="A198" s="25" t="s">
        <v>289</v>
      </c>
      <c r="B198" s="20" t="s">
        <v>1031</v>
      </c>
      <c r="C198" s="41" t="s">
        <v>281</v>
      </c>
      <c r="D198" s="41" t="s">
        <v>135</v>
      </c>
      <c r="E198" s="41" t="s">
        <v>290</v>
      </c>
      <c r="F198" s="41"/>
      <c r="G198" s="6">
        <f>G199</f>
        <v>1755.8</v>
      </c>
      <c r="H198" s="6">
        <f>H199</f>
        <v>1755.8</v>
      </c>
    </row>
    <row r="199" spans="1:8" ht="15.75">
      <c r="A199" s="25" t="s">
        <v>291</v>
      </c>
      <c r="B199" s="20" t="s">
        <v>1031</v>
      </c>
      <c r="C199" s="41" t="s">
        <v>281</v>
      </c>
      <c r="D199" s="41" t="s">
        <v>135</v>
      </c>
      <c r="E199" s="41" t="s">
        <v>292</v>
      </c>
      <c r="F199" s="41"/>
      <c r="G199" s="6">
        <f>'пр.6.1.ведом.21-22'!G514</f>
        <v>1755.8</v>
      </c>
      <c r="H199" s="6">
        <f>'пр.6.1.ведом.21-22'!H514</f>
        <v>1755.8</v>
      </c>
    </row>
    <row r="200" spans="1:8" ht="31.5">
      <c r="A200" s="30" t="s">
        <v>420</v>
      </c>
      <c r="B200" s="20" t="s">
        <v>1031</v>
      </c>
      <c r="C200" s="41" t="s">
        <v>281</v>
      </c>
      <c r="D200" s="41" t="s">
        <v>135</v>
      </c>
      <c r="E200" s="41" t="s">
        <v>292</v>
      </c>
      <c r="F200" s="41" t="s">
        <v>654</v>
      </c>
      <c r="G200" s="10">
        <f>G199</f>
        <v>1755.8</v>
      </c>
      <c r="H200" s="10">
        <f>H199</f>
        <v>1755.8</v>
      </c>
    </row>
    <row r="201" spans="1:8" ht="110.25">
      <c r="A201" s="32" t="s">
        <v>438</v>
      </c>
      <c r="B201" s="20" t="s">
        <v>1030</v>
      </c>
      <c r="C201" s="41" t="s">
        <v>281</v>
      </c>
      <c r="D201" s="41" t="s">
        <v>135</v>
      </c>
      <c r="E201" s="41"/>
      <c r="F201" s="41"/>
      <c r="G201" s="6">
        <f>G202</f>
        <v>68207.5</v>
      </c>
      <c r="H201" s="6">
        <f>H202</f>
        <v>68207.5</v>
      </c>
    </row>
    <row r="202" spans="1:8" ht="47.25">
      <c r="A202" s="25" t="s">
        <v>289</v>
      </c>
      <c r="B202" s="20" t="s">
        <v>1030</v>
      </c>
      <c r="C202" s="41" t="s">
        <v>281</v>
      </c>
      <c r="D202" s="41" t="s">
        <v>135</v>
      </c>
      <c r="E202" s="41" t="s">
        <v>290</v>
      </c>
      <c r="F202" s="41"/>
      <c r="G202" s="6">
        <f>G203</f>
        <v>68207.5</v>
      </c>
      <c r="H202" s="6">
        <f>H203</f>
        <v>68207.5</v>
      </c>
    </row>
    <row r="203" spans="1:8" ht="15.75">
      <c r="A203" s="25" t="s">
        <v>291</v>
      </c>
      <c r="B203" s="20" t="s">
        <v>1030</v>
      </c>
      <c r="C203" s="41" t="s">
        <v>281</v>
      </c>
      <c r="D203" s="41" t="s">
        <v>135</v>
      </c>
      <c r="E203" s="41" t="s">
        <v>292</v>
      </c>
      <c r="F203" s="41"/>
      <c r="G203" s="6">
        <f>'пр.6.1.ведом.21-22'!G517</f>
        <v>68207.5</v>
      </c>
      <c r="H203" s="6">
        <f>'пр.6.1.ведом.21-22'!H517</f>
        <v>68207.5</v>
      </c>
    </row>
    <row r="204" spans="1:8" ht="31.5">
      <c r="A204" s="30" t="s">
        <v>420</v>
      </c>
      <c r="B204" s="20" t="s">
        <v>1030</v>
      </c>
      <c r="C204" s="41" t="s">
        <v>281</v>
      </c>
      <c r="D204" s="41" t="s">
        <v>135</v>
      </c>
      <c r="E204" s="41" t="s">
        <v>292</v>
      </c>
      <c r="F204" s="41" t="s">
        <v>654</v>
      </c>
      <c r="G204" s="10">
        <f>G203</f>
        <v>68207.5</v>
      </c>
      <c r="H204" s="10">
        <f>H203</f>
        <v>68207.5</v>
      </c>
    </row>
    <row r="205" spans="1:8" ht="110.25">
      <c r="A205" s="32" t="s">
        <v>310</v>
      </c>
      <c r="B205" s="20" t="s">
        <v>1032</v>
      </c>
      <c r="C205" s="41" t="s">
        <v>281</v>
      </c>
      <c r="D205" s="41" t="s">
        <v>135</v>
      </c>
      <c r="E205" s="41"/>
      <c r="F205" s="41"/>
      <c r="G205" s="6">
        <f>G206</f>
        <v>2712.4</v>
      </c>
      <c r="H205" s="6">
        <f>H206</f>
        <v>2712.4</v>
      </c>
    </row>
    <row r="206" spans="1:8" ht="47.25">
      <c r="A206" s="25" t="s">
        <v>289</v>
      </c>
      <c r="B206" s="20" t="s">
        <v>1032</v>
      </c>
      <c r="C206" s="41" t="s">
        <v>281</v>
      </c>
      <c r="D206" s="41" t="s">
        <v>135</v>
      </c>
      <c r="E206" s="41" t="s">
        <v>290</v>
      </c>
      <c r="F206" s="41"/>
      <c r="G206" s="6">
        <f>G207</f>
        <v>2712.4</v>
      </c>
      <c r="H206" s="6">
        <f>H207</f>
        <v>2712.4</v>
      </c>
    </row>
    <row r="207" spans="1:8" ht="15.75">
      <c r="A207" s="25" t="s">
        <v>291</v>
      </c>
      <c r="B207" s="20" t="s">
        <v>1032</v>
      </c>
      <c r="C207" s="41" t="s">
        <v>281</v>
      </c>
      <c r="D207" s="41" t="s">
        <v>135</v>
      </c>
      <c r="E207" s="41" t="s">
        <v>292</v>
      </c>
      <c r="F207" s="41"/>
      <c r="G207" s="6">
        <f>'пр.6.1.ведом.21-22'!G520</f>
        <v>2712.4</v>
      </c>
      <c r="H207" s="6">
        <f>'пр.6.1.ведом.21-22'!H520</f>
        <v>2712.4</v>
      </c>
    </row>
    <row r="208" spans="1:8" ht="31.5">
      <c r="A208" s="30" t="s">
        <v>420</v>
      </c>
      <c r="B208" s="20" t="s">
        <v>1030</v>
      </c>
      <c r="C208" s="41" t="s">
        <v>281</v>
      </c>
      <c r="D208" s="41" t="s">
        <v>135</v>
      </c>
      <c r="E208" s="41" t="s">
        <v>292</v>
      </c>
      <c r="F208" s="41" t="s">
        <v>654</v>
      </c>
      <c r="G208" s="10">
        <f>G207</f>
        <v>2712.4</v>
      </c>
      <c r="H208" s="10">
        <f>H207</f>
        <v>2712.4</v>
      </c>
    </row>
    <row r="209" spans="1:8" ht="15.75">
      <c r="A209" s="30" t="s">
        <v>442</v>
      </c>
      <c r="B209" s="41" t="s">
        <v>1029</v>
      </c>
      <c r="C209" s="41" t="s">
        <v>281</v>
      </c>
      <c r="D209" s="41" t="s">
        <v>230</v>
      </c>
      <c r="E209" s="41"/>
      <c r="F209" s="41"/>
      <c r="G209" s="10">
        <f>G210+G214+G218+G222+G226</f>
        <v>100316.3</v>
      </c>
      <c r="H209" s="10">
        <f>H210+H214+H218+H222+H226</f>
        <v>100316.3</v>
      </c>
    </row>
    <row r="210" spans="1:8" ht="94.5">
      <c r="A210" s="32" t="s">
        <v>477</v>
      </c>
      <c r="B210" s="20" t="s">
        <v>1057</v>
      </c>
      <c r="C210" s="41" t="s">
        <v>281</v>
      </c>
      <c r="D210" s="41" t="s">
        <v>230</v>
      </c>
      <c r="E210" s="41"/>
      <c r="F210" s="41"/>
      <c r="G210" s="6">
        <f>G211</f>
        <v>91447.9</v>
      </c>
      <c r="H210" s="6">
        <f>H211</f>
        <v>91447.9</v>
      </c>
    </row>
    <row r="211" spans="1:8" ht="47.25">
      <c r="A211" s="25" t="s">
        <v>289</v>
      </c>
      <c r="B211" s="20" t="s">
        <v>1057</v>
      </c>
      <c r="C211" s="41" t="s">
        <v>281</v>
      </c>
      <c r="D211" s="41" t="s">
        <v>230</v>
      </c>
      <c r="E211" s="41" t="s">
        <v>290</v>
      </c>
      <c r="F211" s="41"/>
      <c r="G211" s="6">
        <f>G212</f>
        <v>91447.9</v>
      </c>
      <c r="H211" s="6">
        <f>H212</f>
        <v>91447.9</v>
      </c>
    </row>
    <row r="212" spans="1:8" ht="15.75">
      <c r="A212" s="25" t="s">
        <v>291</v>
      </c>
      <c r="B212" s="20" t="s">
        <v>1057</v>
      </c>
      <c r="C212" s="41" t="s">
        <v>281</v>
      </c>
      <c r="D212" s="41" t="s">
        <v>230</v>
      </c>
      <c r="E212" s="41" t="s">
        <v>292</v>
      </c>
      <c r="F212" s="41"/>
      <c r="G212" s="6">
        <f>'пр.6.1.ведом.21-22'!G575</f>
        <v>91447.9</v>
      </c>
      <c r="H212" s="6">
        <f>'пр.6.1.ведом.21-22'!H575</f>
        <v>91447.9</v>
      </c>
    </row>
    <row r="213" spans="1:8" ht="31.5">
      <c r="A213" s="30" t="s">
        <v>420</v>
      </c>
      <c r="B213" s="20" t="s">
        <v>1057</v>
      </c>
      <c r="C213" s="41" t="s">
        <v>281</v>
      </c>
      <c r="D213" s="41" t="s">
        <v>230</v>
      </c>
      <c r="E213" s="41" t="s">
        <v>292</v>
      </c>
      <c r="F213" s="41" t="s">
        <v>654</v>
      </c>
      <c r="G213" s="10">
        <f>G212</f>
        <v>91447.9</v>
      </c>
      <c r="H213" s="10">
        <f>H212</f>
        <v>91447.9</v>
      </c>
    </row>
    <row r="214" spans="1:8" ht="78.75">
      <c r="A214" s="32" t="s">
        <v>306</v>
      </c>
      <c r="B214" s="20" t="s">
        <v>1028</v>
      </c>
      <c r="C214" s="41" t="s">
        <v>281</v>
      </c>
      <c r="D214" s="41" t="s">
        <v>230</v>
      </c>
      <c r="E214" s="41"/>
      <c r="F214" s="41"/>
      <c r="G214" s="6">
        <f>G215</f>
        <v>809.4</v>
      </c>
      <c r="H214" s="6">
        <f>H215</f>
        <v>809.4</v>
      </c>
    </row>
    <row r="215" spans="1:8" ht="47.25">
      <c r="A215" s="25" t="s">
        <v>289</v>
      </c>
      <c r="B215" s="20" t="s">
        <v>1028</v>
      </c>
      <c r="C215" s="41" t="s">
        <v>281</v>
      </c>
      <c r="D215" s="41" t="s">
        <v>230</v>
      </c>
      <c r="E215" s="41" t="s">
        <v>290</v>
      </c>
      <c r="F215" s="41"/>
      <c r="G215" s="6">
        <f>G216</f>
        <v>809.4</v>
      </c>
      <c r="H215" s="6">
        <f>H216</f>
        <v>809.4</v>
      </c>
    </row>
    <row r="216" spans="1:8" ht="15.75">
      <c r="A216" s="25" t="s">
        <v>291</v>
      </c>
      <c r="B216" s="20" t="s">
        <v>1028</v>
      </c>
      <c r="C216" s="41" t="s">
        <v>281</v>
      </c>
      <c r="D216" s="41" t="s">
        <v>230</v>
      </c>
      <c r="E216" s="41" t="s">
        <v>292</v>
      </c>
      <c r="F216" s="41"/>
      <c r="G216" s="6">
        <f>'пр.6.1.ведом.21-22'!G578</f>
        <v>809.4</v>
      </c>
      <c r="H216" s="6">
        <f>'пр.6.1.ведом.21-22'!H578</f>
        <v>809.4</v>
      </c>
    </row>
    <row r="217" spans="1:8" ht="31.5">
      <c r="A217" s="30" t="s">
        <v>420</v>
      </c>
      <c r="B217" s="20" t="s">
        <v>1028</v>
      </c>
      <c r="C217" s="41" t="s">
        <v>281</v>
      </c>
      <c r="D217" s="41" t="s">
        <v>230</v>
      </c>
      <c r="E217" s="41" t="s">
        <v>292</v>
      </c>
      <c r="F217" s="41" t="s">
        <v>654</v>
      </c>
      <c r="G217" s="10">
        <f>G216</f>
        <v>809.4</v>
      </c>
      <c r="H217" s="10">
        <f>H216</f>
        <v>809.4</v>
      </c>
    </row>
    <row r="218" spans="1:8" ht="94.5">
      <c r="A218" s="32" t="s">
        <v>308</v>
      </c>
      <c r="B218" s="20" t="s">
        <v>1031</v>
      </c>
      <c r="C218" s="41" t="s">
        <v>281</v>
      </c>
      <c r="D218" s="41" t="s">
        <v>230</v>
      </c>
      <c r="E218" s="41"/>
      <c r="F218" s="41"/>
      <c r="G218" s="6">
        <f>G219</f>
        <v>2442.6</v>
      </c>
      <c r="H218" s="6">
        <f>H219</f>
        <v>2442.6</v>
      </c>
    </row>
    <row r="219" spans="1:8" ht="47.25">
      <c r="A219" s="25" t="s">
        <v>289</v>
      </c>
      <c r="B219" s="20" t="s">
        <v>1031</v>
      </c>
      <c r="C219" s="41" t="s">
        <v>281</v>
      </c>
      <c r="D219" s="41" t="s">
        <v>230</v>
      </c>
      <c r="E219" s="41" t="s">
        <v>290</v>
      </c>
      <c r="F219" s="41"/>
      <c r="G219" s="6">
        <f>G220</f>
        <v>2442.6</v>
      </c>
      <c r="H219" s="6">
        <f>H220</f>
        <v>2442.6</v>
      </c>
    </row>
    <row r="220" spans="1:8" ht="15.75">
      <c r="A220" s="25" t="s">
        <v>291</v>
      </c>
      <c r="B220" s="20" t="s">
        <v>1031</v>
      </c>
      <c r="C220" s="41" t="s">
        <v>281</v>
      </c>
      <c r="D220" s="41" t="s">
        <v>230</v>
      </c>
      <c r="E220" s="41" t="s">
        <v>292</v>
      </c>
      <c r="F220" s="41"/>
      <c r="G220" s="6">
        <f>'пр.6.1.ведом.21-22'!G581</f>
        <v>2442.6</v>
      </c>
      <c r="H220" s="6">
        <f>'пр.6.1.ведом.21-22'!H581</f>
        <v>2442.6</v>
      </c>
    </row>
    <row r="221" spans="1:8" ht="31.5">
      <c r="A221" s="30" t="s">
        <v>420</v>
      </c>
      <c r="B221" s="20" t="s">
        <v>1031</v>
      </c>
      <c r="C221" s="41" t="s">
        <v>281</v>
      </c>
      <c r="D221" s="41" t="s">
        <v>230</v>
      </c>
      <c r="E221" s="41" t="s">
        <v>292</v>
      </c>
      <c r="F221" s="41" t="s">
        <v>654</v>
      </c>
      <c r="G221" s="10">
        <f>G220</f>
        <v>2442.6</v>
      </c>
      <c r="H221" s="10">
        <f>H220</f>
        <v>2442.6</v>
      </c>
    </row>
    <row r="222" spans="1:8" ht="47.25">
      <c r="A222" s="32" t="s">
        <v>479</v>
      </c>
      <c r="B222" s="20" t="s">
        <v>1058</v>
      </c>
      <c r="C222" s="41" t="s">
        <v>281</v>
      </c>
      <c r="D222" s="41" t="s">
        <v>230</v>
      </c>
      <c r="E222" s="41"/>
      <c r="F222" s="41"/>
      <c r="G222" s="6">
        <f>G223</f>
        <v>946.8</v>
      </c>
      <c r="H222" s="6">
        <f>H223</f>
        <v>946.8</v>
      </c>
    </row>
    <row r="223" spans="1:8" ht="47.25">
      <c r="A223" s="25" t="s">
        <v>289</v>
      </c>
      <c r="B223" s="20" t="s">
        <v>1058</v>
      </c>
      <c r="C223" s="41" t="s">
        <v>281</v>
      </c>
      <c r="D223" s="41" t="s">
        <v>230</v>
      </c>
      <c r="E223" s="41" t="s">
        <v>290</v>
      </c>
      <c r="F223" s="41"/>
      <c r="G223" s="6">
        <f>G224</f>
        <v>946.8</v>
      </c>
      <c r="H223" s="6">
        <f>H224</f>
        <v>946.8</v>
      </c>
    </row>
    <row r="224" spans="1:8" ht="15.75">
      <c r="A224" s="25" t="s">
        <v>291</v>
      </c>
      <c r="B224" s="20" t="s">
        <v>1058</v>
      </c>
      <c r="C224" s="41" t="s">
        <v>281</v>
      </c>
      <c r="D224" s="41" t="s">
        <v>230</v>
      </c>
      <c r="E224" s="41" t="s">
        <v>292</v>
      </c>
      <c r="F224" s="41"/>
      <c r="G224" s="6">
        <f>'пр.6.1.ведом.21-22'!G584</f>
        <v>946.8</v>
      </c>
      <c r="H224" s="6">
        <f>'пр.6.1.ведом.21-22'!H584</f>
        <v>946.8</v>
      </c>
    </row>
    <row r="225" spans="1:8" ht="31.5">
      <c r="A225" s="30" t="s">
        <v>420</v>
      </c>
      <c r="B225" s="20" t="s">
        <v>1058</v>
      </c>
      <c r="C225" s="41" t="s">
        <v>281</v>
      </c>
      <c r="D225" s="41" t="s">
        <v>230</v>
      </c>
      <c r="E225" s="41" t="s">
        <v>292</v>
      </c>
      <c r="F225" s="41" t="s">
        <v>654</v>
      </c>
      <c r="G225" s="10">
        <f>G224</f>
        <v>946.8</v>
      </c>
      <c r="H225" s="10">
        <f>H224</f>
        <v>946.8</v>
      </c>
    </row>
    <row r="226" spans="1:8" ht="110.25">
      <c r="A226" s="32" t="s">
        <v>481</v>
      </c>
      <c r="B226" s="20" t="s">
        <v>1032</v>
      </c>
      <c r="C226" s="41" t="s">
        <v>281</v>
      </c>
      <c r="D226" s="41" t="s">
        <v>230</v>
      </c>
      <c r="E226" s="41"/>
      <c r="F226" s="41"/>
      <c r="G226" s="6">
        <f>G227</f>
        <v>4669.6</v>
      </c>
      <c r="H226" s="6">
        <f>H227</f>
        <v>4669.6</v>
      </c>
    </row>
    <row r="227" spans="1:8" ht="47.25">
      <c r="A227" s="25" t="s">
        <v>289</v>
      </c>
      <c r="B227" s="20" t="s">
        <v>1032</v>
      </c>
      <c r="C227" s="41" t="s">
        <v>281</v>
      </c>
      <c r="D227" s="41" t="s">
        <v>230</v>
      </c>
      <c r="E227" s="41" t="s">
        <v>290</v>
      </c>
      <c r="F227" s="41"/>
      <c r="G227" s="6">
        <f>G228</f>
        <v>4669.6</v>
      </c>
      <c r="H227" s="6">
        <f>H228</f>
        <v>4669.6</v>
      </c>
    </row>
    <row r="228" spans="1:8" ht="15.75">
      <c r="A228" s="25" t="s">
        <v>291</v>
      </c>
      <c r="B228" s="20" t="s">
        <v>1032</v>
      </c>
      <c r="C228" s="41" t="s">
        <v>281</v>
      </c>
      <c r="D228" s="41" t="s">
        <v>230</v>
      </c>
      <c r="E228" s="41" t="s">
        <v>292</v>
      </c>
      <c r="F228" s="41"/>
      <c r="G228" s="6">
        <f>'пр.6.1.ведом.21-22'!G587</f>
        <v>4669.6</v>
      </c>
      <c r="H228" s="6">
        <f>'пр.6.1.ведом.21-22'!H587</f>
        <v>4669.6</v>
      </c>
    </row>
    <row r="229" spans="1:8" ht="31.5">
      <c r="A229" s="30" t="s">
        <v>420</v>
      </c>
      <c r="B229" s="20" t="s">
        <v>1032</v>
      </c>
      <c r="C229" s="41" t="s">
        <v>281</v>
      </c>
      <c r="D229" s="41" t="s">
        <v>230</v>
      </c>
      <c r="E229" s="41" t="s">
        <v>292</v>
      </c>
      <c r="F229" s="41" t="s">
        <v>654</v>
      </c>
      <c r="G229" s="10">
        <f>G228</f>
        <v>4669.6</v>
      </c>
      <c r="H229" s="10">
        <f>H228</f>
        <v>4669.6</v>
      </c>
    </row>
    <row r="230" spans="1:8" ht="15.75">
      <c r="A230" s="30" t="s">
        <v>282</v>
      </c>
      <c r="B230" s="41" t="s">
        <v>1029</v>
      </c>
      <c r="C230" s="41" t="s">
        <v>281</v>
      </c>
      <c r="D230" s="41" t="s">
        <v>232</v>
      </c>
      <c r="E230" s="41"/>
      <c r="F230" s="41"/>
      <c r="G230" s="6">
        <f>G231+G235+G239</f>
        <v>1542.4</v>
      </c>
      <c r="H230" s="6">
        <f>H231+H235+H239</f>
        <v>1542.4</v>
      </c>
    </row>
    <row r="231" spans="1:8" ht="78.75">
      <c r="A231" s="32" t="s">
        <v>306</v>
      </c>
      <c r="B231" s="20" t="s">
        <v>1028</v>
      </c>
      <c r="C231" s="41" t="s">
        <v>281</v>
      </c>
      <c r="D231" s="41" t="s">
        <v>232</v>
      </c>
      <c r="E231" s="41"/>
      <c r="F231" s="41"/>
      <c r="G231" s="6">
        <f>G232</f>
        <v>110</v>
      </c>
      <c r="H231" s="6">
        <f>H232</f>
        <v>110</v>
      </c>
    </row>
    <row r="232" spans="1:8" ht="47.25">
      <c r="A232" s="25" t="s">
        <v>289</v>
      </c>
      <c r="B232" s="20" t="s">
        <v>1028</v>
      </c>
      <c r="C232" s="41" t="s">
        <v>281</v>
      </c>
      <c r="D232" s="41" t="s">
        <v>232</v>
      </c>
      <c r="E232" s="41" t="s">
        <v>290</v>
      </c>
      <c r="F232" s="41"/>
      <c r="G232" s="6">
        <f>G233</f>
        <v>110</v>
      </c>
      <c r="H232" s="6">
        <f>H233</f>
        <v>110</v>
      </c>
    </row>
    <row r="233" spans="1:8" ht="15.75">
      <c r="A233" s="25" t="s">
        <v>291</v>
      </c>
      <c r="B233" s="20" t="s">
        <v>1028</v>
      </c>
      <c r="C233" s="41" t="s">
        <v>281</v>
      </c>
      <c r="D233" s="41" t="s">
        <v>232</v>
      </c>
      <c r="E233" s="41" t="s">
        <v>292</v>
      </c>
      <c r="F233" s="41"/>
      <c r="G233" s="6">
        <f>'пр.6.1.ведом.21-22'!G647</f>
        <v>110</v>
      </c>
      <c r="H233" s="6">
        <f>'пр.6.1.ведом.21-22'!H647</f>
        <v>110</v>
      </c>
    </row>
    <row r="234" spans="1:8" ht="31.5">
      <c r="A234" s="30" t="s">
        <v>420</v>
      </c>
      <c r="B234" s="20" t="s">
        <v>1028</v>
      </c>
      <c r="C234" s="41" t="s">
        <v>281</v>
      </c>
      <c r="D234" s="41" t="s">
        <v>232</v>
      </c>
      <c r="E234" s="41" t="s">
        <v>292</v>
      </c>
      <c r="F234" s="41" t="s">
        <v>654</v>
      </c>
      <c r="G234" s="10">
        <f>G233</f>
        <v>110</v>
      </c>
      <c r="H234" s="10">
        <f>H233</f>
        <v>110</v>
      </c>
    </row>
    <row r="235" spans="1:8" ht="94.5">
      <c r="A235" s="32" t="s">
        <v>308</v>
      </c>
      <c r="B235" s="20" t="s">
        <v>1031</v>
      </c>
      <c r="C235" s="41" t="s">
        <v>281</v>
      </c>
      <c r="D235" s="41" t="s">
        <v>232</v>
      </c>
      <c r="E235" s="41"/>
      <c r="F235" s="41"/>
      <c r="G235" s="6">
        <f>G236</f>
        <v>592.1</v>
      </c>
      <c r="H235" s="6">
        <f>H236</f>
        <v>592.1</v>
      </c>
    </row>
    <row r="236" spans="1:8" ht="47.25">
      <c r="A236" s="25" t="s">
        <v>289</v>
      </c>
      <c r="B236" s="20" t="s">
        <v>1031</v>
      </c>
      <c r="C236" s="41" t="s">
        <v>281</v>
      </c>
      <c r="D236" s="41" t="s">
        <v>232</v>
      </c>
      <c r="E236" s="41" t="s">
        <v>290</v>
      </c>
      <c r="F236" s="41"/>
      <c r="G236" s="6">
        <f>G237</f>
        <v>592.1</v>
      </c>
      <c r="H236" s="6">
        <f>H237</f>
        <v>592.1</v>
      </c>
    </row>
    <row r="237" spans="1:8" ht="15.75">
      <c r="A237" s="25" t="s">
        <v>291</v>
      </c>
      <c r="B237" s="20" t="s">
        <v>1031</v>
      </c>
      <c r="C237" s="41" t="s">
        <v>281</v>
      </c>
      <c r="D237" s="41" t="s">
        <v>232</v>
      </c>
      <c r="E237" s="41" t="s">
        <v>292</v>
      </c>
      <c r="F237" s="41"/>
      <c r="G237" s="6">
        <f>'пр.6.1.ведом.21-22'!G650</f>
        <v>592.1</v>
      </c>
      <c r="H237" s="6">
        <f>'пр.6.1.ведом.21-22'!H650</f>
        <v>592.1</v>
      </c>
    </row>
    <row r="238" spans="1:8" ht="31.5">
      <c r="A238" s="30" t="s">
        <v>420</v>
      </c>
      <c r="B238" s="20" t="s">
        <v>1031</v>
      </c>
      <c r="C238" s="41" t="s">
        <v>281</v>
      </c>
      <c r="D238" s="41" t="s">
        <v>232</v>
      </c>
      <c r="E238" s="41" t="s">
        <v>292</v>
      </c>
      <c r="F238" s="41" t="s">
        <v>654</v>
      </c>
      <c r="G238" s="10">
        <f>G237</f>
        <v>592.1</v>
      </c>
      <c r="H238" s="10">
        <f>H237</f>
        <v>592.1</v>
      </c>
    </row>
    <row r="239" spans="1:8" ht="110.25">
      <c r="A239" s="32" t="s">
        <v>310</v>
      </c>
      <c r="B239" s="20" t="s">
        <v>1032</v>
      </c>
      <c r="C239" s="41" t="s">
        <v>281</v>
      </c>
      <c r="D239" s="41" t="s">
        <v>232</v>
      </c>
      <c r="E239" s="41"/>
      <c r="F239" s="41"/>
      <c r="G239" s="6">
        <f>G240</f>
        <v>840.3</v>
      </c>
      <c r="H239" s="6">
        <f>H240</f>
        <v>840.3</v>
      </c>
    </row>
    <row r="240" spans="1:8" ht="47.25">
      <c r="A240" s="25" t="s">
        <v>289</v>
      </c>
      <c r="B240" s="20" t="s">
        <v>1032</v>
      </c>
      <c r="C240" s="41" t="s">
        <v>281</v>
      </c>
      <c r="D240" s="41" t="s">
        <v>232</v>
      </c>
      <c r="E240" s="41" t="s">
        <v>290</v>
      </c>
      <c r="F240" s="41"/>
      <c r="G240" s="6">
        <f>G241</f>
        <v>840.3</v>
      </c>
      <c r="H240" s="6">
        <f>H241</f>
        <v>840.3</v>
      </c>
    </row>
    <row r="241" spans="1:8" ht="15.75">
      <c r="A241" s="25" t="s">
        <v>291</v>
      </c>
      <c r="B241" s="20" t="s">
        <v>1032</v>
      </c>
      <c r="C241" s="41" t="s">
        <v>281</v>
      </c>
      <c r="D241" s="41" t="s">
        <v>232</v>
      </c>
      <c r="E241" s="41" t="s">
        <v>292</v>
      </c>
      <c r="F241" s="41"/>
      <c r="G241" s="6">
        <f>'пр.6.1.ведом.21-22'!G653</f>
        <v>840.3</v>
      </c>
      <c r="H241" s="6">
        <f>'пр.6.1.ведом.21-22'!H653</f>
        <v>840.3</v>
      </c>
    </row>
    <row r="242" spans="1:8" ht="31.5">
      <c r="A242" s="30" t="s">
        <v>420</v>
      </c>
      <c r="B242" s="20" t="s">
        <v>1032</v>
      </c>
      <c r="C242" s="41" t="s">
        <v>281</v>
      </c>
      <c r="D242" s="41" t="s">
        <v>232</v>
      </c>
      <c r="E242" s="41" t="s">
        <v>292</v>
      </c>
      <c r="F242" s="41" t="s">
        <v>654</v>
      </c>
      <c r="G242" s="10">
        <f>G241</f>
        <v>840.3</v>
      </c>
      <c r="H242" s="10">
        <f>H241</f>
        <v>840.3</v>
      </c>
    </row>
    <row r="243" spans="1:8" ht="47.25">
      <c r="A243" s="42" t="s">
        <v>428</v>
      </c>
      <c r="B243" s="7" t="s">
        <v>429</v>
      </c>
      <c r="C243" s="7"/>
      <c r="D243" s="7"/>
      <c r="E243" s="7"/>
      <c r="F243" s="7"/>
      <c r="G243" s="62">
        <f>G244+G259+G274</f>
        <v>9675.3</v>
      </c>
      <c r="H243" s="62">
        <f>H244+H259+H274</f>
        <v>9675.3</v>
      </c>
    </row>
    <row r="244" spans="1:8" ht="31.5">
      <c r="A244" s="23" t="s">
        <v>1015</v>
      </c>
      <c r="B244" s="24" t="s">
        <v>1016</v>
      </c>
      <c r="C244" s="7"/>
      <c r="D244" s="7"/>
      <c r="E244" s="7"/>
      <c r="F244" s="7"/>
      <c r="G244" s="62">
        <f>G245</f>
        <v>5170</v>
      </c>
      <c r="H244" s="62">
        <f>H245</f>
        <v>5170</v>
      </c>
    </row>
    <row r="245" spans="1:8" ht="15.75">
      <c r="A245" s="30" t="s">
        <v>280</v>
      </c>
      <c r="B245" s="41" t="s">
        <v>1016</v>
      </c>
      <c r="C245" s="41" t="s">
        <v>281</v>
      </c>
      <c r="D245" s="41"/>
      <c r="E245" s="41"/>
      <c r="F245" s="41"/>
      <c r="G245" s="10">
        <f aca="true" t="shared" si="31" ref="G245:H245">G246</f>
        <v>5170</v>
      </c>
      <c r="H245" s="10">
        <f t="shared" si="31"/>
        <v>5170</v>
      </c>
    </row>
    <row r="246" spans="1:8" ht="15.75">
      <c r="A246" s="46" t="s">
        <v>421</v>
      </c>
      <c r="B246" s="41" t="s">
        <v>1016</v>
      </c>
      <c r="C246" s="41" t="s">
        <v>281</v>
      </c>
      <c r="D246" s="41" t="s">
        <v>135</v>
      </c>
      <c r="E246" s="41"/>
      <c r="F246" s="41"/>
      <c r="G246" s="10">
        <f>G247+G251+G255</f>
        <v>5170</v>
      </c>
      <c r="H246" s="10">
        <f>H247+H251+H255</f>
        <v>5170</v>
      </c>
    </row>
    <row r="247" spans="1:8" ht="47.25" hidden="1">
      <c r="A247" s="30" t="s">
        <v>295</v>
      </c>
      <c r="B247" s="20" t="s">
        <v>1017</v>
      </c>
      <c r="C247" s="41" t="s">
        <v>281</v>
      </c>
      <c r="D247" s="41" t="s">
        <v>135</v>
      </c>
      <c r="E247" s="41"/>
      <c r="F247" s="41"/>
      <c r="G247" s="10">
        <f aca="true" t="shared" si="32" ref="G247:H248">G248</f>
        <v>0</v>
      </c>
      <c r="H247" s="10">
        <f t="shared" si="32"/>
        <v>0</v>
      </c>
    </row>
    <row r="248" spans="1:8" ht="47.25" hidden="1">
      <c r="A248" s="30" t="s">
        <v>289</v>
      </c>
      <c r="B248" s="20" t="s">
        <v>1017</v>
      </c>
      <c r="C248" s="41" t="s">
        <v>281</v>
      </c>
      <c r="D248" s="41" t="s">
        <v>135</v>
      </c>
      <c r="E248" s="41" t="s">
        <v>290</v>
      </c>
      <c r="F248" s="41"/>
      <c r="G248" s="10">
        <f t="shared" si="32"/>
        <v>0</v>
      </c>
      <c r="H248" s="10">
        <f t="shared" si="32"/>
        <v>0</v>
      </c>
    </row>
    <row r="249" spans="1:8" ht="15.75" hidden="1">
      <c r="A249" s="30" t="s">
        <v>291</v>
      </c>
      <c r="B249" s="20" t="s">
        <v>1017</v>
      </c>
      <c r="C249" s="41" t="s">
        <v>281</v>
      </c>
      <c r="D249" s="41" t="s">
        <v>135</v>
      </c>
      <c r="E249" s="41" t="s">
        <v>292</v>
      </c>
      <c r="F249" s="41"/>
      <c r="G249" s="10">
        <f>'пр.6.1.ведом.21-22'!G525</f>
        <v>0</v>
      </c>
      <c r="H249" s="10">
        <f>'пр.6.1.ведом.21-22'!H525</f>
        <v>0</v>
      </c>
    </row>
    <row r="250" spans="1:8" ht="31.5" hidden="1">
      <c r="A250" s="30" t="s">
        <v>420</v>
      </c>
      <c r="B250" s="20" t="s">
        <v>1017</v>
      </c>
      <c r="C250" s="41" t="s">
        <v>281</v>
      </c>
      <c r="D250" s="41" t="s">
        <v>135</v>
      </c>
      <c r="E250" s="41" t="s">
        <v>292</v>
      </c>
      <c r="F250" s="41" t="s">
        <v>654</v>
      </c>
      <c r="G250" s="10">
        <f>G249</f>
        <v>0</v>
      </c>
      <c r="H250" s="10">
        <f>H249</f>
        <v>0</v>
      </c>
    </row>
    <row r="251" spans="1:8" ht="31.5" hidden="1">
      <c r="A251" s="30" t="s">
        <v>297</v>
      </c>
      <c r="B251" s="20" t="s">
        <v>1018</v>
      </c>
      <c r="C251" s="41" t="s">
        <v>281</v>
      </c>
      <c r="D251" s="41" t="s">
        <v>135</v>
      </c>
      <c r="E251" s="41"/>
      <c r="F251" s="41"/>
      <c r="G251" s="10">
        <f aca="true" t="shared" si="33" ref="G251:H252">G252</f>
        <v>0</v>
      </c>
      <c r="H251" s="10">
        <f t="shared" si="33"/>
        <v>0</v>
      </c>
    </row>
    <row r="252" spans="1:8" ht="47.25" hidden="1">
      <c r="A252" s="30" t="s">
        <v>289</v>
      </c>
      <c r="B252" s="20" t="s">
        <v>1018</v>
      </c>
      <c r="C252" s="41" t="s">
        <v>281</v>
      </c>
      <c r="D252" s="41" t="s">
        <v>135</v>
      </c>
      <c r="E252" s="41" t="s">
        <v>290</v>
      </c>
      <c r="F252" s="41"/>
      <c r="G252" s="10">
        <f t="shared" si="33"/>
        <v>0</v>
      </c>
      <c r="H252" s="10">
        <f t="shared" si="33"/>
        <v>0</v>
      </c>
    </row>
    <row r="253" spans="1:8" ht="15.75" hidden="1">
      <c r="A253" s="30" t="s">
        <v>291</v>
      </c>
      <c r="B253" s="20" t="s">
        <v>1018</v>
      </c>
      <c r="C253" s="41" t="s">
        <v>281</v>
      </c>
      <c r="D253" s="41" t="s">
        <v>135</v>
      </c>
      <c r="E253" s="41" t="s">
        <v>292</v>
      </c>
      <c r="F253" s="41"/>
      <c r="G253" s="10">
        <f>'пр.6.1.ведом.21-22'!G528</f>
        <v>0</v>
      </c>
      <c r="H253" s="10">
        <f>'пр.6.1.ведом.21-22'!H528</f>
        <v>0</v>
      </c>
    </row>
    <row r="254" spans="1:8" ht="31.5" hidden="1">
      <c r="A254" s="30" t="s">
        <v>420</v>
      </c>
      <c r="B254" s="20" t="s">
        <v>1018</v>
      </c>
      <c r="C254" s="41" t="s">
        <v>281</v>
      </c>
      <c r="D254" s="41" t="s">
        <v>135</v>
      </c>
      <c r="E254" s="41" t="s">
        <v>292</v>
      </c>
      <c r="F254" s="41" t="s">
        <v>654</v>
      </c>
      <c r="G254" s="10">
        <f>G253</f>
        <v>0</v>
      </c>
      <c r="H254" s="10">
        <f>H253</f>
        <v>0</v>
      </c>
    </row>
    <row r="255" spans="1:8" ht="47.25">
      <c r="A255" s="30" t="s">
        <v>432</v>
      </c>
      <c r="B255" s="20" t="s">
        <v>1019</v>
      </c>
      <c r="C255" s="41" t="s">
        <v>281</v>
      </c>
      <c r="D255" s="41" t="s">
        <v>135</v>
      </c>
      <c r="E255" s="41"/>
      <c r="F255" s="41"/>
      <c r="G255" s="10">
        <f aca="true" t="shared" si="34" ref="G255:H256">G256</f>
        <v>5170</v>
      </c>
      <c r="H255" s="10">
        <f t="shared" si="34"/>
        <v>5170</v>
      </c>
    </row>
    <row r="256" spans="1:8" ht="47.25">
      <c r="A256" s="30" t="s">
        <v>289</v>
      </c>
      <c r="B256" s="20" t="s">
        <v>1019</v>
      </c>
      <c r="C256" s="41" t="s">
        <v>281</v>
      </c>
      <c r="D256" s="41" t="s">
        <v>135</v>
      </c>
      <c r="E256" s="41" t="s">
        <v>290</v>
      </c>
      <c r="F256" s="41"/>
      <c r="G256" s="10">
        <f t="shared" si="34"/>
        <v>5170</v>
      </c>
      <c r="H256" s="10">
        <f t="shared" si="34"/>
        <v>5170</v>
      </c>
    </row>
    <row r="257" spans="1:8" ht="15.75">
      <c r="A257" s="30" t="s">
        <v>291</v>
      </c>
      <c r="B257" s="20" t="s">
        <v>1019</v>
      </c>
      <c r="C257" s="41" t="s">
        <v>281</v>
      </c>
      <c r="D257" s="41" t="s">
        <v>135</v>
      </c>
      <c r="E257" s="41" t="s">
        <v>292</v>
      </c>
      <c r="F257" s="41"/>
      <c r="G257" s="6">
        <f>'пр.6.1.ведом.21-22'!G531</f>
        <v>5170</v>
      </c>
      <c r="H257" s="6">
        <f>'пр.6.1.ведом.21-22'!H531</f>
        <v>5170</v>
      </c>
    </row>
    <row r="258" spans="1:8" ht="31.5">
      <c r="A258" s="30" t="s">
        <v>420</v>
      </c>
      <c r="B258" s="20" t="s">
        <v>1019</v>
      </c>
      <c r="C258" s="41" t="s">
        <v>281</v>
      </c>
      <c r="D258" s="41" t="s">
        <v>135</v>
      </c>
      <c r="E258" s="41" t="s">
        <v>292</v>
      </c>
      <c r="F258" s="41" t="s">
        <v>654</v>
      </c>
      <c r="G258" s="10">
        <f>G257</f>
        <v>5170</v>
      </c>
      <c r="H258" s="10">
        <f>H257</f>
        <v>5170</v>
      </c>
    </row>
    <row r="259" spans="1:8" ht="47.25">
      <c r="A259" s="319" t="s">
        <v>1085</v>
      </c>
      <c r="B259" s="24" t="s">
        <v>1020</v>
      </c>
      <c r="C259" s="7"/>
      <c r="D259" s="7"/>
      <c r="E259" s="7"/>
      <c r="F259" s="7"/>
      <c r="G259" s="4">
        <f>G260</f>
        <v>4215</v>
      </c>
      <c r="H259" s="4">
        <f>H260</f>
        <v>4215</v>
      </c>
    </row>
    <row r="260" spans="1:8" ht="15.75">
      <c r="A260" s="30" t="s">
        <v>280</v>
      </c>
      <c r="B260" s="41" t="s">
        <v>1020</v>
      </c>
      <c r="C260" s="41" t="s">
        <v>281</v>
      </c>
      <c r="D260" s="41"/>
      <c r="E260" s="41"/>
      <c r="F260" s="41"/>
      <c r="G260" s="10">
        <f aca="true" t="shared" si="35" ref="G260:H260">G261</f>
        <v>4215</v>
      </c>
      <c r="H260" s="10">
        <f t="shared" si="35"/>
        <v>4215</v>
      </c>
    </row>
    <row r="261" spans="1:8" ht="15.75">
      <c r="A261" s="46" t="s">
        <v>421</v>
      </c>
      <c r="B261" s="41" t="s">
        <v>1020</v>
      </c>
      <c r="C261" s="41" t="s">
        <v>281</v>
      </c>
      <c r="D261" s="41" t="s">
        <v>135</v>
      </c>
      <c r="E261" s="41"/>
      <c r="F261" s="41"/>
      <c r="G261" s="10">
        <f>G262+G266+G270</f>
        <v>4215</v>
      </c>
      <c r="H261" s="10">
        <f>H262+H266+H270</f>
        <v>4215</v>
      </c>
    </row>
    <row r="262" spans="1:8" ht="31.5" hidden="1">
      <c r="A262" s="30" t="s">
        <v>301</v>
      </c>
      <c r="B262" s="20" t="s">
        <v>1021</v>
      </c>
      <c r="C262" s="41" t="s">
        <v>281</v>
      </c>
      <c r="D262" s="41" t="s">
        <v>135</v>
      </c>
      <c r="E262" s="41"/>
      <c r="F262" s="41"/>
      <c r="G262" s="10">
        <f aca="true" t="shared" si="36" ref="G262:H263">G263</f>
        <v>0</v>
      </c>
      <c r="H262" s="10">
        <f t="shared" si="36"/>
        <v>0</v>
      </c>
    </row>
    <row r="263" spans="1:8" ht="47.25" hidden="1">
      <c r="A263" s="30" t="s">
        <v>289</v>
      </c>
      <c r="B263" s="20" t="s">
        <v>1021</v>
      </c>
      <c r="C263" s="41" t="s">
        <v>281</v>
      </c>
      <c r="D263" s="41" t="s">
        <v>135</v>
      </c>
      <c r="E263" s="41" t="s">
        <v>290</v>
      </c>
      <c r="F263" s="41"/>
      <c r="G263" s="10">
        <f t="shared" si="36"/>
        <v>0</v>
      </c>
      <c r="H263" s="10">
        <f t="shared" si="36"/>
        <v>0</v>
      </c>
    </row>
    <row r="264" spans="1:8" ht="15.75" hidden="1">
      <c r="A264" s="30" t="s">
        <v>291</v>
      </c>
      <c r="B264" s="20" t="s">
        <v>1021</v>
      </c>
      <c r="C264" s="41" t="s">
        <v>281</v>
      </c>
      <c r="D264" s="41" t="s">
        <v>135</v>
      </c>
      <c r="E264" s="41" t="s">
        <v>292</v>
      </c>
      <c r="F264" s="41"/>
      <c r="G264" s="10">
        <f>'пр.6.1.ведом.21-22'!G535</f>
        <v>0</v>
      </c>
      <c r="H264" s="10">
        <f>'пр.6.1.ведом.21-22'!H535</f>
        <v>0</v>
      </c>
    </row>
    <row r="265" spans="1:8" ht="31.5" hidden="1">
      <c r="A265" s="30" t="s">
        <v>420</v>
      </c>
      <c r="B265" s="20" t="s">
        <v>1021</v>
      </c>
      <c r="C265" s="41" t="s">
        <v>281</v>
      </c>
      <c r="D265" s="41" t="s">
        <v>135</v>
      </c>
      <c r="E265" s="41" t="s">
        <v>292</v>
      </c>
      <c r="F265" s="41" t="s">
        <v>654</v>
      </c>
      <c r="G265" s="10">
        <f>G264</f>
        <v>0</v>
      </c>
      <c r="H265" s="10">
        <f>H264</f>
        <v>0</v>
      </c>
    </row>
    <row r="266" spans="1:8" ht="47.25">
      <c r="A266" s="63" t="s">
        <v>789</v>
      </c>
      <c r="B266" s="20" t="s">
        <v>1022</v>
      </c>
      <c r="C266" s="20" t="s">
        <v>281</v>
      </c>
      <c r="D266" s="20" t="s">
        <v>135</v>
      </c>
      <c r="E266" s="20"/>
      <c r="F266" s="20"/>
      <c r="G266" s="10">
        <f aca="true" t="shared" si="37" ref="G266:H267">G267</f>
        <v>2850</v>
      </c>
      <c r="H266" s="10">
        <f t="shared" si="37"/>
        <v>2850</v>
      </c>
    </row>
    <row r="267" spans="1:8" ht="47.25">
      <c r="A267" s="30" t="s">
        <v>289</v>
      </c>
      <c r="B267" s="20" t="s">
        <v>1022</v>
      </c>
      <c r="C267" s="20" t="s">
        <v>281</v>
      </c>
      <c r="D267" s="20" t="s">
        <v>135</v>
      </c>
      <c r="E267" s="20" t="s">
        <v>290</v>
      </c>
      <c r="F267" s="20"/>
      <c r="G267" s="10">
        <f t="shared" si="37"/>
        <v>2850</v>
      </c>
      <c r="H267" s="10">
        <f t="shared" si="37"/>
        <v>2850</v>
      </c>
    </row>
    <row r="268" spans="1:8" ht="15.75">
      <c r="A268" s="208" t="s">
        <v>291</v>
      </c>
      <c r="B268" s="20" t="s">
        <v>1022</v>
      </c>
      <c r="C268" s="20" t="s">
        <v>281</v>
      </c>
      <c r="D268" s="20" t="s">
        <v>135</v>
      </c>
      <c r="E268" s="20" t="s">
        <v>292</v>
      </c>
      <c r="F268" s="20"/>
      <c r="G268" s="10">
        <f>'пр.6.1.ведом.21-22'!G538</f>
        <v>2850</v>
      </c>
      <c r="H268" s="10">
        <f>'пр.6.1.ведом.21-22'!H538</f>
        <v>2850</v>
      </c>
    </row>
    <row r="269" spans="1:8" ht="31.5">
      <c r="A269" s="30" t="s">
        <v>420</v>
      </c>
      <c r="B269" s="20" t="s">
        <v>1022</v>
      </c>
      <c r="C269" s="41" t="s">
        <v>281</v>
      </c>
      <c r="D269" s="41" t="s">
        <v>135</v>
      </c>
      <c r="E269" s="41" t="s">
        <v>292</v>
      </c>
      <c r="F269" s="41" t="s">
        <v>654</v>
      </c>
      <c r="G269" s="10">
        <f>G268</f>
        <v>2850</v>
      </c>
      <c r="H269" s="10">
        <f>H268</f>
        <v>2850</v>
      </c>
    </row>
    <row r="270" spans="1:8" ht="63">
      <c r="A270" s="63" t="s">
        <v>790</v>
      </c>
      <c r="B270" s="20" t="s">
        <v>1023</v>
      </c>
      <c r="C270" s="20" t="s">
        <v>281</v>
      </c>
      <c r="D270" s="20" t="s">
        <v>135</v>
      </c>
      <c r="E270" s="20"/>
      <c r="F270" s="20"/>
      <c r="G270" s="10">
        <f aca="true" t="shared" si="38" ref="G270:H271">G271</f>
        <v>1364.9999999999998</v>
      </c>
      <c r="H270" s="10">
        <f t="shared" si="38"/>
        <v>1364.9999999999998</v>
      </c>
    </row>
    <row r="271" spans="1:8" ht="47.25">
      <c r="A271" s="30" t="s">
        <v>289</v>
      </c>
      <c r="B271" s="20" t="s">
        <v>1023</v>
      </c>
      <c r="C271" s="20" t="s">
        <v>281</v>
      </c>
      <c r="D271" s="20" t="s">
        <v>135</v>
      </c>
      <c r="E271" s="20" t="s">
        <v>290</v>
      </c>
      <c r="F271" s="20"/>
      <c r="G271" s="10">
        <f t="shared" si="38"/>
        <v>1364.9999999999998</v>
      </c>
      <c r="H271" s="10">
        <f t="shared" si="38"/>
        <v>1364.9999999999998</v>
      </c>
    </row>
    <row r="272" spans="1:8" ht="15.75">
      <c r="A272" s="208" t="s">
        <v>291</v>
      </c>
      <c r="B272" s="20" t="s">
        <v>1023</v>
      </c>
      <c r="C272" s="20" t="s">
        <v>281</v>
      </c>
      <c r="D272" s="20" t="s">
        <v>135</v>
      </c>
      <c r="E272" s="20" t="s">
        <v>292</v>
      </c>
      <c r="F272" s="20"/>
      <c r="G272" s="10">
        <f>'пр.6.1.ведом.21-22'!G541</f>
        <v>1364.9999999999998</v>
      </c>
      <c r="H272" s="10">
        <f>'пр.6.1.ведом.21-22'!H541</f>
        <v>1364.9999999999998</v>
      </c>
    </row>
    <row r="273" spans="1:8" ht="31.5">
      <c r="A273" s="30" t="s">
        <v>420</v>
      </c>
      <c r="B273" s="20" t="s">
        <v>1023</v>
      </c>
      <c r="C273" s="41" t="s">
        <v>281</v>
      </c>
      <c r="D273" s="41" t="s">
        <v>135</v>
      </c>
      <c r="E273" s="41" t="s">
        <v>292</v>
      </c>
      <c r="F273" s="41" t="s">
        <v>654</v>
      </c>
      <c r="G273" s="10">
        <f>G272</f>
        <v>1364.9999999999998</v>
      </c>
      <c r="H273" s="10">
        <f>H272</f>
        <v>1364.9999999999998</v>
      </c>
    </row>
    <row r="274" spans="1:8" ht="78.75">
      <c r="A274" s="23" t="s">
        <v>1024</v>
      </c>
      <c r="B274" s="24" t="s">
        <v>1025</v>
      </c>
      <c r="C274" s="24"/>
      <c r="D274" s="24"/>
      <c r="E274" s="24"/>
      <c r="F274" s="24"/>
      <c r="G274" s="62">
        <f>G275</f>
        <v>290.3</v>
      </c>
      <c r="H274" s="62">
        <f>H275</f>
        <v>290.3</v>
      </c>
    </row>
    <row r="275" spans="1:8" ht="15.75">
      <c r="A275" s="30" t="s">
        <v>280</v>
      </c>
      <c r="B275" s="41" t="s">
        <v>1025</v>
      </c>
      <c r="C275" s="41" t="s">
        <v>281</v>
      </c>
      <c r="D275" s="41"/>
      <c r="E275" s="41"/>
      <c r="F275" s="41"/>
      <c r="G275" s="10">
        <f aca="true" t="shared" si="39" ref="G275:H275">G276</f>
        <v>290.3</v>
      </c>
      <c r="H275" s="10">
        <f t="shared" si="39"/>
        <v>290.3</v>
      </c>
    </row>
    <row r="276" spans="1:8" ht="15.75">
      <c r="A276" s="46" t="s">
        <v>421</v>
      </c>
      <c r="B276" s="41" t="s">
        <v>1025</v>
      </c>
      <c r="C276" s="41" t="s">
        <v>281</v>
      </c>
      <c r="D276" s="41" t="s">
        <v>135</v>
      </c>
      <c r="E276" s="41"/>
      <c r="F276" s="41"/>
      <c r="G276" s="10">
        <f>G277+G281</f>
        <v>290.3</v>
      </c>
      <c r="H276" s="10">
        <f>H277+H281</f>
        <v>290.3</v>
      </c>
    </row>
    <row r="277" spans="1:8" ht="157.5">
      <c r="A277" s="25" t="s">
        <v>440</v>
      </c>
      <c r="B277" s="20" t="s">
        <v>1026</v>
      </c>
      <c r="C277" s="20" t="s">
        <v>281</v>
      </c>
      <c r="D277" s="20" t="s">
        <v>135</v>
      </c>
      <c r="E277" s="20"/>
      <c r="F277" s="20"/>
      <c r="G277" s="10">
        <f>G278</f>
        <v>124.4</v>
      </c>
      <c r="H277" s="10">
        <f>H278</f>
        <v>124.4</v>
      </c>
    </row>
    <row r="278" spans="1:8" ht="47.25">
      <c r="A278" s="25" t="s">
        <v>289</v>
      </c>
      <c r="B278" s="20" t="s">
        <v>1026</v>
      </c>
      <c r="C278" s="20" t="s">
        <v>281</v>
      </c>
      <c r="D278" s="20" t="s">
        <v>135</v>
      </c>
      <c r="E278" s="20" t="s">
        <v>290</v>
      </c>
      <c r="F278" s="20"/>
      <c r="G278" s="10">
        <f>G279</f>
        <v>124.4</v>
      </c>
      <c r="H278" s="10">
        <f>H279</f>
        <v>124.4</v>
      </c>
    </row>
    <row r="279" spans="1:8" ht="15.75">
      <c r="A279" s="25" t="s">
        <v>291</v>
      </c>
      <c r="B279" s="20" t="s">
        <v>1026</v>
      </c>
      <c r="C279" s="20" t="s">
        <v>281</v>
      </c>
      <c r="D279" s="20" t="s">
        <v>135</v>
      </c>
      <c r="E279" s="20" t="s">
        <v>292</v>
      </c>
      <c r="F279" s="20"/>
      <c r="G279" s="10">
        <f>'пр.6.1.ведом.21-22'!G545</f>
        <v>124.4</v>
      </c>
      <c r="H279" s="10">
        <f>'пр.6.1.ведом.21-22'!H545</f>
        <v>124.4</v>
      </c>
    </row>
    <row r="280" spans="1:8" ht="31.5">
      <c r="A280" s="30" t="s">
        <v>420</v>
      </c>
      <c r="B280" s="20" t="s">
        <v>1026</v>
      </c>
      <c r="C280" s="41" t="s">
        <v>281</v>
      </c>
      <c r="D280" s="41" t="s">
        <v>135</v>
      </c>
      <c r="E280" s="41" t="s">
        <v>292</v>
      </c>
      <c r="F280" s="41" t="s">
        <v>654</v>
      </c>
      <c r="G280" s="10">
        <f>G279</f>
        <v>124.4</v>
      </c>
      <c r="H280" s="10">
        <f>H279</f>
        <v>124.4</v>
      </c>
    </row>
    <row r="281" spans="1:8" ht="157.5">
      <c r="A281" s="25" t="s">
        <v>440</v>
      </c>
      <c r="B281" s="20" t="s">
        <v>1027</v>
      </c>
      <c r="C281" s="20" t="s">
        <v>281</v>
      </c>
      <c r="D281" s="20" t="s">
        <v>135</v>
      </c>
      <c r="E281" s="20"/>
      <c r="F281" s="20"/>
      <c r="G281" s="10">
        <f>G282</f>
        <v>165.9</v>
      </c>
      <c r="H281" s="10">
        <f>H282</f>
        <v>165.9</v>
      </c>
    </row>
    <row r="282" spans="1:8" ht="47.25">
      <c r="A282" s="25" t="s">
        <v>289</v>
      </c>
      <c r="B282" s="20" t="s">
        <v>1027</v>
      </c>
      <c r="C282" s="20" t="s">
        <v>281</v>
      </c>
      <c r="D282" s="20" t="s">
        <v>135</v>
      </c>
      <c r="E282" s="20" t="s">
        <v>290</v>
      </c>
      <c r="F282" s="20"/>
      <c r="G282" s="10">
        <f>G283</f>
        <v>165.9</v>
      </c>
      <c r="H282" s="10">
        <f>H283</f>
        <v>165.9</v>
      </c>
    </row>
    <row r="283" spans="1:8" ht="15.75">
      <c r="A283" s="25" t="s">
        <v>291</v>
      </c>
      <c r="B283" s="20" t="s">
        <v>1027</v>
      </c>
      <c r="C283" s="20" t="s">
        <v>281</v>
      </c>
      <c r="D283" s="20" t="s">
        <v>135</v>
      </c>
      <c r="E283" s="20" t="s">
        <v>292</v>
      </c>
      <c r="F283" s="20"/>
      <c r="G283" s="10">
        <f>'пр.6.1.ведом.21-22'!G548</f>
        <v>165.9</v>
      </c>
      <c r="H283" s="10">
        <f>'пр.6.1.ведом.21-22'!H548</f>
        <v>165.9</v>
      </c>
    </row>
    <row r="284" spans="1:8" ht="31.5">
      <c r="A284" s="30" t="s">
        <v>420</v>
      </c>
      <c r="B284" s="20" t="s">
        <v>1027</v>
      </c>
      <c r="C284" s="41" t="s">
        <v>281</v>
      </c>
      <c r="D284" s="41" t="s">
        <v>135</v>
      </c>
      <c r="E284" s="41" t="s">
        <v>292</v>
      </c>
      <c r="F284" s="41" t="s">
        <v>654</v>
      </c>
      <c r="G284" s="10">
        <f>G283</f>
        <v>165.9</v>
      </c>
      <c r="H284" s="10">
        <f>H283</f>
        <v>165.9</v>
      </c>
    </row>
    <row r="285" spans="1:8" ht="47.25">
      <c r="A285" s="42" t="s">
        <v>447</v>
      </c>
      <c r="B285" s="7" t="s">
        <v>448</v>
      </c>
      <c r="C285" s="7"/>
      <c r="D285" s="7"/>
      <c r="E285" s="7"/>
      <c r="F285" s="7"/>
      <c r="G285" s="4">
        <f>G286+G305+G316+G327+G338</f>
        <v>8975.3</v>
      </c>
      <c r="H285" s="4">
        <f>H286+H305+H316+H327+H338</f>
        <v>8975.3</v>
      </c>
    </row>
    <row r="286" spans="1:8" ht="31.5">
      <c r="A286" s="23" t="s">
        <v>1037</v>
      </c>
      <c r="B286" s="24" t="s">
        <v>1038</v>
      </c>
      <c r="C286" s="7"/>
      <c r="D286" s="7"/>
      <c r="E286" s="7"/>
      <c r="F286" s="7"/>
      <c r="G286" s="4">
        <f>G287</f>
        <v>224</v>
      </c>
      <c r="H286" s="4">
        <f>H287</f>
        <v>224</v>
      </c>
    </row>
    <row r="287" spans="1:8" ht="15.75">
      <c r="A287" s="30" t="s">
        <v>280</v>
      </c>
      <c r="B287" s="41" t="s">
        <v>1038</v>
      </c>
      <c r="C287" s="41" t="s">
        <v>281</v>
      </c>
      <c r="D287" s="41"/>
      <c r="E287" s="41"/>
      <c r="F287" s="41"/>
      <c r="G287" s="10">
        <f aca="true" t="shared" si="40" ref="G287:H287">G288</f>
        <v>224</v>
      </c>
      <c r="H287" s="10">
        <f t="shared" si="40"/>
        <v>224</v>
      </c>
    </row>
    <row r="288" spans="1:8" ht="15.75">
      <c r="A288" s="30" t="s">
        <v>442</v>
      </c>
      <c r="B288" s="41" t="s">
        <v>1038</v>
      </c>
      <c r="C288" s="41" t="s">
        <v>281</v>
      </c>
      <c r="D288" s="41" t="s">
        <v>230</v>
      </c>
      <c r="E288" s="41"/>
      <c r="F288" s="41"/>
      <c r="G288" s="10">
        <f>G289+G293+G297+G301</f>
        <v>224</v>
      </c>
      <c r="H288" s="10">
        <f>H289+H293+H297+H301</f>
        <v>224</v>
      </c>
    </row>
    <row r="289" spans="1:8" ht="47.25" hidden="1">
      <c r="A289" s="25" t="s">
        <v>815</v>
      </c>
      <c r="B289" s="20" t="s">
        <v>1042</v>
      </c>
      <c r="C289" s="41" t="s">
        <v>281</v>
      </c>
      <c r="D289" s="41" t="s">
        <v>230</v>
      </c>
      <c r="E289" s="41"/>
      <c r="F289" s="41"/>
      <c r="G289" s="6">
        <f>G290</f>
        <v>0</v>
      </c>
      <c r="H289" s="6">
        <f>H290</f>
        <v>0</v>
      </c>
    </row>
    <row r="290" spans="1:8" ht="47.25" hidden="1">
      <c r="A290" s="25" t="s">
        <v>289</v>
      </c>
      <c r="B290" s="20" t="s">
        <v>1042</v>
      </c>
      <c r="C290" s="41" t="s">
        <v>281</v>
      </c>
      <c r="D290" s="41" t="s">
        <v>230</v>
      </c>
      <c r="E290" s="41" t="s">
        <v>290</v>
      </c>
      <c r="F290" s="41"/>
      <c r="G290" s="6">
        <f>G291</f>
        <v>0</v>
      </c>
      <c r="H290" s="6">
        <f>H291</f>
        <v>0</v>
      </c>
    </row>
    <row r="291" spans="1:8" ht="15.75" hidden="1">
      <c r="A291" s="25" t="s">
        <v>291</v>
      </c>
      <c r="B291" s="20" t="s">
        <v>1042</v>
      </c>
      <c r="C291" s="41" t="s">
        <v>281</v>
      </c>
      <c r="D291" s="41" t="s">
        <v>230</v>
      </c>
      <c r="E291" s="41" t="s">
        <v>292</v>
      </c>
      <c r="F291" s="41"/>
      <c r="G291" s="6">
        <f>'пр.6.1.ведом.21-22'!G592</f>
        <v>0</v>
      </c>
      <c r="H291" s="6">
        <f>'пр.6.1.ведом.21-22'!H592</f>
        <v>0</v>
      </c>
    </row>
    <row r="292" spans="1:8" ht="31.5" hidden="1">
      <c r="A292" s="30" t="s">
        <v>420</v>
      </c>
      <c r="B292" s="20" t="s">
        <v>1042</v>
      </c>
      <c r="C292" s="41" t="s">
        <v>281</v>
      </c>
      <c r="D292" s="41" t="s">
        <v>230</v>
      </c>
      <c r="E292" s="41" t="s">
        <v>292</v>
      </c>
      <c r="F292" s="41" t="s">
        <v>654</v>
      </c>
      <c r="G292" s="10">
        <f>G291</f>
        <v>0</v>
      </c>
      <c r="H292" s="10">
        <f>H291</f>
        <v>0</v>
      </c>
    </row>
    <row r="293" spans="1:8" ht="47.25" hidden="1">
      <c r="A293" s="25" t="s">
        <v>295</v>
      </c>
      <c r="B293" s="20" t="s">
        <v>1043</v>
      </c>
      <c r="C293" s="41" t="s">
        <v>281</v>
      </c>
      <c r="D293" s="41" t="s">
        <v>230</v>
      </c>
      <c r="E293" s="41"/>
      <c r="F293" s="41"/>
      <c r="G293" s="6">
        <f aca="true" t="shared" si="41" ref="G293:H294">G294</f>
        <v>0</v>
      </c>
      <c r="H293" s="6">
        <f t="shared" si="41"/>
        <v>0</v>
      </c>
    </row>
    <row r="294" spans="1:8" ht="47.25" hidden="1">
      <c r="A294" s="25" t="s">
        <v>289</v>
      </c>
      <c r="B294" s="20" t="s">
        <v>1043</v>
      </c>
      <c r="C294" s="41" t="s">
        <v>281</v>
      </c>
      <c r="D294" s="41" t="s">
        <v>230</v>
      </c>
      <c r="E294" s="41" t="s">
        <v>290</v>
      </c>
      <c r="F294" s="41"/>
      <c r="G294" s="6">
        <f t="shared" si="41"/>
        <v>0</v>
      </c>
      <c r="H294" s="6">
        <f t="shared" si="41"/>
        <v>0</v>
      </c>
    </row>
    <row r="295" spans="1:8" ht="15.75" hidden="1">
      <c r="A295" s="25" t="s">
        <v>291</v>
      </c>
      <c r="B295" s="20" t="s">
        <v>1043</v>
      </c>
      <c r="C295" s="41" t="s">
        <v>281</v>
      </c>
      <c r="D295" s="41" t="s">
        <v>230</v>
      </c>
      <c r="E295" s="41" t="s">
        <v>292</v>
      </c>
      <c r="F295" s="41"/>
      <c r="G295" s="6">
        <f>'пр.6.1.ведом.21-22'!G595</f>
        <v>0</v>
      </c>
      <c r="H295" s="6">
        <f>'пр.6.1.ведом.21-22'!H595</f>
        <v>0</v>
      </c>
    </row>
    <row r="296" spans="1:8" ht="31.5" hidden="1">
      <c r="A296" s="30" t="s">
        <v>420</v>
      </c>
      <c r="B296" s="20" t="s">
        <v>1043</v>
      </c>
      <c r="C296" s="41" t="s">
        <v>281</v>
      </c>
      <c r="D296" s="41" t="s">
        <v>230</v>
      </c>
      <c r="E296" s="41" t="s">
        <v>292</v>
      </c>
      <c r="F296" s="41" t="s">
        <v>654</v>
      </c>
      <c r="G296" s="10">
        <f>G295</f>
        <v>0</v>
      </c>
      <c r="H296" s="10">
        <f>H295</f>
        <v>0</v>
      </c>
    </row>
    <row r="297" spans="1:8" ht="31.5" hidden="1">
      <c r="A297" s="25" t="s">
        <v>297</v>
      </c>
      <c r="B297" s="20" t="s">
        <v>1044</v>
      </c>
      <c r="C297" s="41" t="s">
        <v>281</v>
      </c>
      <c r="D297" s="41" t="s">
        <v>230</v>
      </c>
      <c r="E297" s="41"/>
      <c r="F297" s="41"/>
      <c r="G297" s="6">
        <f aca="true" t="shared" si="42" ref="G297:H298">G298</f>
        <v>0</v>
      </c>
      <c r="H297" s="6">
        <f t="shared" si="42"/>
        <v>0</v>
      </c>
    </row>
    <row r="298" spans="1:8" ht="47.25" hidden="1">
      <c r="A298" s="25" t="s">
        <v>289</v>
      </c>
      <c r="B298" s="20" t="s">
        <v>1044</v>
      </c>
      <c r="C298" s="41" t="s">
        <v>281</v>
      </c>
      <c r="D298" s="41" t="s">
        <v>230</v>
      </c>
      <c r="E298" s="41" t="s">
        <v>290</v>
      </c>
      <c r="F298" s="41"/>
      <c r="G298" s="6">
        <f t="shared" si="42"/>
        <v>0</v>
      </c>
      <c r="H298" s="6">
        <f t="shared" si="42"/>
        <v>0</v>
      </c>
    </row>
    <row r="299" spans="1:8" ht="15.75" hidden="1">
      <c r="A299" s="25" t="s">
        <v>291</v>
      </c>
      <c r="B299" s="20" t="s">
        <v>1044</v>
      </c>
      <c r="C299" s="41" t="s">
        <v>281</v>
      </c>
      <c r="D299" s="41" t="s">
        <v>230</v>
      </c>
      <c r="E299" s="41" t="s">
        <v>292</v>
      </c>
      <c r="F299" s="41"/>
      <c r="G299" s="6">
        <f>'пр.6.1.ведом.21-22'!G598</f>
        <v>0</v>
      </c>
      <c r="H299" s="6">
        <f>'пр.6.1.ведом.21-22'!H598</f>
        <v>0</v>
      </c>
    </row>
    <row r="300" spans="1:8" ht="31.5" hidden="1">
      <c r="A300" s="30" t="s">
        <v>420</v>
      </c>
      <c r="B300" s="20" t="s">
        <v>1044</v>
      </c>
      <c r="C300" s="41" t="s">
        <v>281</v>
      </c>
      <c r="D300" s="41" t="s">
        <v>230</v>
      </c>
      <c r="E300" s="41" t="s">
        <v>292</v>
      </c>
      <c r="F300" s="41" t="s">
        <v>654</v>
      </c>
      <c r="G300" s="10">
        <f>G299</f>
        <v>0</v>
      </c>
      <c r="H300" s="10">
        <f>H299</f>
        <v>0</v>
      </c>
    </row>
    <row r="301" spans="1:8" ht="47.25">
      <c r="A301" s="30" t="s">
        <v>299</v>
      </c>
      <c r="B301" s="20" t="s">
        <v>1045</v>
      </c>
      <c r="C301" s="41" t="s">
        <v>281</v>
      </c>
      <c r="D301" s="41" t="s">
        <v>230</v>
      </c>
      <c r="E301" s="41"/>
      <c r="F301" s="41"/>
      <c r="G301" s="10">
        <f aca="true" t="shared" si="43" ref="G301:H302">G302</f>
        <v>224</v>
      </c>
      <c r="H301" s="10">
        <f t="shared" si="43"/>
        <v>224</v>
      </c>
    </row>
    <row r="302" spans="1:8" ht="47.25">
      <c r="A302" s="30" t="s">
        <v>289</v>
      </c>
      <c r="B302" s="20" t="s">
        <v>1045</v>
      </c>
      <c r="C302" s="41" t="s">
        <v>281</v>
      </c>
      <c r="D302" s="41" t="s">
        <v>230</v>
      </c>
      <c r="E302" s="41" t="s">
        <v>290</v>
      </c>
      <c r="F302" s="41"/>
      <c r="G302" s="10">
        <f t="shared" si="43"/>
        <v>224</v>
      </c>
      <c r="H302" s="10">
        <f t="shared" si="43"/>
        <v>224</v>
      </c>
    </row>
    <row r="303" spans="1:8" ht="15.75">
      <c r="A303" s="30" t="s">
        <v>291</v>
      </c>
      <c r="B303" s="20" t="s">
        <v>1045</v>
      </c>
      <c r="C303" s="41" t="s">
        <v>281</v>
      </c>
      <c r="D303" s="41" t="s">
        <v>230</v>
      </c>
      <c r="E303" s="41" t="s">
        <v>292</v>
      </c>
      <c r="F303" s="41"/>
      <c r="G303" s="10">
        <f>'пр.6.1.ведом.21-22'!G601</f>
        <v>224</v>
      </c>
      <c r="H303" s="10">
        <f>'пр.6.1.ведом.21-22'!H601</f>
        <v>224</v>
      </c>
    </row>
    <row r="304" spans="1:8" ht="31.5">
      <c r="A304" s="30" t="s">
        <v>420</v>
      </c>
      <c r="B304" s="20" t="s">
        <v>1045</v>
      </c>
      <c r="C304" s="41" t="s">
        <v>281</v>
      </c>
      <c r="D304" s="41" t="s">
        <v>230</v>
      </c>
      <c r="E304" s="41" t="s">
        <v>292</v>
      </c>
      <c r="F304" s="41" t="s">
        <v>654</v>
      </c>
      <c r="G304" s="10">
        <f>G303</f>
        <v>224</v>
      </c>
      <c r="H304" s="10">
        <f>H303</f>
        <v>224</v>
      </c>
    </row>
    <row r="305" spans="1:8" ht="47.25">
      <c r="A305" s="23" t="s">
        <v>1039</v>
      </c>
      <c r="B305" s="24" t="s">
        <v>1040</v>
      </c>
      <c r="C305" s="7"/>
      <c r="D305" s="7"/>
      <c r="E305" s="7"/>
      <c r="F305" s="7"/>
      <c r="G305" s="62">
        <f>G308+G312</f>
        <v>4582.6</v>
      </c>
      <c r="H305" s="62">
        <f>H308+H312</f>
        <v>4582.6</v>
      </c>
    </row>
    <row r="306" spans="1:8" ht="15.75">
      <c r="A306" s="30" t="s">
        <v>280</v>
      </c>
      <c r="B306" s="41" t="s">
        <v>1040</v>
      </c>
      <c r="C306" s="41" t="s">
        <v>281</v>
      </c>
      <c r="D306" s="41"/>
      <c r="E306" s="41"/>
      <c r="F306" s="41"/>
      <c r="G306" s="10">
        <f aca="true" t="shared" si="44" ref="G306:H306">G307</f>
        <v>4582.6</v>
      </c>
      <c r="H306" s="10">
        <f t="shared" si="44"/>
        <v>4582.6</v>
      </c>
    </row>
    <row r="307" spans="1:8" ht="15.75">
      <c r="A307" s="30" t="s">
        <v>442</v>
      </c>
      <c r="B307" s="41" t="s">
        <v>1040</v>
      </c>
      <c r="C307" s="41" t="s">
        <v>281</v>
      </c>
      <c r="D307" s="41" t="s">
        <v>230</v>
      </c>
      <c r="E307" s="41"/>
      <c r="F307" s="41"/>
      <c r="G307" s="10">
        <f>G308+G312</f>
        <v>4582.6</v>
      </c>
      <c r="H307" s="10">
        <f>H308+H312</f>
        <v>4582.6</v>
      </c>
    </row>
    <row r="308" spans="1:8" ht="47.25">
      <c r="A308" s="30" t="s">
        <v>620</v>
      </c>
      <c r="B308" s="20" t="s">
        <v>1046</v>
      </c>
      <c r="C308" s="41" t="s">
        <v>281</v>
      </c>
      <c r="D308" s="41" t="s">
        <v>230</v>
      </c>
      <c r="E308" s="41"/>
      <c r="F308" s="41"/>
      <c r="G308" s="10">
        <f aca="true" t="shared" si="45" ref="G308:H309">G309</f>
        <v>2914.0000000000005</v>
      </c>
      <c r="H308" s="10">
        <f t="shared" si="45"/>
        <v>2914.0000000000005</v>
      </c>
    </row>
    <row r="309" spans="1:8" ht="47.25">
      <c r="A309" s="30" t="s">
        <v>289</v>
      </c>
      <c r="B309" s="20" t="s">
        <v>1046</v>
      </c>
      <c r="C309" s="41" t="s">
        <v>281</v>
      </c>
      <c r="D309" s="41" t="s">
        <v>230</v>
      </c>
      <c r="E309" s="41" t="s">
        <v>290</v>
      </c>
      <c r="F309" s="41"/>
      <c r="G309" s="10">
        <f t="shared" si="45"/>
        <v>2914.0000000000005</v>
      </c>
      <c r="H309" s="10">
        <f t="shared" si="45"/>
        <v>2914.0000000000005</v>
      </c>
    </row>
    <row r="310" spans="1:8" ht="15.75">
      <c r="A310" s="30" t="s">
        <v>291</v>
      </c>
      <c r="B310" s="20" t="s">
        <v>1046</v>
      </c>
      <c r="C310" s="41" t="s">
        <v>281</v>
      </c>
      <c r="D310" s="41" t="s">
        <v>230</v>
      </c>
      <c r="E310" s="41" t="s">
        <v>292</v>
      </c>
      <c r="F310" s="41"/>
      <c r="G310" s="6">
        <f>'пр.6.1.ведом.21-22'!G605</f>
        <v>2914.0000000000005</v>
      </c>
      <c r="H310" s="6">
        <f>'пр.6.1.ведом.21-22'!H605</f>
        <v>2914.0000000000005</v>
      </c>
    </row>
    <row r="311" spans="1:8" ht="31.5">
      <c r="A311" s="30" t="s">
        <v>420</v>
      </c>
      <c r="B311" s="20" t="s">
        <v>1046</v>
      </c>
      <c r="C311" s="41" t="s">
        <v>281</v>
      </c>
      <c r="D311" s="41" t="s">
        <v>230</v>
      </c>
      <c r="E311" s="41" t="s">
        <v>292</v>
      </c>
      <c r="F311" s="41" t="s">
        <v>654</v>
      </c>
      <c r="G311" s="10">
        <f>G310</f>
        <v>2914.0000000000005</v>
      </c>
      <c r="H311" s="10">
        <f>H310</f>
        <v>2914.0000000000005</v>
      </c>
    </row>
    <row r="312" spans="1:8" ht="31.5">
      <c r="A312" s="25" t="s">
        <v>473</v>
      </c>
      <c r="B312" s="20" t="s">
        <v>1047</v>
      </c>
      <c r="C312" s="41" t="s">
        <v>281</v>
      </c>
      <c r="D312" s="41" t="s">
        <v>230</v>
      </c>
      <c r="E312" s="41"/>
      <c r="F312" s="41"/>
      <c r="G312" s="10">
        <f>G313</f>
        <v>1668.6</v>
      </c>
      <c r="H312" s="10">
        <f>H313</f>
        <v>1668.6</v>
      </c>
    </row>
    <row r="313" spans="1:8" ht="47.25">
      <c r="A313" s="25" t="s">
        <v>289</v>
      </c>
      <c r="B313" s="20" t="s">
        <v>1047</v>
      </c>
      <c r="C313" s="41" t="s">
        <v>281</v>
      </c>
      <c r="D313" s="41" t="s">
        <v>230</v>
      </c>
      <c r="E313" s="41" t="s">
        <v>290</v>
      </c>
      <c r="F313" s="41"/>
      <c r="G313" s="10">
        <f>G314</f>
        <v>1668.6</v>
      </c>
      <c r="H313" s="10">
        <f>H314</f>
        <v>1668.6</v>
      </c>
    </row>
    <row r="314" spans="1:8" ht="15.75">
      <c r="A314" s="25" t="s">
        <v>291</v>
      </c>
      <c r="B314" s="20" t="s">
        <v>1047</v>
      </c>
      <c r="C314" s="41" t="s">
        <v>281</v>
      </c>
      <c r="D314" s="41" t="s">
        <v>230</v>
      </c>
      <c r="E314" s="41" t="s">
        <v>292</v>
      </c>
      <c r="F314" s="41"/>
      <c r="G314" s="10">
        <f>'пр.6.1.ведом.21-22'!G608</f>
        <v>1668.6</v>
      </c>
      <c r="H314" s="10">
        <f>'пр.6.1.ведом.21-22'!H608</f>
        <v>1668.6</v>
      </c>
    </row>
    <row r="315" spans="1:8" ht="31.5">
      <c r="A315" s="30" t="s">
        <v>420</v>
      </c>
      <c r="B315" s="20" t="s">
        <v>1047</v>
      </c>
      <c r="C315" s="41" t="s">
        <v>281</v>
      </c>
      <c r="D315" s="41" t="s">
        <v>230</v>
      </c>
      <c r="E315" s="41" t="s">
        <v>292</v>
      </c>
      <c r="F315" s="41" t="s">
        <v>654</v>
      </c>
      <c r="G315" s="10">
        <f>G314</f>
        <v>1668.6</v>
      </c>
      <c r="H315" s="10">
        <f>H314</f>
        <v>1668.6</v>
      </c>
    </row>
    <row r="316" spans="1:8" ht="31.5">
      <c r="A316" s="23" t="s">
        <v>1041</v>
      </c>
      <c r="B316" s="24" t="s">
        <v>1048</v>
      </c>
      <c r="C316" s="7"/>
      <c r="D316" s="7"/>
      <c r="E316" s="7"/>
      <c r="F316" s="7"/>
      <c r="G316" s="62">
        <f>G319+G323</f>
        <v>912.7</v>
      </c>
      <c r="H316" s="62">
        <f>H319+H323</f>
        <v>912.7</v>
      </c>
    </row>
    <row r="317" spans="1:8" ht="15.75">
      <c r="A317" s="30" t="s">
        <v>280</v>
      </c>
      <c r="B317" s="41" t="s">
        <v>1048</v>
      </c>
      <c r="C317" s="41" t="s">
        <v>281</v>
      </c>
      <c r="D317" s="41"/>
      <c r="E317" s="41"/>
      <c r="F317" s="41"/>
      <c r="G317" s="10">
        <f aca="true" t="shared" si="46" ref="G317:H317">G318</f>
        <v>912.7</v>
      </c>
      <c r="H317" s="10">
        <f t="shared" si="46"/>
        <v>912.7</v>
      </c>
    </row>
    <row r="318" spans="1:8" ht="15.75">
      <c r="A318" s="30" t="s">
        <v>442</v>
      </c>
      <c r="B318" s="41" t="s">
        <v>1048</v>
      </c>
      <c r="C318" s="41" t="s">
        <v>281</v>
      </c>
      <c r="D318" s="41" t="s">
        <v>230</v>
      </c>
      <c r="E318" s="41"/>
      <c r="F318" s="41"/>
      <c r="G318" s="10">
        <f>G319+G323</f>
        <v>912.7</v>
      </c>
      <c r="H318" s="10">
        <f>H319+H323</f>
        <v>912.7</v>
      </c>
    </row>
    <row r="319" spans="1:8" ht="63">
      <c r="A319" s="25" t="s">
        <v>455</v>
      </c>
      <c r="B319" s="20" t="s">
        <v>1049</v>
      </c>
      <c r="C319" s="41" t="s">
        <v>281</v>
      </c>
      <c r="D319" s="41" t="s">
        <v>230</v>
      </c>
      <c r="E319" s="41"/>
      <c r="F319" s="41"/>
      <c r="G319" s="10">
        <f>G320</f>
        <v>416</v>
      </c>
      <c r="H319" s="10">
        <f>H320</f>
        <v>416</v>
      </c>
    </row>
    <row r="320" spans="1:8" ht="47.25">
      <c r="A320" s="25" t="s">
        <v>289</v>
      </c>
      <c r="B320" s="20" t="s">
        <v>1049</v>
      </c>
      <c r="C320" s="41" t="s">
        <v>281</v>
      </c>
      <c r="D320" s="41" t="s">
        <v>230</v>
      </c>
      <c r="E320" s="41" t="s">
        <v>290</v>
      </c>
      <c r="F320" s="41"/>
      <c r="G320" s="10">
        <f>G321</f>
        <v>416</v>
      </c>
      <c r="H320" s="10">
        <f>H321</f>
        <v>416</v>
      </c>
    </row>
    <row r="321" spans="1:8" ht="15.75">
      <c r="A321" s="25" t="s">
        <v>291</v>
      </c>
      <c r="B321" s="20" t="s">
        <v>1049</v>
      </c>
      <c r="C321" s="41" t="s">
        <v>281</v>
      </c>
      <c r="D321" s="41" t="s">
        <v>230</v>
      </c>
      <c r="E321" s="41" t="s">
        <v>292</v>
      </c>
      <c r="F321" s="41"/>
      <c r="G321" s="10">
        <f>'пр.6.1.ведом.21-22'!G612</f>
        <v>416</v>
      </c>
      <c r="H321" s="10">
        <f>'пр.6.1.ведом.21-22'!H612</f>
        <v>416</v>
      </c>
    </row>
    <row r="322" spans="1:8" ht="31.5">
      <c r="A322" s="30" t="s">
        <v>420</v>
      </c>
      <c r="B322" s="20" t="s">
        <v>1049</v>
      </c>
      <c r="C322" s="41" t="s">
        <v>281</v>
      </c>
      <c r="D322" s="41" t="s">
        <v>230</v>
      </c>
      <c r="E322" s="41" t="s">
        <v>292</v>
      </c>
      <c r="F322" s="41" t="s">
        <v>654</v>
      </c>
      <c r="G322" s="10">
        <f>G321</f>
        <v>416</v>
      </c>
      <c r="H322" s="10">
        <f>H321</f>
        <v>416</v>
      </c>
    </row>
    <row r="323" spans="1:8" ht="47.25">
      <c r="A323" s="25" t="s">
        <v>475</v>
      </c>
      <c r="B323" s="20" t="s">
        <v>1050</v>
      </c>
      <c r="C323" s="41" t="s">
        <v>281</v>
      </c>
      <c r="D323" s="41" t="s">
        <v>230</v>
      </c>
      <c r="E323" s="41"/>
      <c r="F323" s="41"/>
      <c r="G323" s="10">
        <f>G324</f>
        <v>496.7</v>
      </c>
      <c r="H323" s="10">
        <f>H324</f>
        <v>496.7</v>
      </c>
    </row>
    <row r="324" spans="1:8" ht="47.25">
      <c r="A324" s="387" t="s">
        <v>289</v>
      </c>
      <c r="B324" s="20" t="s">
        <v>1050</v>
      </c>
      <c r="C324" s="41" t="s">
        <v>281</v>
      </c>
      <c r="D324" s="41" t="s">
        <v>230</v>
      </c>
      <c r="E324" s="41" t="s">
        <v>290</v>
      </c>
      <c r="F324" s="41"/>
      <c r="G324" s="10">
        <f>G325</f>
        <v>496.7</v>
      </c>
      <c r="H324" s="10">
        <f>H325</f>
        <v>496.7</v>
      </c>
    </row>
    <row r="325" spans="1:8" ht="15.75">
      <c r="A325" s="25" t="s">
        <v>291</v>
      </c>
      <c r="B325" s="20" t="s">
        <v>1050</v>
      </c>
      <c r="C325" s="41" t="s">
        <v>281</v>
      </c>
      <c r="D325" s="41" t="s">
        <v>230</v>
      </c>
      <c r="E325" s="41" t="s">
        <v>292</v>
      </c>
      <c r="F325" s="41"/>
      <c r="G325" s="10">
        <f>'пр.6.1.ведом.21-22'!G615</f>
        <v>496.7</v>
      </c>
      <c r="H325" s="10">
        <f>'пр.6.1.ведом.21-22'!H615</f>
        <v>496.7</v>
      </c>
    </row>
    <row r="326" spans="1:8" ht="31.5">
      <c r="A326" s="30" t="s">
        <v>420</v>
      </c>
      <c r="B326" s="20" t="s">
        <v>1050</v>
      </c>
      <c r="C326" s="41" t="s">
        <v>281</v>
      </c>
      <c r="D326" s="41" t="s">
        <v>230</v>
      </c>
      <c r="E326" s="41" t="s">
        <v>292</v>
      </c>
      <c r="F326" s="41" t="s">
        <v>654</v>
      </c>
      <c r="G326" s="10">
        <f>G325</f>
        <v>496.7</v>
      </c>
      <c r="H326" s="10">
        <f>H325</f>
        <v>496.7</v>
      </c>
    </row>
    <row r="327" spans="1:8" ht="47.25">
      <c r="A327" s="319" t="s">
        <v>1085</v>
      </c>
      <c r="B327" s="24" t="s">
        <v>1051</v>
      </c>
      <c r="C327" s="7"/>
      <c r="D327" s="7"/>
      <c r="E327" s="7"/>
      <c r="F327" s="7"/>
      <c r="G327" s="62">
        <f>G330+G334</f>
        <v>2634</v>
      </c>
      <c r="H327" s="62">
        <f>H330+H334</f>
        <v>2634</v>
      </c>
    </row>
    <row r="328" spans="1:8" ht="15.75">
      <c r="A328" s="30" t="s">
        <v>280</v>
      </c>
      <c r="B328" s="41" t="s">
        <v>1051</v>
      </c>
      <c r="C328" s="41" t="s">
        <v>281</v>
      </c>
      <c r="D328" s="41"/>
      <c r="E328" s="41"/>
      <c r="F328" s="41"/>
      <c r="G328" s="10">
        <f aca="true" t="shared" si="47" ref="G328:H328">G329</f>
        <v>2634</v>
      </c>
      <c r="H328" s="10">
        <f t="shared" si="47"/>
        <v>2634</v>
      </c>
    </row>
    <row r="329" spans="1:8" ht="15.75">
      <c r="A329" s="30" t="s">
        <v>442</v>
      </c>
      <c r="B329" s="41" t="s">
        <v>1051</v>
      </c>
      <c r="C329" s="41" t="s">
        <v>281</v>
      </c>
      <c r="D329" s="41" t="s">
        <v>230</v>
      </c>
      <c r="E329" s="41"/>
      <c r="F329" s="41"/>
      <c r="G329" s="10">
        <f>G330+G334</f>
        <v>2634</v>
      </c>
      <c r="H329" s="10">
        <f>H330+H334</f>
        <v>2634</v>
      </c>
    </row>
    <row r="330" spans="1:8" ht="31.5" hidden="1">
      <c r="A330" s="30" t="s">
        <v>301</v>
      </c>
      <c r="B330" s="20" t="s">
        <v>1053</v>
      </c>
      <c r="C330" s="41" t="s">
        <v>281</v>
      </c>
      <c r="D330" s="41" t="s">
        <v>230</v>
      </c>
      <c r="E330" s="41"/>
      <c r="F330" s="41"/>
      <c r="G330" s="10">
        <f aca="true" t="shared" si="48" ref="G330:H331">G331</f>
        <v>0</v>
      </c>
      <c r="H330" s="10">
        <f t="shared" si="48"/>
        <v>0</v>
      </c>
    </row>
    <row r="331" spans="1:8" ht="47.25" hidden="1">
      <c r="A331" s="30" t="s">
        <v>289</v>
      </c>
      <c r="B331" s="20" t="s">
        <v>1053</v>
      </c>
      <c r="C331" s="41" t="s">
        <v>281</v>
      </c>
      <c r="D331" s="41" t="s">
        <v>230</v>
      </c>
      <c r="E331" s="41" t="s">
        <v>290</v>
      </c>
      <c r="F331" s="41"/>
      <c r="G331" s="10">
        <f t="shared" si="48"/>
        <v>0</v>
      </c>
      <c r="H331" s="10">
        <f t="shared" si="48"/>
        <v>0</v>
      </c>
    </row>
    <row r="332" spans="1:8" ht="15.75" hidden="1">
      <c r="A332" s="30" t="s">
        <v>291</v>
      </c>
      <c r="B332" s="20" t="s">
        <v>1053</v>
      </c>
      <c r="C332" s="41" t="s">
        <v>281</v>
      </c>
      <c r="D332" s="41" t="s">
        <v>230</v>
      </c>
      <c r="E332" s="41" t="s">
        <v>292</v>
      </c>
      <c r="F332" s="41"/>
      <c r="G332" s="10">
        <f>'пр.6.1.ведом.21-22'!G619</f>
        <v>0</v>
      </c>
      <c r="H332" s="10">
        <f>'пр.6.1.ведом.21-22'!H619</f>
        <v>0</v>
      </c>
    </row>
    <row r="333" spans="1:8" ht="31.5" hidden="1">
      <c r="A333" s="30" t="s">
        <v>420</v>
      </c>
      <c r="B333" s="20" t="s">
        <v>1053</v>
      </c>
      <c r="C333" s="41" t="s">
        <v>281</v>
      </c>
      <c r="D333" s="41" t="s">
        <v>230</v>
      </c>
      <c r="E333" s="41" t="s">
        <v>292</v>
      </c>
      <c r="F333" s="41" t="s">
        <v>654</v>
      </c>
      <c r="G333" s="10">
        <f>G332</f>
        <v>0</v>
      </c>
      <c r="H333" s="10">
        <f>H332</f>
        <v>0</v>
      </c>
    </row>
    <row r="334" spans="1:8" ht="47.25">
      <c r="A334" s="63" t="s">
        <v>789</v>
      </c>
      <c r="B334" s="20" t="s">
        <v>1054</v>
      </c>
      <c r="C334" s="41" t="s">
        <v>281</v>
      </c>
      <c r="D334" s="41" t="s">
        <v>230</v>
      </c>
      <c r="E334" s="41"/>
      <c r="F334" s="41"/>
      <c r="G334" s="10">
        <f aca="true" t="shared" si="49" ref="G334:H335">G335</f>
        <v>2634</v>
      </c>
      <c r="H334" s="10">
        <f t="shared" si="49"/>
        <v>2634</v>
      </c>
    </row>
    <row r="335" spans="1:8" ht="47.25">
      <c r="A335" s="30" t="s">
        <v>289</v>
      </c>
      <c r="B335" s="20" t="s">
        <v>1054</v>
      </c>
      <c r="C335" s="41" t="s">
        <v>281</v>
      </c>
      <c r="D335" s="41" t="s">
        <v>230</v>
      </c>
      <c r="E335" s="41" t="s">
        <v>290</v>
      </c>
      <c r="F335" s="41"/>
      <c r="G335" s="10">
        <f t="shared" si="49"/>
        <v>2634</v>
      </c>
      <c r="H335" s="10">
        <f t="shared" si="49"/>
        <v>2634</v>
      </c>
    </row>
    <row r="336" spans="1:8" ht="15.75">
      <c r="A336" s="208" t="s">
        <v>291</v>
      </c>
      <c r="B336" s="20" t="s">
        <v>1054</v>
      </c>
      <c r="C336" s="41" t="s">
        <v>281</v>
      </c>
      <c r="D336" s="41" t="s">
        <v>230</v>
      </c>
      <c r="E336" s="41" t="s">
        <v>292</v>
      </c>
      <c r="F336" s="41"/>
      <c r="G336" s="10">
        <f>'пр.6.1.ведом.21-22'!G622</f>
        <v>2634</v>
      </c>
      <c r="H336" s="10">
        <f>'пр.6.1.ведом.21-22'!H622</f>
        <v>2634</v>
      </c>
    </row>
    <row r="337" spans="1:8" ht="31.5">
      <c r="A337" s="30" t="s">
        <v>420</v>
      </c>
      <c r="B337" s="20" t="s">
        <v>1054</v>
      </c>
      <c r="C337" s="41" t="s">
        <v>281</v>
      </c>
      <c r="D337" s="41" t="s">
        <v>230</v>
      </c>
      <c r="E337" s="41" t="s">
        <v>292</v>
      </c>
      <c r="F337" s="41" t="s">
        <v>654</v>
      </c>
      <c r="G337" s="10">
        <f>G336</f>
        <v>2634</v>
      </c>
      <c r="H337" s="10">
        <f>H336</f>
        <v>2634</v>
      </c>
    </row>
    <row r="338" spans="1:8" ht="47.25">
      <c r="A338" s="317" t="s">
        <v>1056</v>
      </c>
      <c r="B338" s="24" t="s">
        <v>1052</v>
      </c>
      <c r="C338" s="7"/>
      <c r="D338" s="7"/>
      <c r="E338" s="7"/>
      <c r="F338" s="7"/>
      <c r="G338" s="62">
        <f>G341</f>
        <v>622</v>
      </c>
      <c r="H338" s="62">
        <f>H341</f>
        <v>622</v>
      </c>
    </row>
    <row r="339" spans="1:8" ht="15.75">
      <c r="A339" s="30" t="s">
        <v>280</v>
      </c>
      <c r="B339" s="41" t="s">
        <v>1052</v>
      </c>
      <c r="C339" s="41" t="s">
        <v>281</v>
      </c>
      <c r="D339" s="41"/>
      <c r="E339" s="41"/>
      <c r="F339" s="41"/>
      <c r="G339" s="10">
        <f aca="true" t="shared" si="50" ref="G339:H339">G340</f>
        <v>622</v>
      </c>
      <c r="H339" s="10">
        <f t="shared" si="50"/>
        <v>622</v>
      </c>
    </row>
    <row r="340" spans="1:8" ht="15.75">
      <c r="A340" s="30" t="s">
        <v>442</v>
      </c>
      <c r="B340" s="41" t="s">
        <v>1052</v>
      </c>
      <c r="C340" s="41" t="s">
        <v>281</v>
      </c>
      <c r="D340" s="41" t="s">
        <v>230</v>
      </c>
      <c r="E340" s="41"/>
      <c r="F340" s="41"/>
      <c r="G340" s="10">
        <f aca="true" t="shared" si="51" ref="G340:H342">G341</f>
        <v>622</v>
      </c>
      <c r="H340" s="10">
        <f t="shared" si="51"/>
        <v>622</v>
      </c>
    </row>
    <row r="341" spans="1:8" ht="63">
      <c r="A341" s="208" t="s">
        <v>878</v>
      </c>
      <c r="B341" s="20" t="s">
        <v>1055</v>
      </c>
      <c r="C341" s="41" t="s">
        <v>281</v>
      </c>
      <c r="D341" s="41" t="s">
        <v>230</v>
      </c>
      <c r="E341" s="41"/>
      <c r="F341" s="41"/>
      <c r="G341" s="10">
        <f t="shared" si="51"/>
        <v>622</v>
      </c>
      <c r="H341" s="10">
        <f t="shared" si="51"/>
        <v>622</v>
      </c>
    </row>
    <row r="342" spans="1:8" ht="47.25">
      <c r="A342" s="30" t="s">
        <v>289</v>
      </c>
      <c r="B342" s="20" t="s">
        <v>1055</v>
      </c>
      <c r="C342" s="41" t="s">
        <v>281</v>
      </c>
      <c r="D342" s="41" t="s">
        <v>230</v>
      </c>
      <c r="E342" s="41" t="s">
        <v>290</v>
      </c>
      <c r="F342" s="41"/>
      <c r="G342" s="10">
        <f t="shared" si="51"/>
        <v>622</v>
      </c>
      <c r="H342" s="10">
        <f t="shared" si="51"/>
        <v>622</v>
      </c>
    </row>
    <row r="343" spans="1:8" ht="15.75">
      <c r="A343" s="208" t="s">
        <v>291</v>
      </c>
      <c r="B343" s="20" t="s">
        <v>1055</v>
      </c>
      <c r="C343" s="41" t="s">
        <v>281</v>
      </c>
      <c r="D343" s="41" t="s">
        <v>230</v>
      </c>
      <c r="E343" s="41" t="s">
        <v>292</v>
      </c>
      <c r="F343" s="41"/>
      <c r="G343" s="10">
        <f>'пр.6.1.ведом.21-22'!G626</f>
        <v>622</v>
      </c>
      <c r="H343" s="10">
        <f>'пр.6.1.ведом.21-22'!H626</f>
        <v>622</v>
      </c>
    </row>
    <row r="344" spans="1:8" ht="31.5">
      <c r="A344" s="30" t="s">
        <v>420</v>
      </c>
      <c r="B344" s="20" t="s">
        <v>1055</v>
      </c>
      <c r="C344" s="41" t="s">
        <v>281</v>
      </c>
      <c r="D344" s="41" t="s">
        <v>230</v>
      </c>
      <c r="E344" s="41" t="s">
        <v>292</v>
      </c>
      <c r="F344" s="41" t="s">
        <v>654</v>
      </c>
      <c r="G344" s="10">
        <f>G343</f>
        <v>622</v>
      </c>
      <c r="H344" s="10">
        <f>H343</f>
        <v>622</v>
      </c>
    </row>
    <row r="345" spans="1:8" ht="47.25">
      <c r="A345" s="42" t="s">
        <v>463</v>
      </c>
      <c r="B345" s="7" t="s">
        <v>464</v>
      </c>
      <c r="C345" s="7"/>
      <c r="D345" s="7"/>
      <c r="E345" s="7"/>
      <c r="F345" s="7"/>
      <c r="G345" s="62">
        <f aca="true" t="shared" si="52" ref="G345:H345">G347</f>
        <v>689</v>
      </c>
      <c r="H345" s="62">
        <f t="shared" si="52"/>
        <v>689</v>
      </c>
    </row>
    <row r="346" spans="1:8" ht="47.25">
      <c r="A346" s="319" t="s">
        <v>1085</v>
      </c>
      <c r="B346" s="24" t="s">
        <v>1061</v>
      </c>
      <c r="C346" s="7"/>
      <c r="D346" s="7"/>
      <c r="E346" s="7"/>
      <c r="F346" s="7"/>
      <c r="G346" s="62">
        <f>G347</f>
        <v>689</v>
      </c>
      <c r="H346" s="62">
        <f>H347</f>
        <v>689</v>
      </c>
    </row>
    <row r="347" spans="1:8" ht="15.75">
      <c r="A347" s="30" t="s">
        <v>280</v>
      </c>
      <c r="B347" s="41" t="s">
        <v>1061</v>
      </c>
      <c r="C347" s="41" t="s">
        <v>281</v>
      </c>
      <c r="D347" s="41"/>
      <c r="E347" s="41"/>
      <c r="F347" s="41"/>
      <c r="G347" s="10">
        <f aca="true" t="shared" si="53" ref="G347:H347">G348</f>
        <v>689</v>
      </c>
      <c r="H347" s="10">
        <f t="shared" si="53"/>
        <v>689</v>
      </c>
    </row>
    <row r="348" spans="1:8" ht="15.75">
      <c r="A348" s="30" t="s">
        <v>282</v>
      </c>
      <c r="B348" s="41" t="s">
        <v>1061</v>
      </c>
      <c r="C348" s="41" t="s">
        <v>281</v>
      </c>
      <c r="D348" s="41" t="s">
        <v>232</v>
      </c>
      <c r="E348" s="41"/>
      <c r="F348" s="41"/>
      <c r="G348" s="10">
        <f>G349</f>
        <v>689</v>
      </c>
      <c r="H348" s="10">
        <f>H349</f>
        <v>689</v>
      </c>
    </row>
    <row r="349" spans="1:8" ht="47.25">
      <c r="A349" s="46" t="s">
        <v>789</v>
      </c>
      <c r="B349" s="20" t="s">
        <v>1062</v>
      </c>
      <c r="C349" s="20" t="s">
        <v>281</v>
      </c>
      <c r="D349" s="20" t="s">
        <v>232</v>
      </c>
      <c r="E349" s="20"/>
      <c r="F349" s="20"/>
      <c r="G349" s="10">
        <f aca="true" t="shared" si="54" ref="G349:H350">G350</f>
        <v>689</v>
      </c>
      <c r="H349" s="10">
        <f t="shared" si="54"/>
        <v>689</v>
      </c>
    </row>
    <row r="350" spans="1:8" ht="47.25">
      <c r="A350" s="30" t="s">
        <v>289</v>
      </c>
      <c r="B350" s="20" t="s">
        <v>1062</v>
      </c>
      <c r="C350" s="20" t="s">
        <v>281</v>
      </c>
      <c r="D350" s="20" t="s">
        <v>232</v>
      </c>
      <c r="E350" s="20" t="s">
        <v>290</v>
      </c>
      <c r="F350" s="20"/>
      <c r="G350" s="10">
        <f t="shared" si="54"/>
        <v>689</v>
      </c>
      <c r="H350" s="10">
        <f t="shared" si="54"/>
        <v>689</v>
      </c>
    </row>
    <row r="351" spans="1:8" ht="15.75">
      <c r="A351" s="32" t="s">
        <v>291</v>
      </c>
      <c r="B351" s="20" t="s">
        <v>1062</v>
      </c>
      <c r="C351" s="20" t="s">
        <v>281</v>
      </c>
      <c r="D351" s="20" t="s">
        <v>232</v>
      </c>
      <c r="E351" s="20" t="s">
        <v>292</v>
      </c>
      <c r="F351" s="20"/>
      <c r="G351" s="10">
        <f>'пр.6.1.ведом.21-22'!G662</f>
        <v>689</v>
      </c>
      <c r="H351" s="10">
        <f>'пр.6.1.ведом.21-22'!H662</f>
        <v>689</v>
      </c>
    </row>
    <row r="352" spans="1:8" ht="31.5">
      <c r="A352" s="30" t="s">
        <v>420</v>
      </c>
      <c r="B352" s="20" t="s">
        <v>1062</v>
      </c>
      <c r="C352" s="41" t="s">
        <v>281</v>
      </c>
      <c r="D352" s="41" t="s">
        <v>232</v>
      </c>
      <c r="E352" s="41" t="s">
        <v>292</v>
      </c>
      <c r="F352" s="41" t="s">
        <v>654</v>
      </c>
      <c r="G352" s="10">
        <f>G351</f>
        <v>689</v>
      </c>
      <c r="H352" s="10">
        <f>H351</f>
        <v>689</v>
      </c>
    </row>
    <row r="353" spans="1:8" ht="47.25">
      <c r="A353" s="42" t="s">
        <v>484</v>
      </c>
      <c r="B353" s="7" t="s">
        <v>486</v>
      </c>
      <c r="C353" s="7"/>
      <c r="D353" s="7"/>
      <c r="E353" s="7"/>
      <c r="F353" s="7"/>
      <c r="G353" s="62">
        <f>G354</f>
        <v>6836.3</v>
      </c>
      <c r="H353" s="62">
        <f>H354</f>
        <v>6836.3</v>
      </c>
    </row>
    <row r="354" spans="1:8" ht="31.5">
      <c r="A354" s="23" t="s">
        <v>1064</v>
      </c>
      <c r="B354" s="24" t="s">
        <v>1065</v>
      </c>
      <c r="C354" s="7"/>
      <c r="D354" s="7"/>
      <c r="E354" s="7"/>
      <c r="F354" s="7"/>
      <c r="G354" s="62">
        <f>G355</f>
        <v>6836.3</v>
      </c>
      <c r="H354" s="62">
        <f>H355</f>
        <v>6836.3</v>
      </c>
    </row>
    <row r="355" spans="1:8" ht="15.75">
      <c r="A355" s="30" t="s">
        <v>280</v>
      </c>
      <c r="B355" s="41" t="s">
        <v>1065</v>
      </c>
      <c r="C355" s="41" t="s">
        <v>281</v>
      </c>
      <c r="D355" s="41"/>
      <c r="E355" s="41"/>
      <c r="F355" s="41"/>
      <c r="G355" s="10">
        <f aca="true" t="shared" si="55" ref="G355:H358">G356</f>
        <v>6836.3</v>
      </c>
      <c r="H355" s="10">
        <f t="shared" si="55"/>
        <v>6836.3</v>
      </c>
    </row>
    <row r="356" spans="1:8" ht="31.5">
      <c r="A356" s="30" t="s">
        <v>483</v>
      </c>
      <c r="B356" s="41" t="s">
        <v>1065</v>
      </c>
      <c r="C356" s="41" t="s">
        <v>281</v>
      </c>
      <c r="D356" s="41" t="s">
        <v>281</v>
      </c>
      <c r="E356" s="41"/>
      <c r="F356" s="41"/>
      <c r="G356" s="10">
        <f>G357+G361</f>
        <v>6836.3</v>
      </c>
      <c r="H356" s="10">
        <f>H357+H361</f>
        <v>6836.3</v>
      </c>
    </row>
    <row r="357" spans="1:8" ht="47.25">
      <c r="A357" s="32" t="s">
        <v>1252</v>
      </c>
      <c r="B357" s="20" t="s">
        <v>1066</v>
      </c>
      <c r="C357" s="41" t="s">
        <v>281</v>
      </c>
      <c r="D357" s="41" t="s">
        <v>281</v>
      </c>
      <c r="E357" s="41"/>
      <c r="F357" s="41"/>
      <c r="G357" s="10">
        <f t="shared" si="55"/>
        <v>3584</v>
      </c>
      <c r="H357" s="10">
        <f t="shared" si="55"/>
        <v>3584</v>
      </c>
    </row>
    <row r="358" spans="1:8" ht="47.25">
      <c r="A358" s="25" t="s">
        <v>289</v>
      </c>
      <c r="B358" s="20" t="s">
        <v>1066</v>
      </c>
      <c r="C358" s="41" t="s">
        <v>281</v>
      </c>
      <c r="D358" s="41" t="s">
        <v>281</v>
      </c>
      <c r="E358" s="41" t="s">
        <v>290</v>
      </c>
      <c r="F358" s="41"/>
      <c r="G358" s="10">
        <f t="shared" si="55"/>
        <v>3584</v>
      </c>
      <c r="H358" s="10">
        <f t="shared" si="55"/>
        <v>3584</v>
      </c>
    </row>
    <row r="359" spans="1:8" ht="15.75">
      <c r="A359" s="25" t="s">
        <v>291</v>
      </c>
      <c r="B359" s="20" t="s">
        <v>1066</v>
      </c>
      <c r="C359" s="41" t="s">
        <v>281</v>
      </c>
      <c r="D359" s="41" t="s">
        <v>281</v>
      </c>
      <c r="E359" s="41" t="s">
        <v>292</v>
      </c>
      <c r="F359" s="41"/>
      <c r="G359" s="10">
        <f>'пр.6.1.ведом.21-22'!G674</f>
        <v>3584</v>
      </c>
      <c r="H359" s="10">
        <f>'пр.6.1.ведом.21-22'!H674</f>
        <v>3584</v>
      </c>
    </row>
    <row r="360" spans="1:8" ht="31.5">
      <c r="A360" s="30" t="s">
        <v>420</v>
      </c>
      <c r="B360" s="20" t="s">
        <v>1066</v>
      </c>
      <c r="C360" s="41" t="s">
        <v>281</v>
      </c>
      <c r="D360" s="41" t="s">
        <v>281</v>
      </c>
      <c r="E360" s="41" t="s">
        <v>292</v>
      </c>
      <c r="F360" s="41" t="s">
        <v>654</v>
      </c>
      <c r="G360" s="10">
        <f>G359</f>
        <v>3584</v>
      </c>
      <c r="H360" s="10">
        <f>H359</f>
        <v>3584</v>
      </c>
    </row>
    <row r="361" spans="1:8" ht="31.5">
      <c r="A361" s="32" t="s">
        <v>491</v>
      </c>
      <c r="B361" s="20" t="s">
        <v>1067</v>
      </c>
      <c r="C361" s="41" t="s">
        <v>281</v>
      </c>
      <c r="D361" s="41" t="s">
        <v>281</v>
      </c>
      <c r="E361" s="41"/>
      <c r="F361" s="41"/>
      <c r="G361" s="10">
        <f>G362</f>
        <v>3252.3</v>
      </c>
      <c r="H361" s="10">
        <f>H362</f>
        <v>3252.3</v>
      </c>
    </row>
    <row r="362" spans="1:8" ht="47.25">
      <c r="A362" s="25" t="s">
        <v>289</v>
      </c>
      <c r="B362" s="20" t="s">
        <v>1067</v>
      </c>
      <c r="C362" s="41" t="s">
        <v>281</v>
      </c>
      <c r="D362" s="41" t="s">
        <v>281</v>
      </c>
      <c r="E362" s="41" t="s">
        <v>290</v>
      </c>
      <c r="F362" s="41"/>
      <c r="G362" s="10">
        <f>G363</f>
        <v>3252.3</v>
      </c>
      <c r="H362" s="10">
        <f>H363</f>
        <v>3252.3</v>
      </c>
    </row>
    <row r="363" spans="1:8" ht="15.75">
      <c r="A363" s="25" t="s">
        <v>291</v>
      </c>
      <c r="B363" s="20" t="s">
        <v>1067</v>
      </c>
      <c r="C363" s="41" t="s">
        <v>281</v>
      </c>
      <c r="D363" s="41" t="s">
        <v>281</v>
      </c>
      <c r="E363" s="41" t="s">
        <v>292</v>
      </c>
      <c r="F363" s="41"/>
      <c r="G363" s="10">
        <f>'пр.6.1.ведом.21-22'!G677</f>
        <v>3252.3</v>
      </c>
      <c r="H363" s="10">
        <f>'пр.6.1.ведом.21-22'!H677</f>
        <v>3252.3</v>
      </c>
    </row>
    <row r="364" spans="1:8" ht="31.5">
      <c r="A364" s="30" t="s">
        <v>420</v>
      </c>
      <c r="B364" s="20" t="s">
        <v>1067</v>
      </c>
      <c r="C364" s="41" t="s">
        <v>281</v>
      </c>
      <c r="D364" s="41" t="s">
        <v>281</v>
      </c>
      <c r="E364" s="41" t="s">
        <v>292</v>
      </c>
      <c r="F364" s="41" t="s">
        <v>654</v>
      </c>
      <c r="G364" s="10">
        <f>G363</f>
        <v>3252.3</v>
      </c>
      <c r="H364" s="10">
        <f>H363</f>
        <v>3252.3</v>
      </c>
    </row>
    <row r="365" spans="1:8" ht="63">
      <c r="A365" s="60" t="s">
        <v>817</v>
      </c>
      <c r="B365" s="232" t="s">
        <v>173</v>
      </c>
      <c r="C365" s="7"/>
      <c r="D365" s="232"/>
      <c r="E365" s="232"/>
      <c r="F365" s="232"/>
      <c r="G365" s="62">
        <f>G367</f>
        <v>100</v>
      </c>
      <c r="H365" s="62">
        <f>H367</f>
        <v>100</v>
      </c>
    </row>
    <row r="366" spans="1:8" ht="47.25">
      <c r="A366" s="23" t="s">
        <v>1260</v>
      </c>
      <c r="B366" s="24" t="s">
        <v>1257</v>
      </c>
      <c r="C366" s="7"/>
      <c r="D366" s="7"/>
      <c r="E366" s="7"/>
      <c r="F366" s="7"/>
      <c r="G366" s="62">
        <f>G367+G369</f>
        <v>200</v>
      </c>
      <c r="H366" s="62">
        <f>H367+H369</f>
        <v>200</v>
      </c>
    </row>
    <row r="367" spans="1:8" ht="15.75">
      <c r="A367" s="46" t="s">
        <v>249</v>
      </c>
      <c r="B367" s="5" t="s">
        <v>1257</v>
      </c>
      <c r="C367" s="41" t="s">
        <v>167</v>
      </c>
      <c r="D367" s="41"/>
      <c r="E367" s="41"/>
      <c r="F367" s="41"/>
      <c r="G367" s="10">
        <f>G368</f>
        <v>100</v>
      </c>
      <c r="H367" s="10">
        <f>H368</f>
        <v>100</v>
      </c>
    </row>
    <row r="368" spans="1:8" ht="15.75">
      <c r="A368" s="46" t="s">
        <v>800</v>
      </c>
      <c r="B368" s="5" t="s">
        <v>1257</v>
      </c>
      <c r="C368" s="41" t="s">
        <v>167</v>
      </c>
      <c r="D368" s="41" t="s">
        <v>255</v>
      </c>
      <c r="E368" s="41"/>
      <c r="F368" s="41"/>
      <c r="G368" s="10">
        <f>G369+G373</f>
        <v>100</v>
      </c>
      <c r="H368" s="10">
        <f>H369+H373</f>
        <v>100</v>
      </c>
    </row>
    <row r="369" spans="1:8" ht="31.5">
      <c r="A369" s="25" t="s">
        <v>1261</v>
      </c>
      <c r="B369" s="20" t="s">
        <v>1258</v>
      </c>
      <c r="C369" s="41" t="s">
        <v>167</v>
      </c>
      <c r="D369" s="41" t="s">
        <v>255</v>
      </c>
      <c r="E369" s="41"/>
      <c r="F369" s="41"/>
      <c r="G369" s="10">
        <f>G370</f>
        <v>100</v>
      </c>
      <c r="H369" s="10">
        <f>H370</f>
        <v>100</v>
      </c>
    </row>
    <row r="370" spans="1:8" ht="15.75">
      <c r="A370" s="25" t="s">
        <v>152</v>
      </c>
      <c r="B370" s="20" t="s">
        <v>1258</v>
      </c>
      <c r="C370" s="41" t="s">
        <v>167</v>
      </c>
      <c r="D370" s="41" t="s">
        <v>255</v>
      </c>
      <c r="E370" s="41" t="s">
        <v>149</v>
      </c>
      <c r="F370" s="41"/>
      <c r="G370" s="10">
        <f>G371</f>
        <v>100</v>
      </c>
      <c r="H370" s="10">
        <f>H371</f>
        <v>100</v>
      </c>
    </row>
    <row r="371" spans="1:8" ht="63">
      <c r="A371" s="25" t="s">
        <v>201</v>
      </c>
      <c r="B371" s="20" t="s">
        <v>1258</v>
      </c>
      <c r="C371" s="41" t="s">
        <v>167</v>
      </c>
      <c r="D371" s="41" t="s">
        <v>255</v>
      </c>
      <c r="E371" s="41" t="s">
        <v>151</v>
      </c>
      <c r="F371" s="41"/>
      <c r="G371" s="10">
        <f>'пр.6.1.ведом.21-22'!G173</f>
        <v>100</v>
      </c>
      <c r="H371" s="10">
        <f>'пр.6.1.ведом.21-22'!H173</f>
        <v>100</v>
      </c>
    </row>
    <row r="372" spans="1:8" ht="31.5">
      <c r="A372" s="30" t="s">
        <v>165</v>
      </c>
      <c r="B372" s="20" t="s">
        <v>1258</v>
      </c>
      <c r="C372" s="41" t="s">
        <v>167</v>
      </c>
      <c r="D372" s="41" t="s">
        <v>255</v>
      </c>
      <c r="E372" s="41" t="s">
        <v>151</v>
      </c>
      <c r="F372" s="41" t="s">
        <v>659</v>
      </c>
      <c r="G372" s="10">
        <f>G371</f>
        <v>100</v>
      </c>
      <c r="H372" s="10">
        <f>H371</f>
        <v>100</v>
      </c>
    </row>
    <row r="373" spans="1:8" ht="47.25" hidden="1">
      <c r="A373" s="25" t="s">
        <v>256</v>
      </c>
      <c r="B373" s="20" t="s">
        <v>1259</v>
      </c>
      <c r="C373" s="41" t="s">
        <v>167</v>
      </c>
      <c r="D373" s="41" t="s">
        <v>255</v>
      </c>
      <c r="E373" s="41"/>
      <c r="F373" s="41"/>
      <c r="G373" s="10">
        <f>G374</f>
        <v>0</v>
      </c>
      <c r="H373" s="10">
        <f>H374</f>
        <v>0</v>
      </c>
    </row>
    <row r="374" spans="1:8" ht="15.75" hidden="1">
      <c r="A374" s="25" t="s">
        <v>152</v>
      </c>
      <c r="B374" s="20" t="s">
        <v>1259</v>
      </c>
      <c r="C374" s="41" t="s">
        <v>167</v>
      </c>
      <c r="D374" s="41" t="s">
        <v>255</v>
      </c>
      <c r="E374" s="41" t="s">
        <v>162</v>
      </c>
      <c r="F374" s="41"/>
      <c r="G374" s="10">
        <f>G375</f>
        <v>0</v>
      </c>
      <c r="H374" s="10">
        <f>H375</f>
        <v>0</v>
      </c>
    </row>
    <row r="375" spans="1:8" ht="63" hidden="1">
      <c r="A375" s="25" t="s">
        <v>201</v>
      </c>
      <c r="B375" s="20" t="s">
        <v>1259</v>
      </c>
      <c r="C375" s="41" t="s">
        <v>167</v>
      </c>
      <c r="D375" s="41" t="s">
        <v>255</v>
      </c>
      <c r="E375" s="41" t="s">
        <v>177</v>
      </c>
      <c r="F375" s="41"/>
      <c r="G375" s="10">
        <f>'пр.6.1.ведом.21-22'!G176</f>
        <v>0</v>
      </c>
      <c r="H375" s="10">
        <f>'пр.6.1.ведом.21-22'!H176</f>
        <v>0</v>
      </c>
    </row>
    <row r="376" spans="1:8" ht="31.5" hidden="1">
      <c r="A376" s="30" t="s">
        <v>165</v>
      </c>
      <c r="B376" s="20" t="s">
        <v>1259</v>
      </c>
      <c r="C376" s="41" t="s">
        <v>167</v>
      </c>
      <c r="D376" s="41" t="s">
        <v>255</v>
      </c>
      <c r="E376" s="41" t="s">
        <v>177</v>
      </c>
      <c r="F376" s="41" t="s">
        <v>659</v>
      </c>
      <c r="G376" s="10">
        <f>G375</f>
        <v>0</v>
      </c>
      <c r="H376" s="10">
        <f>H375</f>
        <v>0</v>
      </c>
    </row>
    <row r="377" spans="1:8" ht="47.25">
      <c r="A377" s="42" t="s">
        <v>821</v>
      </c>
      <c r="B377" s="232" t="s">
        <v>179</v>
      </c>
      <c r="C377" s="7"/>
      <c r="D377" s="7"/>
      <c r="E377" s="7"/>
      <c r="F377" s="7"/>
      <c r="G377" s="62">
        <f>G378+G385+G404</f>
        <v>806</v>
      </c>
      <c r="H377" s="62">
        <f>H378+H385+H404</f>
        <v>806</v>
      </c>
    </row>
    <row r="378" spans="1:8" ht="78.75">
      <c r="A378" s="322" t="s">
        <v>1164</v>
      </c>
      <c r="B378" s="7" t="s">
        <v>900</v>
      </c>
      <c r="C378" s="7"/>
      <c r="D378" s="8"/>
      <c r="E378" s="232"/>
      <c r="F378" s="7"/>
      <c r="G378" s="62">
        <f>G380</f>
        <v>491</v>
      </c>
      <c r="H378" s="62">
        <f>H380</f>
        <v>491</v>
      </c>
    </row>
    <row r="379" spans="1:8" ht="15.75">
      <c r="A379" s="46" t="s">
        <v>134</v>
      </c>
      <c r="B379" s="5" t="s">
        <v>900</v>
      </c>
      <c r="C379" s="41" t="s">
        <v>135</v>
      </c>
      <c r="D379" s="5"/>
      <c r="E379" s="5"/>
      <c r="F379" s="41"/>
      <c r="G379" s="10">
        <f aca="true" t="shared" si="56" ref="G379:H379">G380</f>
        <v>491</v>
      </c>
      <c r="H379" s="10">
        <f t="shared" si="56"/>
        <v>491</v>
      </c>
    </row>
    <row r="380" spans="1:8" ht="78.75">
      <c r="A380" s="30" t="s">
        <v>166</v>
      </c>
      <c r="B380" s="5" t="s">
        <v>900</v>
      </c>
      <c r="C380" s="41" t="s">
        <v>135</v>
      </c>
      <c r="D380" s="9" t="s">
        <v>167</v>
      </c>
      <c r="E380" s="5"/>
      <c r="F380" s="41"/>
      <c r="G380" s="10">
        <f>G381</f>
        <v>491</v>
      </c>
      <c r="H380" s="10">
        <f>H381</f>
        <v>491</v>
      </c>
    </row>
    <row r="381" spans="1:8" ht="31.5">
      <c r="A381" s="30" t="s">
        <v>180</v>
      </c>
      <c r="B381" s="41" t="s">
        <v>892</v>
      </c>
      <c r="C381" s="41" t="s">
        <v>135</v>
      </c>
      <c r="D381" s="9" t="s">
        <v>167</v>
      </c>
      <c r="E381" s="41"/>
      <c r="F381" s="41"/>
      <c r="G381" s="10">
        <f aca="true" t="shared" si="57" ref="G381:H382">G382</f>
        <v>491</v>
      </c>
      <c r="H381" s="10">
        <f t="shared" si="57"/>
        <v>491</v>
      </c>
    </row>
    <row r="382" spans="1:8" ht="31.5">
      <c r="A382" s="30" t="s">
        <v>148</v>
      </c>
      <c r="B382" s="41" t="s">
        <v>892</v>
      </c>
      <c r="C382" s="41" t="s">
        <v>135</v>
      </c>
      <c r="D382" s="9" t="s">
        <v>167</v>
      </c>
      <c r="E382" s="41" t="s">
        <v>149</v>
      </c>
      <c r="F382" s="41"/>
      <c r="G382" s="10">
        <f t="shared" si="57"/>
        <v>491</v>
      </c>
      <c r="H382" s="10">
        <f t="shared" si="57"/>
        <v>491</v>
      </c>
    </row>
    <row r="383" spans="1:8" ht="47.25">
      <c r="A383" s="30" t="s">
        <v>150</v>
      </c>
      <c r="B383" s="41" t="s">
        <v>892</v>
      </c>
      <c r="C383" s="41" t="s">
        <v>135</v>
      </c>
      <c r="D383" s="9" t="s">
        <v>167</v>
      </c>
      <c r="E383" s="41" t="s">
        <v>151</v>
      </c>
      <c r="F383" s="41"/>
      <c r="G383" s="10">
        <f>'пр.6.1.ведом.21-22'!G68</f>
        <v>491</v>
      </c>
      <c r="H383" s="10">
        <f>'пр.6.1.ведом.21-22'!H68</f>
        <v>491</v>
      </c>
    </row>
    <row r="384" spans="1:8" ht="31.5">
      <c r="A384" s="30" t="s">
        <v>165</v>
      </c>
      <c r="B384" s="41" t="s">
        <v>892</v>
      </c>
      <c r="C384" s="41" t="s">
        <v>135</v>
      </c>
      <c r="D384" s="9" t="s">
        <v>167</v>
      </c>
      <c r="E384" s="41" t="s">
        <v>151</v>
      </c>
      <c r="F384" s="41" t="s">
        <v>659</v>
      </c>
      <c r="G384" s="10">
        <f>G383</f>
        <v>491</v>
      </c>
      <c r="H384" s="10">
        <f>H383</f>
        <v>491</v>
      </c>
    </row>
    <row r="385" spans="1:8" ht="78.75">
      <c r="A385" s="321" t="s">
        <v>894</v>
      </c>
      <c r="B385" s="7" t="s">
        <v>901</v>
      </c>
      <c r="C385" s="7"/>
      <c r="D385" s="8"/>
      <c r="E385" s="232"/>
      <c r="F385" s="7"/>
      <c r="G385" s="62">
        <f>G386</f>
        <v>274.5</v>
      </c>
      <c r="H385" s="62">
        <f>H386</f>
        <v>274.5</v>
      </c>
    </row>
    <row r="386" spans="1:8" ht="15.75">
      <c r="A386" s="46" t="s">
        <v>134</v>
      </c>
      <c r="B386" s="5" t="s">
        <v>901</v>
      </c>
      <c r="C386" s="41" t="s">
        <v>135</v>
      </c>
      <c r="D386" s="5"/>
      <c r="E386" s="5"/>
      <c r="F386" s="41"/>
      <c r="G386" s="10">
        <f>G387+G396</f>
        <v>274.5</v>
      </c>
      <c r="H386" s="10">
        <f>H387+H396</f>
        <v>274.5</v>
      </c>
    </row>
    <row r="387" spans="1:8" ht="47.25">
      <c r="A387" s="30" t="s">
        <v>592</v>
      </c>
      <c r="B387" s="5" t="s">
        <v>901</v>
      </c>
      <c r="C387" s="41" t="s">
        <v>135</v>
      </c>
      <c r="D387" s="9" t="s">
        <v>230</v>
      </c>
      <c r="E387" s="5"/>
      <c r="F387" s="41"/>
      <c r="G387" s="10">
        <f>G388+G392</f>
        <v>25.5</v>
      </c>
      <c r="H387" s="10">
        <f>H388+H392</f>
        <v>25.5</v>
      </c>
    </row>
    <row r="388" spans="1:8" ht="63">
      <c r="A388" s="32" t="s">
        <v>713</v>
      </c>
      <c r="B388" s="41" t="s">
        <v>1150</v>
      </c>
      <c r="C388" s="41" t="s">
        <v>135</v>
      </c>
      <c r="D388" s="9" t="s">
        <v>230</v>
      </c>
      <c r="E388" s="5"/>
      <c r="F388" s="41"/>
      <c r="G388" s="10">
        <f>G389</f>
        <v>0.5</v>
      </c>
      <c r="H388" s="10">
        <f>H389</f>
        <v>0.5</v>
      </c>
    </row>
    <row r="389" spans="1:8" ht="31.5">
      <c r="A389" s="25" t="s">
        <v>148</v>
      </c>
      <c r="B389" s="41" t="s">
        <v>1150</v>
      </c>
      <c r="C389" s="41" t="s">
        <v>135</v>
      </c>
      <c r="D389" s="9" t="s">
        <v>230</v>
      </c>
      <c r="E389" s="5">
        <v>200</v>
      </c>
      <c r="F389" s="41"/>
      <c r="G389" s="10">
        <f>G390</f>
        <v>0.5</v>
      </c>
      <c r="H389" s="10">
        <f>H390</f>
        <v>0.5</v>
      </c>
    </row>
    <row r="390" spans="1:8" ht="47.25">
      <c r="A390" s="25" t="s">
        <v>150</v>
      </c>
      <c r="B390" s="41" t="s">
        <v>714</v>
      </c>
      <c r="C390" s="41" t="s">
        <v>135</v>
      </c>
      <c r="D390" s="9" t="s">
        <v>230</v>
      </c>
      <c r="E390" s="5">
        <v>240</v>
      </c>
      <c r="F390" s="41"/>
      <c r="G390" s="10">
        <f>'пр.6.1.ведом.21-22'!G1006</f>
        <v>0.5</v>
      </c>
      <c r="H390" s="10">
        <f>'пр.6.1.ведом.21-22'!H1006</f>
        <v>0.5</v>
      </c>
    </row>
    <row r="391" spans="1:8" ht="31.5">
      <c r="A391" s="46" t="s">
        <v>591</v>
      </c>
      <c r="B391" s="41" t="s">
        <v>714</v>
      </c>
      <c r="C391" s="41" t="s">
        <v>135</v>
      </c>
      <c r="D391" s="9" t="s">
        <v>230</v>
      </c>
      <c r="E391" s="5">
        <v>240</v>
      </c>
      <c r="F391" s="41" t="s">
        <v>816</v>
      </c>
      <c r="G391" s="10">
        <f>G390</f>
        <v>0.5</v>
      </c>
      <c r="H391" s="10">
        <f>H390</f>
        <v>0.5</v>
      </c>
    </row>
    <row r="392" spans="1:8" ht="63">
      <c r="A392" s="32" t="s">
        <v>713</v>
      </c>
      <c r="B392" s="20" t="s">
        <v>1149</v>
      </c>
      <c r="C392" s="41" t="s">
        <v>135</v>
      </c>
      <c r="D392" s="9" t="s">
        <v>230</v>
      </c>
      <c r="E392" s="5"/>
      <c r="F392" s="41"/>
      <c r="G392" s="10">
        <f>G393</f>
        <v>25</v>
      </c>
      <c r="H392" s="10">
        <f>H393</f>
        <v>25</v>
      </c>
    </row>
    <row r="393" spans="1:8" ht="31.5">
      <c r="A393" s="25" t="s">
        <v>148</v>
      </c>
      <c r="B393" s="20" t="s">
        <v>1149</v>
      </c>
      <c r="C393" s="41" t="s">
        <v>135</v>
      </c>
      <c r="D393" s="9" t="s">
        <v>230</v>
      </c>
      <c r="E393" s="5">
        <v>200</v>
      </c>
      <c r="F393" s="41"/>
      <c r="G393" s="10">
        <f>G394</f>
        <v>25</v>
      </c>
      <c r="H393" s="10">
        <f>H394</f>
        <v>25</v>
      </c>
    </row>
    <row r="394" spans="1:8" ht="47.25">
      <c r="A394" s="25" t="s">
        <v>150</v>
      </c>
      <c r="B394" s="20" t="s">
        <v>1149</v>
      </c>
      <c r="C394" s="41" t="s">
        <v>135</v>
      </c>
      <c r="D394" s="9" t="s">
        <v>230</v>
      </c>
      <c r="E394" s="5">
        <v>240</v>
      </c>
      <c r="F394" s="41"/>
      <c r="G394" s="10">
        <f>'пр.6.1.ведом.21-22'!G1009</f>
        <v>25</v>
      </c>
      <c r="H394" s="10">
        <f>'пр.6.1.ведом.21-22'!H1009</f>
        <v>25</v>
      </c>
    </row>
    <row r="395" spans="1:8" ht="31.5">
      <c r="A395" s="46" t="s">
        <v>591</v>
      </c>
      <c r="B395" s="20" t="s">
        <v>1149</v>
      </c>
      <c r="C395" s="41" t="s">
        <v>135</v>
      </c>
      <c r="D395" s="9" t="s">
        <v>230</v>
      </c>
      <c r="E395" s="5">
        <v>240</v>
      </c>
      <c r="F395" s="41" t="s">
        <v>816</v>
      </c>
      <c r="G395" s="10">
        <f>G394</f>
        <v>25</v>
      </c>
      <c r="H395" s="10">
        <f>H394</f>
        <v>25</v>
      </c>
    </row>
    <row r="396" spans="1:8" ht="78.75">
      <c r="A396" s="30" t="s">
        <v>166</v>
      </c>
      <c r="B396" s="5" t="s">
        <v>901</v>
      </c>
      <c r="C396" s="41" t="s">
        <v>135</v>
      </c>
      <c r="D396" s="9" t="s">
        <v>167</v>
      </c>
      <c r="E396" s="5"/>
      <c r="F396" s="41"/>
      <c r="G396" s="10">
        <f>G397</f>
        <v>249</v>
      </c>
      <c r="H396" s="10">
        <f>H397</f>
        <v>249</v>
      </c>
    </row>
    <row r="397" spans="1:8" ht="63">
      <c r="A397" s="188" t="s">
        <v>182</v>
      </c>
      <c r="B397" s="41" t="s">
        <v>893</v>
      </c>
      <c r="C397" s="41" t="s">
        <v>135</v>
      </c>
      <c r="D397" s="9" t="s">
        <v>167</v>
      </c>
      <c r="E397" s="41"/>
      <c r="F397" s="41"/>
      <c r="G397" s="10">
        <f>G398+G401</f>
        <v>249</v>
      </c>
      <c r="H397" s="10">
        <f>H398+H401</f>
        <v>249</v>
      </c>
    </row>
    <row r="398" spans="1:8" ht="94.5">
      <c r="A398" s="25" t="s">
        <v>144</v>
      </c>
      <c r="B398" s="41" t="s">
        <v>893</v>
      </c>
      <c r="C398" s="41" t="s">
        <v>135</v>
      </c>
      <c r="D398" s="9" t="s">
        <v>167</v>
      </c>
      <c r="E398" s="41" t="s">
        <v>145</v>
      </c>
      <c r="F398" s="41"/>
      <c r="G398" s="10">
        <f aca="true" t="shared" si="58" ref="G398:H398">G399</f>
        <v>159.7</v>
      </c>
      <c r="H398" s="10">
        <f t="shared" si="58"/>
        <v>159.7</v>
      </c>
    </row>
    <row r="399" spans="1:8" ht="31.5">
      <c r="A399" s="25" t="s">
        <v>146</v>
      </c>
      <c r="B399" s="41" t="s">
        <v>893</v>
      </c>
      <c r="C399" s="41" t="s">
        <v>135</v>
      </c>
      <c r="D399" s="9" t="s">
        <v>167</v>
      </c>
      <c r="E399" s="41" t="s">
        <v>147</v>
      </c>
      <c r="F399" s="41"/>
      <c r="G399" s="10">
        <f>'пр.6.1.ведом.21-22'!G72</f>
        <v>159.7</v>
      </c>
      <c r="H399" s="10">
        <f>'пр.6.1.ведом.21-22'!H72</f>
        <v>159.7</v>
      </c>
    </row>
    <row r="400" spans="1:8" ht="31.5">
      <c r="A400" s="30" t="s">
        <v>165</v>
      </c>
      <c r="B400" s="41" t="s">
        <v>893</v>
      </c>
      <c r="C400" s="41" t="s">
        <v>135</v>
      </c>
      <c r="D400" s="9" t="s">
        <v>167</v>
      </c>
      <c r="E400" s="41" t="s">
        <v>147</v>
      </c>
      <c r="F400" s="41" t="s">
        <v>659</v>
      </c>
      <c r="G400" s="10">
        <f>G399</f>
        <v>159.7</v>
      </c>
      <c r="H400" s="10">
        <f>H399</f>
        <v>159.7</v>
      </c>
    </row>
    <row r="401" spans="1:8" ht="31.5">
      <c r="A401" s="25" t="s">
        <v>148</v>
      </c>
      <c r="B401" s="41" t="s">
        <v>893</v>
      </c>
      <c r="C401" s="41" t="s">
        <v>135</v>
      </c>
      <c r="D401" s="9" t="s">
        <v>167</v>
      </c>
      <c r="E401" s="41" t="s">
        <v>149</v>
      </c>
      <c r="F401" s="41"/>
      <c r="G401" s="10">
        <f aca="true" t="shared" si="59" ref="G401:H401">G402</f>
        <v>89.30000000000001</v>
      </c>
      <c r="H401" s="10">
        <f t="shared" si="59"/>
        <v>89.30000000000001</v>
      </c>
    </row>
    <row r="402" spans="1:8" ht="47.25">
      <c r="A402" s="25" t="s">
        <v>150</v>
      </c>
      <c r="B402" s="41" t="s">
        <v>893</v>
      </c>
      <c r="C402" s="41" t="s">
        <v>135</v>
      </c>
      <c r="D402" s="9" t="s">
        <v>167</v>
      </c>
      <c r="E402" s="41" t="s">
        <v>151</v>
      </c>
      <c r="F402" s="41"/>
      <c r="G402" s="10">
        <f>'пр.6.1.ведом.21-22'!G74</f>
        <v>89.30000000000001</v>
      </c>
      <c r="H402" s="10">
        <f>'пр.6.1.ведом.21-22'!H74</f>
        <v>89.30000000000001</v>
      </c>
    </row>
    <row r="403" spans="1:8" ht="31.5">
      <c r="A403" s="30" t="s">
        <v>165</v>
      </c>
      <c r="B403" s="41" t="s">
        <v>893</v>
      </c>
      <c r="C403" s="41" t="s">
        <v>135</v>
      </c>
      <c r="D403" s="9" t="s">
        <v>167</v>
      </c>
      <c r="E403" s="41" t="s">
        <v>151</v>
      </c>
      <c r="F403" s="41" t="s">
        <v>659</v>
      </c>
      <c r="G403" s="10">
        <f>G402</f>
        <v>89.30000000000001</v>
      </c>
      <c r="H403" s="10">
        <f>H402</f>
        <v>89.30000000000001</v>
      </c>
    </row>
    <row r="404" spans="1:8" ht="78.75">
      <c r="A404" s="323" t="s">
        <v>1165</v>
      </c>
      <c r="B404" s="7" t="s">
        <v>902</v>
      </c>
      <c r="C404" s="7" t="s">
        <v>135</v>
      </c>
      <c r="D404" s="8" t="s">
        <v>167</v>
      </c>
      <c r="E404" s="7"/>
      <c r="F404" s="7"/>
      <c r="G404" s="62">
        <f>G405+G409</f>
        <v>40.5</v>
      </c>
      <c r="H404" s="62">
        <f>H405+H409</f>
        <v>40.5</v>
      </c>
    </row>
    <row r="405" spans="1:8" ht="63">
      <c r="A405" s="34" t="s">
        <v>208</v>
      </c>
      <c r="B405" s="41" t="s">
        <v>895</v>
      </c>
      <c r="C405" s="41" t="s">
        <v>135</v>
      </c>
      <c r="D405" s="9" t="s">
        <v>167</v>
      </c>
      <c r="E405" s="41"/>
      <c r="F405" s="41"/>
      <c r="G405" s="10">
        <f>G406</f>
        <v>0.5</v>
      </c>
      <c r="H405" s="10">
        <f>H406</f>
        <v>0.5</v>
      </c>
    </row>
    <row r="406" spans="1:8" ht="31.5">
      <c r="A406" s="25" t="s">
        <v>148</v>
      </c>
      <c r="B406" s="41" t="s">
        <v>895</v>
      </c>
      <c r="C406" s="41" t="s">
        <v>135</v>
      </c>
      <c r="D406" s="9" t="s">
        <v>167</v>
      </c>
      <c r="E406" s="41" t="s">
        <v>149</v>
      </c>
      <c r="F406" s="41"/>
      <c r="G406" s="10">
        <f>G407</f>
        <v>0.5</v>
      </c>
      <c r="H406" s="10">
        <f>H407</f>
        <v>0.5</v>
      </c>
    </row>
    <row r="407" spans="1:8" ht="47.25">
      <c r="A407" s="25" t="s">
        <v>150</v>
      </c>
      <c r="B407" s="41" t="s">
        <v>895</v>
      </c>
      <c r="C407" s="41" t="s">
        <v>135</v>
      </c>
      <c r="D407" s="9" t="s">
        <v>167</v>
      </c>
      <c r="E407" s="41" t="s">
        <v>151</v>
      </c>
      <c r="F407" s="41"/>
      <c r="G407" s="10">
        <f>'пр.6.1.ведом.21-22'!G78</f>
        <v>0.5</v>
      </c>
      <c r="H407" s="10">
        <f>'пр.6.1.ведом.21-22'!H78</f>
        <v>0.5</v>
      </c>
    </row>
    <row r="408" spans="1:8" ht="31.5">
      <c r="A408" s="30" t="s">
        <v>165</v>
      </c>
      <c r="B408" s="41" t="s">
        <v>895</v>
      </c>
      <c r="C408" s="41" t="s">
        <v>135</v>
      </c>
      <c r="D408" s="9" t="s">
        <v>167</v>
      </c>
      <c r="E408" s="41" t="s">
        <v>151</v>
      </c>
      <c r="F408" s="41" t="s">
        <v>659</v>
      </c>
      <c r="G408" s="10">
        <f>G407</f>
        <v>0.5</v>
      </c>
      <c r="H408" s="10">
        <f>H407</f>
        <v>0.5</v>
      </c>
    </row>
    <row r="409" spans="1:8" ht="63">
      <c r="A409" s="34" t="s">
        <v>208</v>
      </c>
      <c r="B409" s="20" t="s">
        <v>896</v>
      </c>
      <c r="C409" s="41" t="s">
        <v>135</v>
      </c>
      <c r="D409" s="9" t="s">
        <v>167</v>
      </c>
      <c r="E409" s="41"/>
      <c r="F409" s="41"/>
      <c r="G409" s="10">
        <f>G410</f>
        <v>40</v>
      </c>
      <c r="H409" s="10">
        <f>H410</f>
        <v>40</v>
      </c>
    </row>
    <row r="410" spans="1:8" ht="31.5">
      <c r="A410" s="25" t="s">
        <v>148</v>
      </c>
      <c r="B410" s="20" t="s">
        <v>896</v>
      </c>
      <c r="C410" s="41" t="s">
        <v>135</v>
      </c>
      <c r="D410" s="9" t="s">
        <v>167</v>
      </c>
      <c r="E410" s="41" t="s">
        <v>149</v>
      </c>
      <c r="F410" s="41"/>
      <c r="G410" s="10">
        <f>G411</f>
        <v>40</v>
      </c>
      <c r="H410" s="10">
        <f>H411</f>
        <v>40</v>
      </c>
    </row>
    <row r="411" spans="1:8" ht="47.25">
      <c r="A411" s="25" t="s">
        <v>150</v>
      </c>
      <c r="B411" s="20" t="s">
        <v>896</v>
      </c>
      <c r="C411" s="41" t="s">
        <v>135</v>
      </c>
      <c r="D411" s="9" t="s">
        <v>167</v>
      </c>
      <c r="E411" s="41" t="s">
        <v>151</v>
      </c>
      <c r="F411" s="41"/>
      <c r="G411" s="10">
        <f>'пр.6.1.ведом.21-22'!G81</f>
        <v>40</v>
      </c>
      <c r="H411" s="10">
        <f>'пр.6.1.ведом.21-22'!H81</f>
        <v>40</v>
      </c>
    </row>
    <row r="412" spans="1:8" ht="31.5">
      <c r="A412" s="30" t="s">
        <v>165</v>
      </c>
      <c r="B412" s="20" t="s">
        <v>896</v>
      </c>
      <c r="C412" s="41" t="s">
        <v>135</v>
      </c>
      <c r="D412" s="9" t="s">
        <v>167</v>
      </c>
      <c r="E412" s="41" t="s">
        <v>151</v>
      </c>
      <c r="F412" s="41" t="s">
        <v>659</v>
      </c>
      <c r="G412" s="10">
        <f>G411</f>
        <v>40</v>
      </c>
      <c r="H412" s="10">
        <f>H411</f>
        <v>40</v>
      </c>
    </row>
    <row r="413" spans="1:8" ht="78.75">
      <c r="A413" s="42" t="s">
        <v>270</v>
      </c>
      <c r="B413" s="232" t="s">
        <v>271</v>
      </c>
      <c r="C413" s="41"/>
      <c r="D413" s="41"/>
      <c r="E413" s="41"/>
      <c r="F413" s="41"/>
      <c r="G413" s="62">
        <f aca="true" t="shared" si="60" ref="G413:H413">G415</f>
        <v>10</v>
      </c>
      <c r="H413" s="62">
        <f t="shared" si="60"/>
        <v>10</v>
      </c>
    </row>
    <row r="414" spans="1:8" ht="47.25">
      <c r="A414" s="23" t="s">
        <v>936</v>
      </c>
      <c r="B414" s="24" t="s">
        <v>934</v>
      </c>
      <c r="C414" s="41"/>
      <c r="D414" s="41"/>
      <c r="E414" s="41"/>
      <c r="F414" s="41"/>
      <c r="G414" s="62">
        <f aca="true" t="shared" si="61" ref="G414:H416">G415</f>
        <v>10</v>
      </c>
      <c r="H414" s="62">
        <f t="shared" si="61"/>
        <v>10</v>
      </c>
    </row>
    <row r="415" spans="1:8" ht="15.75">
      <c r="A415" s="30" t="s">
        <v>260</v>
      </c>
      <c r="B415" s="5" t="s">
        <v>934</v>
      </c>
      <c r="C415" s="41" t="s">
        <v>261</v>
      </c>
      <c r="D415" s="41"/>
      <c r="E415" s="41"/>
      <c r="F415" s="41"/>
      <c r="G415" s="10">
        <f t="shared" si="61"/>
        <v>10</v>
      </c>
      <c r="H415" s="10">
        <f t="shared" si="61"/>
        <v>10</v>
      </c>
    </row>
    <row r="416" spans="1:8" ht="15.75">
      <c r="A416" s="30" t="s">
        <v>269</v>
      </c>
      <c r="B416" s="5" t="s">
        <v>934</v>
      </c>
      <c r="C416" s="41" t="s">
        <v>261</v>
      </c>
      <c r="D416" s="41" t="s">
        <v>232</v>
      </c>
      <c r="E416" s="41"/>
      <c r="F416" s="41"/>
      <c r="G416" s="10">
        <f t="shared" si="61"/>
        <v>10</v>
      </c>
      <c r="H416" s="10">
        <f t="shared" si="61"/>
        <v>10</v>
      </c>
    </row>
    <row r="417" spans="1:8" ht="31.5">
      <c r="A417" s="25" t="s">
        <v>935</v>
      </c>
      <c r="B417" s="20" t="s">
        <v>1158</v>
      </c>
      <c r="C417" s="41" t="s">
        <v>261</v>
      </c>
      <c r="D417" s="41" t="s">
        <v>232</v>
      </c>
      <c r="E417" s="41"/>
      <c r="F417" s="41"/>
      <c r="G417" s="10">
        <f aca="true" t="shared" si="62" ref="G417:H418">G418</f>
        <v>10</v>
      </c>
      <c r="H417" s="10">
        <f t="shared" si="62"/>
        <v>10</v>
      </c>
    </row>
    <row r="418" spans="1:8" ht="31.5">
      <c r="A418" s="25" t="s">
        <v>265</v>
      </c>
      <c r="B418" s="20" t="s">
        <v>1158</v>
      </c>
      <c r="C418" s="41" t="s">
        <v>261</v>
      </c>
      <c r="D418" s="41" t="s">
        <v>232</v>
      </c>
      <c r="E418" s="41" t="s">
        <v>266</v>
      </c>
      <c r="F418" s="41"/>
      <c r="G418" s="10">
        <f t="shared" si="62"/>
        <v>10</v>
      </c>
      <c r="H418" s="10">
        <f t="shared" si="62"/>
        <v>10</v>
      </c>
    </row>
    <row r="419" spans="1:8" ht="47.25">
      <c r="A419" s="25" t="s">
        <v>267</v>
      </c>
      <c r="B419" s="20" t="s">
        <v>1158</v>
      </c>
      <c r="C419" s="41" t="s">
        <v>261</v>
      </c>
      <c r="D419" s="41" t="s">
        <v>232</v>
      </c>
      <c r="E419" s="41" t="s">
        <v>268</v>
      </c>
      <c r="F419" s="41"/>
      <c r="G419" s="10">
        <f>'пр.6.1.ведом.21-22'!G189</f>
        <v>10</v>
      </c>
      <c r="H419" s="10">
        <f>'пр.6.1.ведом.21-22'!H189</f>
        <v>10</v>
      </c>
    </row>
    <row r="420" spans="1:8" ht="31.5">
      <c r="A420" s="46" t="s">
        <v>165</v>
      </c>
      <c r="B420" s="20" t="s">
        <v>1158</v>
      </c>
      <c r="C420" s="41" t="s">
        <v>261</v>
      </c>
      <c r="D420" s="41" t="s">
        <v>232</v>
      </c>
      <c r="E420" s="41" t="s">
        <v>268</v>
      </c>
      <c r="F420" s="41" t="s">
        <v>659</v>
      </c>
      <c r="G420" s="10">
        <f>G419</f>
        <v>10</v>
      </c>
      <c r="H420" s="10">
        <f>H419</f>
        <v>10</v>
      </c>
    </row>
    <row r="421" spans="1:8" ht="63">
      <c r="A421" s="42" t="s">
        <v>498</v>
      </c>
      <c r="B421" s="3" t="s">
        <v>499</v>
      </c>
      <c r="C421" s="72"/>
      <c r="D421" s="72"/>
      <c r="E421" s="72"/>
      <c r="F421" s="72"/>
      <c r="G421" s="4">
        <f>G422+G471</f>
        <v>50288.2</v>
      </c>
      <c r="H421" s="4">
        <f>H422+H471</f>
        <v>50288.2</v>
      </c>
    </row>
    <row r="422" spans="1:8" ht="63">
      <c r="A422" s="60" t="s">
        <v>510</v>
      </c>
      <c r="B422" s="7" t="s">
        <v>511</v>
      </c>
      <c r="C422" s="7"/>
      <c r="D422" s="7"/>
      <c r="E422" s="7"/>
      <c r="F422" s="3"/>
      <c r="G422" s="62">
        <f>G423+G438+G453+G464</f>
        <v>47788.2</v>
      </c>
      <c r="H422" s="62">
        <f>H423+H438+H453+H464</f>
        <v>47788.2</v>
      </c>
    </row>
    <row r="423" spans="1:8" ht="47.25">
      <c r="A423" s="23" t="s">
        <v>1036</v>
      </c>
      <c r="B423" s="24" t="s">
        <v>1069</v>
      </c>
      <c r="C423" s="7"/>
      <c r="D423" s="7"/>
      <c r="E423" s="326"/>
      <c r="F423" s="232"/>
      <c r="G423" s="62">
        <f>G424</f>
        <v>46082</v>
      </c>
      <c r="H423" s="62">
        <f>H424</f>
        <v>46082</v>
      </c>
    </row>
    <row r="424" spans="1:8" ht="15.75">
      <c r="A424" s="30" t="s">
        <v>507</v>
      </c>
      <c r="B424" s="41" t="s">
        <v>1069</v>
      </c>
      <c r="C424" s="2">
        <v>11</v>
      </c>
      <c r="D424" s="72"/>
      <c r="E424" s="72"/>
      <c r="F424" s="72"/>
      <c r="G424" s="10">
        <f aca="true" t="shared" si="63" ref="G424:H424">G425</f>
        <v>46082</v>
      </c>
      <c r="H424" s="10">
        <f t="shared" si="63"/>
        <v>46082</v>
      </c>
    </row>
    <row r="425" spans="1:8" ht="16.5">
      <c r="A425" s="30" t="s">
        <v>509</v>
      </c>
      <c r="B425" s="41" t="s">
        <v>1069</v>
      </c>
      <c r="C425" s="41" t="s">
        <v>508</v>
      </c>
      <c r="D425" s="41" t="s">
        <v>135</v>
      </c>
      <c r="E425" s="75"/>
      <c r="F425" s="5"/>
      <c r="G425" s="10">
        <f>G426+G430+G434</f>
        <v>46082</v>
      </c>
      <c r="H425" s="10">
        <f>H426+H430+H434</f>
        <v>46082</v>
      </c>
    </row>
    <row r="426" spans="1:8" ht="63">
      <c r="A426" s="25" t="s">
        <v>841</v>
      </c>
      <c r="B426" s="20" t="s">
        <v>1079</v>
      </c>
      <c r="C426" s="41" t="s">
        <v>508</v>
      </c>
      <c r="D426" s="41" t="s">
        <v>135</v>
      </c>
      <c r="E426" s="75"/>
      <c r="F426" s="5"/>
      <c r="G426" s="10">
        <f>G427</f>
        <v>13608</v>
      </c>
      <c r="H426" s="10">
        <f>H427</f>
        <v>13608</v>
      </c>
    </row>
    <row r="427" spans="1:8" ht="47.25">
      <c r="A427" s="30" t="s">
        <v>289</v>
      </c>
      <c r="B427" s="20" t="s">
        <v>1079</v>
      </c>
      <c r="C427" s="41" t="s">
        <v>508</v>
      </c>
      <c r="D427" s="41" t="s">
        <v>135</v>
      </c>
      <c r="E427" s="41" t="s">
        <v>290</v>
      </c>
      <c r="F427" s="5"/>
      <c r="G427" s="10">
        <f>G428</f>
        <v>13608</v>
      </c>
      <c r="H427" s="10">
        <f>H428</f>
        <v>13608</v>
      </c>
    </row>
    <row r="428" spans="1:8" ht="15.75">
      <c r="A428" s="30" t="s">
        <v>291</v>
      </c>
      <c r="B428" s="20" t="s">
        <v>1079</v>
      </c>
      <c r="C428" s="41" t="s">
        <v>508</v>
      </c>
      <c r="D428" s="41" t="s">
        <v>135</v>
      </c>
      <c r="E428" s="41" t="s">
        <v>292</v>
      </c>
      <c r="F428" s="5"/>
      <c r="G428" s="10">
        <f>'пр.6.1.ведом.21-22'!G720</f>
        <v>13608</v>
      </c>
      <c r="H428" s="10">
        <f>'пр.6.1.ведом.21-22'!H720</f>
        <v>13608</v>
      </c>
    </row>
    <row r="429" spans="1:8" ht="47.25">
      <c r="A429" s="74" t="s">
        <v>497</v>
      </c>
      <c r="B429" s="20" t="s">
        <v>1079</v>
      </c>
      <c r="C429" s="41" t="s">
        <v>508</v>
      </c>
      <c r="D429" s="41" t="s">
        <v>135</v>
      </c>
      <c r="E429" s="41" t="s">
        <v>292</v>
      </c>
      <c r="F429" s="5">
        <v>907</v>
      </c>
      <c r="G429" s="10">
        <f>G428</f>
        <v>13608</v>
      </c>
      <c r="H429" s="10">
        <f>H428</f>
        <v>13608</v>
      </c>
    </row>
    <row r="430" spans="1:8" ht="47.25">
      <c r="A430" s="25" t="s">
        <v>840</v>
      </c>
      <c r="B430" s="20" t="s">
        <v>1080</v>
      </c>
      <c r="C430" s="41" t="s">
        <v>508</v>
      </c>
      <c r="D430" s="41" t="s">
        <v>135</v>
      </c>
      <c r="E430" s="41"/>
      <c r="F430" s="5"/>
      <c r="G430" s="10">
        <f>G431</f>
        <v>13397</v>
      </c>
      <c r="H430" s="10">
        <f>H431</f>
        <v>13397</v>
      </c>
    </row>
    <row r="431" spans="1:8" ht="47.25">
      <c r="A431" s="25" t="s">
        <v>289</v>
      </c>
      <c r="B431" s="20" t="s">
        <v>1080</v>
      </c>
      <c r="C431" s="41" t="s">
        <v>508</v>
      </c>
      <c r="D431" s="41" t="s">
        <v>135</v>
      </c>
      <c r="E431" s="41" t="s">
        <v>290</v>
      </c>
      <c r="F431" s="5"/>
      <c r="G431" s="10">
        <f>G432</f>
        <v>13397</v>
      </c>
      <c r="H431" s="10">
        <f>H432</f>
        <v>13397</v>
      </c>
    </row>
    <row r="432" spans="1:8" ht="15.75">
      <c r="A432" s="25" t="s">
        <v>291</v>
      </c>
      <c r="B432" s="20" t="s">
        <v>1080</v>
      </c>
      <c r="C432" s="41" t="s">
        <v>508</v>
      </c>
      <c r="D432" s="41" t="s">
        <v>135</v>
      </c>
      <c r="E432" s="41" t="s">
        <v>292</v>
      </c>
      <c r="F432" s="5"/>
      <c r="G432" s="10">
        <f>'пр.6.1.ведом.21-22'!G723</f>
        <v>13397</v>
      </c>
      <c r="H432" s="10">
        <f>'пр.6.1.ведом.21-22'!H723</f>
        <v>13397</v>
      </c>
    </row>
    <row r="433" spans="1:8" ht="47.25">
      <c r="A433" s="74" t="s">
        <v>497</v>
      </c>
      <c r="B433" s="20" t="s">
        <v>1080</v>
      </c>
      <c r="C433" s="41" t="s">
        <v>508</v>
      </c>
      <c r="D433" s="41" t="s">
        <v>135</v>
      </c>
      <c r="E433" s="41" t="s">
        <v>292</v>
      </c>
      <c r="F433" s="5">
        <v>907</v>
      </c>
      <c r="G433" s="10">
        <f>G432</f>
        <v>13397</v>
      </c>
      <c r="H433" s="10">
        <f>H432</f>
        <v>13397</v>
      </c>
    </row>
    <row r="434" spans="1:8" ht="63">
      <c r="A434" s="25" t="s">
        <v>839</v>
      </c>
      <c r="B434" s="20" t="s">
        <v>1081</v>
      </c>
      <c r="C434" s="41" t="s">
        <v>508</v>
      </c>
      <c r="D434" s="41" t="s">
        <v>135</v>
      </c>
      <c r="E434" s="41"/>
      <c r="F434" s="5"/>
      <c r="G434" s="10">
        <f>G435</f>
        <v>19077</v>
      </c>
      <c r="H434" s="10">
        <f>H435</f>
        <v>19077</v>
      </c>
    </row>
    <row r="435" spans="1:8" ht="47.25">
      <c r="A435" s="25" t="s">
        <v>289</v>
      </c>
      <c r="B435" s="20" t="s">
        <v>1081</v>
      </c>
      <c r="C435" s="41" t="s">
        <v>508</v>
      </c>
      <c r="D435" s="41" t="s">
        <v>135</v>
      </c>
      <c r="E435" s="41" t="s">
        <v>290</v>
      </c>
      <c r="F435" s="5"/>
      <c r="G435" s="10">
        <f>G436</f>
        <v>19077</v>
      </c>
      <c r="H435" s="10">
        <f>H436</f>
        <v>19077</v>
      </c>
    </row>
    <row r="436" spans="1:8" ht="15.75">
      <c r="A436" s="25" t="s">
        <v>291</v>
      </c>
      <c r="B436" s="20" t="s">
        <v>1081</v>
      </c>
      <c r="C436" s="41" t="s">
        <v>508</v>
      </c>
      <c r="D436" s="41" t="s">
        <v>135</v>
      </c>
      <c r="E436" s="41" t="s">
        <v>292</v>
      </c>
      <c r="F436" s="5"/>
      <c r="G436" s="10">
        <f>'пр.6.1.ведом.21-22'!G726</f>
        <v>19077</v>
      </c>
      <c r="H436" s="10">
        <f>'пр.6.1.ведом.21-22'!H726</f>
        <v>19077</v>
      </c>
    </row>
    <row r="437" spans="1:8" ht="47.25">
      <c r="A437" s="74" t="s">
        <v>497</v>
      </c>
      <c r="B437" s="20" t="s">
        <v>1081</v>
      </c>
      <c r="C437" s="41" t="s">
        <v>508</v>
      </c>
      <c r="D437" s="41" t="s">
        <v>135</v>
      </c>
      <c r="E437" s="41" t="s">
        <v>292</v>
      </c>
      <c r="F437" s="5">
        <v>907</v>
      </c>
      <c r="G437" s="10">
        <f>G436</f>
        <v>19077</v>
      </c>
      <c r="H437" s="10">
        <f>H436</f>
        <v>19077</v>
      </c>
    </row>
    <row r="438" spans="1:8" ht="31.5">
      <c r="A438" s="23" t="s">
        <v>1082</v>
      </c>
      <c r="B438" s="24" t="s">
        <v>1083</v>
      </c>
      <c r="C438" s="7"/>
      <c r="D438" s="7"/>
      <c r="E438" s="7"/>
      <c r="F438" s="232"/>
      <c r="G438" s="62">
        <f>G439</f>
        <v>36</v>
      </c>
      <c r="H438" s="62">
        <f>H439</f>
        <v>36</v>
      </c>
    </row>
    <row r="439" spans="1:8" ht="15.75">
      <c r="A439" s="30" t="s">
        <v>507</v>
      </c>
      <c r="B439" s="41" t="s">
        <v>1083</v>
      </c>
      <c r="C439" s="2">
        <v>11</v>
      </c>
      <c r="D439" s="72"/>
      <c r="E439" s="72"/>
      <c r="F439" s="72"/>
      <c r="G439" s="10">
        <f aca="true" t="shared" si="64" ref="G439:H439">G440</f>
        <v>36</v>
      </c>
      <c r="H439" s="10">
        <f t="shared" si="64"/>
        <v>36</v>
      </c>
    </row>
    <row r="440" spans="1:8" ht="16.5">
      <c r="A440" s="30" t="s">
        <v>509</v>
      </c>
      <c r="B440" s="41" t="s">
        <v>1083</v>
      </c>
      <c r="C440" s="41" t="s">
        <v>508</v>
      </c>
      <c r="D440" s="41" t="s">
        <v>135</v>
      </c>
      <c r="E440" s="75"/>
      <c r="F440" s="5"/>
      <c r="G440" s="10">
        <f>G441+G445+G449</f>
        <v>36</v>
      </c>
      <c r="H440" s="10">
        <f>H441+H445+H449</f>
        <v>36</v>
      </c>
    </row>
    <row r="441" spans="1:8" ht="47.25" hidden="1">
      <c r="A441" s="30" t="s">
        <v>295</v>
      </c>
      <c r="B441" s="20" t="s">
        <v>1087</v>
      </c>
      <c r="C441" s="41" t="s">
        <v>508</v>
      </c>
      <c r="D441" s="41" t="s">
        <v>135</v>
      </c>
      <c r="E441" s="41"/>
      <c r="F441" s="5"/>
      <c r="G441" s="10">
        <f aca="true" t="shared" si="65" ref="G441:H442">G442</f>
        <v>0</v>
      </c>
      <c r="H441" s="10">
        <f t="shared" si="65"/>
        <v>0</v>
      </c>
    </row>
    <row r="442" spans="1:8" ht="47.25" hidden="1">
      <c r="A442" s="30" t="s">
        <v>289</v>
      </c>
      <c r="B442" s="20" t="s">
        <v>1087</v>
      </c>
      <c r="C442" s="41" t="s">
        <v>508</v>
      </c>
      <c r="D442" s="41" t="s">
        <v>135</v>
      </c>
      <c r="E442" s="41" t="s">
        <v>290</v>
      </c>
      <c r="F442" s="5"/>
      <c r="G442" s="10">
        <f t="shared" si="65"/>
        <v>0</v>
      </c>
      <c r="H442" s="10">
        <f t="shared" si="65"/>
        <v>0</v>
      </c>
    </row>
    <row r="443" spans="1:8" ht="15.75" hidden="1">
      <c r="A443" s="30" t="s">
        <v>291</v>
      </c>
      <c r="B443" s="20" t="s">
        <v>1087</v>
      </c>
      <c r="C443" s="41" t="s">
        <v>508</v>
      </c>
      <c r="D443" s="41" t="s">
        <v>135</v>
      </c>
      <c r="E443" s="41" t="s">
        <v>292</v>
      </c>
      <c r="F443" s="5"/>
      <c r="G443" s="10">
        <f>'пр.6.1.ведом.21-22'!G730</f>
        <v>0</v>
      </c>
      <c r="H443" s="10">
        <f>'пр.6.1.ведом.21-22'!H730</f>
        <v>0</v>
      </c>
    </row>
    <row r="444" spans="1:8" ht="47.25" hidden="1">
      <c r="A444" s="74" t="s">
        <v>497</v>
      </c>
      <c r="B444" s="20" t="s">
        <v>1087</v>
      </c>
      <c r="C444" s="41" t="s">
        <v>508</v>
      </c>
      <c r="D444" s="41" t="s">
        <v>135</v>
      </c>
      <c r="E444" s="41" t="s">
        <v>292</v>
      </c>
      <c r="F444" s="5">
        <v>907</v>
      </c>
      <c r="G444" s="10">
        <f>G443</f>
        <v>0</v>
      </c>
      <c r="H444" s="10">
        <f>H443</f>
        <v>0</v>
      </c>
    </row>
    <row r="445" spans="1:8" ht="31.5" hidden="1">
      <c r="A445" s="30" t="s">
        <v>297</v>
      </c>
      <c r="B445" s="20" t="s">
        <v>1088</v>
      </c>
      <c r="C445" s="41" t="s">
        <v>508</v>
      </c>
      <c r="D445" s="41" t="s">
        <v>135</v>
      </c>
      <c r="E445" s="41"/>
      <c r="F445" s="5"/>
      <c r="G445" s="10">
        <f aca="true" t="shared" si="66" ref="G445:H446">G446</f>
        <v>0</v>
      </c>
      <c r="H445" s="10">
        <f t="shared" si="66"/>
        <v>0</v>
      </c>
    </row>
    <row r="446" spans="1:8" ht="47.25" hidden="1">
      <c r="A446" s="30" t="s">
        <v>289</v>
      </c>
      <c r="B446" s="20" t="s">
        <v>1088</v>
      </c>
      <c r="C446" s="41" t="s">
        <v>508</v>
      </c>
      <c r="D446" s="41" t="s">
        <v>135</v>
      </c>
      <c r="E446" s="41" t="s">
        <v>290</v>
      </c>
      <c r="F446" s="5"/>
      <c r="G446" s="10">
        <f t="shared" si="66"/>
        <v>0</v>
      </c>
      <c r="H446" s="10">
        <f t="shared" si="66"/>
        <v>0</v>
      </c>
    </row>
    <row r="447" spans="1:8" ht="15.75" hidden="1">
      <c r="A447" s="30" t="s">
        <v>291</v>
      </c>
      <c r="B447" s="20" t="s">
        <v>1088</v>
      </c>
      <c r="C447" s="41" t="s">
        <v>508</v>
      </c>
      <c r="D447" s="41" t="s">
        <v>135</v>
      </c>
      <c r="E447" s="41" t="s">
        <v>292</v>
      </c>
      <c r="F447" s="5"/>
      <c r="G447" s="10">
        <f>'пр.6.1.ведом.21-22'!G733</f>
        <v>0</v>
      </c>
      <c r="H447" s="10">
        <f>'пр.6.1.ведом.21-22'!H733</f>
        <v>0</v>
      </c>
    </row>
    <row r="448" spans="1:8" ht="47.25" hidden="1">
      <c r="A448" s="74" t="s">
        <v>497</v>
      </c>
      <c r="B448" s="20" t="s">
        <v>1088</v>
      </c>
      <c r="C448" s="41" t="s">
        <v>508</v>
      </c>
      <c r="D448" s="41" t="s">
        <v>135</v>
      </c>
      <c r="E448" s="41" t="s">
        <v>292</v>
      </c>
      <c r="F448" s="5">
        <v>907</v>
      </c>
      <c r="G448" s="10">
        <f>G447</f>
        <v>0</v>
      </c>
      <c r="H448" s="10">
        <f>H447</f>
        <v>0</v>
      </c>
    </row>
    <row r="449" spans="1:8" ht="15.75">
      <c r="A449" s="25" t="s">
        <v>880</v>
      </c>
      <c r="B449" s="20" t="s">
        <v>1089</v>
      </c>
      <c r="C449" s="41" t="s">
        <v>508</v>
      </c>
      <c r="D449" s="41" t="s">
        <v>135</v>
      </c>
      <c r="E449" s="41"/>
      <c r="F449" s="5"/>
      <c r="G449" s="10">
        <f>G450</f>
        <v>36</v>
      </c>
      <c r="H449" s="10">
        <f>H450</f>
        <v>36</v>
      </c>
    </row>
    <row r="450" spans="1:8" ht="47.25">
      <c r="A450" s="25" t="s">
        <v>289</v>
      </c>
      <c r="B450" s="20" t="s">
        <v>1089</v>
      </c>
      <c r="C450" s="41" t="s">
        <v>508</v>
      </c>
      <c r="D450" s="41" t="s">
        <v>135</v>
      </c>
      <c r="E450" s="41" t="s">
        <v>290</v>
      </c>
      <c r="F450" s="5"/>
      <c r="G450" s="10">
        <f>G451</f>
        <v>36</v>
      </c>
      <c r="H450" s="10">
        <f>H451</f>
        <v>36</v>
      </c>
    </row>
    <row r="451" spans="1:8" ht="15.75">
      <c r="A451" s="25" t="s">
        <v>291</v>
      </c>
      <c r="B451" s="20" t="s">
        <v>1089</v>
      </c>
      <c r="C451" s="41" t="s">
        <v>508</v>
      </c>
      <c r="D451" s="41" t="s">
        <v>135</v>
      </c>
      <c r="E451" s="41" t="s">
        <v>292</v>
      </c>
      <c r="F451" s="5"/>
      <c r="G451" s="10">
        <f>'пр.6.1.ведом.21-22'!G736</f>
        <v>36</v>
      </c>
      <c r="H451" s="10">
        <f>'пр.6.1.ведом.21-22'!H736</f>
        <v>36</v>
      </c>
    </row>
    <row r="452" spans="1:8" ht="47.25">
      <c r="A452" s="74" t="s">
        <v>497</v>
      </c>
      <c r="B452" s="20" t="s">
        <v>1089</v>
      </c>
      <c r="C452" s="41" t="s">
        <v>508</v>
      </c>
      <c r="D452" s="41" t="s">
        <v>135</v>
      </c>
      <c r="E452" s="41" t="s">
        <v>292</v>
      </c>
      <c r="F452" s="5">
        <v>907</v>
      </c>
      <c r="G452" s="10">
        <f>G451</f>
        <v>36</v>
      </c>
      <c r="H452" s="10">
        <f>H451</f>
        <v>36</v>
      </c>
    </row>
    <row r="453" spans="1:8" ht="47.25">
      <c r="A453" s="23" t="s">
        <v>1084</v>
      </c>
      <c r="B453" s="24" t="s">
        <v>1086</v>
      </c>
      <c r="C453" s="7"/>
      <c r="D453" s="7"/>
      <c r="E453" s="7"/>
      <c r="F453" s="232"/>
      <c r="G453" s="62">
        <f>G454</f>
        <v>800</v>
      </c>
      <c r="H453" s="62">
        <f>H454</f>
        <v>800</v>
      </c>
    </row>
    <row r="454" spans="1:8" ht="15.75">
      <c r="A454" s="30" t="s">
        <v>507</v>
      </c>
      <c r="B454" s="41" t="s">
        <v>1086</v>
      </c>
      <c r="C454" s="2">
        <v>11</v>
      </c>
      <c r="D454" s="72"/>
      <c r="E454" s="72"/>
      <c r="F454" s="72"/>
      <c r="G454" s="10">
        <f aca="true" t="shared" si="67" ref="G454:H454">G455</f>
        <v>800</v>
      </c>
      <c r="H454" s="10">
        <f t="shared" si="67"/>
        <v>800</v>
      </c>
    </row>
    <row r="455" spans="1:8" ht="16.5">
      <c r="A455" s="30" t="s">
        <v>509</v>
      </c>
      <c r="B455" s="41" t="s">
        <v>1086</v>
      </c>
      <c r="C455" s="41" t="s">
        <v>508</v>
      </c>
      <c r="D455" s="41" t="s">
        <v>135</v>
      </c>
      <c r="E455" s="75"/>
      <c r="F455" s="5"/>
      <c r="G455" s="10">
        <f>G456+G460</f>
        <v>800</v>
      </c>
      <c r="H455" s="10">
        <f>H456+H460</f>
        <v>800</v>
      </c>
    </row>
    <row r="456" spans="1:8" ht="31.5" hidden="1">
      <c r="A456" s="30" t="s">
        <v>301</v>
      </c>
      <c r="B456" s="20" t="s">
        <v>1090</v>
      </c>
      <c r="C456" s="41" t="s">
        <v>508</v>
      </c>
      <c r="D456" s="41" t="s">
        <v>135</v>
      </c>
      <c r="E456" s="41"/>
      <c r="F456" s="5"/>
      <c r="G456" s="10">
        <f aca="true" t="shared" si="68" ref="G456:H457">G457</f>
        <v>0</v>
      </c>
      <c r="H456" s="10">
        <f t="shared" si="68"/>
        <v>0</v>
      </c>
    </row>
    <row r="457" spans="1:8" ht="47.25" hidden="1">
      <c r="A457" s="30" t="s">
        <v>289</v>
      </c>
      <c r="B457" s="20" t="s">
        <v>1090</v>
      </c>
      <c r="C457" s="41" t="s">
        <v>508</v>
      </c>
      <c r="D457" s="41" t="s">
        <v>135</v>
      </c>
      <c r="E457" s="41" t="s">
        <v>290</v>
      </c>
      <c r="F457" s="5"/>
      <c r="G457" s="10">
        <f t="shared" si="68"/>
        <v>0</v>
      </c>
      <c r="H457" s="10">
        <f t="shared" si="68"/>
        <v>0</v>
      </c>
    </row>
    <row r="458" spans="1:8" ht="15.75" hidden="1">
      <c r="A458" s="30" t="s">
        <v>291</v>
      </c>
      <c r="B458" s="20" t="s">
        <v>1090</v>
      </c>
      <c r="C458" s="41" t="s">
        <v>508</v>
      </c>
      <c r="D458" s="41" t="s">
        <v>135</v>
      </c>
      <c r="E458" s="41" t="s">
        <v>292</v>
      </c>
      <c r="F458" s="5"/>
      <c r="G458" s="10">
        <f>'пр.6.1.ведом.21-22'!G740</f>
        <v>0</v>
      </c>
      <c r="H458" s="10">
        <f>'пр.6.1.ведом.21-22'!H740</f>
        <v>0</v>
      </c>
    </row>
    <row r="459" spans="1:8" ht="47.25" hidden="1">
      <c r="A459" s="74" t="s">
        <v>497</v>
      </c>
      <c r="B459" s="20" t="s">
        <v>1090</v>
      </c>
      <c r="C459" s="41" t="s">
        <v>508</v>
      </c>
      <c r="D459" s="41" t="s">
        <v>135</v>
      </c>
      <c r="E459" s="41" t="s">
        <v>292</v>
      </c>
      <c r="F459" s="5">
        <v>907</v>
      </c>
      <c r="G459" s="10">
        <f>G458</f>
        <v>0</v>
      </c>
      <c r="H459" s="10">
        <f>H458</f>
        <v>0</v>
      </c>
    </row>
    <row r="460" spans="1:8" ht="47.25">
      <c r="A460" s="46" t="s">
        <v>789</v>
      </c>
      <c r="B460" s="20" t="s">
        <v>1091</v>
      </c>
      <c r="C460" s="41" t="s">
        <v>508</v>
      </c>
      <c r="D460" s="41" t="s">
        <v>135</v>
      </c>
      <c r="E460" s="41"/>
      <c r="F460" s="5"/>
      <c r="G460" s="10">
        <f aca="true" t="shared" si="69" ref="G460:H461">G461</f>
        <v>800</v>
      </c>
      <c r="H460" s="10">
        <f t="shared" si="69"/>
        <v>800</v>
      </c>
    </row>
    <row r="461" spans="1:8" ht="47.25">
      <c r="A461" s="32" t="s">
        <v>289</v>
      </c>
      <c r="B461" s="20" t="s">
        <v>1091</v>
      </c>
      <c r="C461" s="41" t="s">
        <v>508</v>
      </c>
      <c r="D461" s="41" t="s">
        <v>135</v>
      </c>
      <c r="E461" s="41" t="s">
        <v>290</v>
      </c>
      <c r="F461" s="5"/>
      <c r="G461" s="10">
        <f t="shared" si="69"/>
        <v>800</v>
      </c>
      <c r="H461" s="10">
        <f t="shared" si="69"/>
        <v>800</v>
      </c>
    </row>
    <row r="462" spans="1:8" ht="15.75">
      <c r="A462" s="32" t="s">
        <v>291</v>
      </c>
      <c r="B462" s="20" t="s">
        <v>1091</v>
      </c>
      <c r="C462" s="41" t="s">
        <v>508</v>
      </c>
      <c r="D462" s="41" t="s">
        <v>135</v>
      </c>
      <c r="E462" s="41" t="s">
        <v>292</v>
      </c>
      <c r="F462" s="5"/>
      <c r="G462" s="10">
        <f>'пр.6.1.ведом.21-22'!G743</f>
        <v>800</v>
      </c>
      <c r="H462" s="10">
        <f>'пр.6.1.ведом.21-22'!H743</f>
        <v>800</v>
      </c>
    </row>
    <row r="463" spans="1:8" ht="47.25">
      <c r="A463" s="74" t="s">
        <v>497</v>
      </c>
      <c r="B463" s="20" t="s">
        <v>1091</v>
      </c>
      <c r="C463" s="41" t="s">
        <v>508</v>
      </c>
      <c r="D463" s="41" t="s">
        <v>135</v>
      </c>
      <c r="E463" s="41" t="s">
        <v>292</v>
      </c>
      <c r="F463" s="5">
        <v>907</v>
      </c>
      <c r="G463" s="10">
        <f>G462</f>
        <v>800</v>
      </c>
      <c r="H463" s="10">
        <f>H462</f>
        <v>800</v>
      </c>
    </row>
    <row r="464" spans="1:8" ht="47.25">
      <c r="A464" s="23" t="s">
        <v>976</v>
      </c>
      <c r="B464" s="24" t="s">
        <v>1092</v>
      </c>
      <c r="C464" s="7"/>
      <c r="D464" s="7"/>
      <c r="E464" s="7"/>
      <c r="F464" s="232"/>
      <c r="G464" s="62">
        <f>G465</f>
        <v>870.2</v>
      </c>
      <c r="H464" s="62">
        <f>H465</f>
        <v>870.2</v>
      </c>
    </row>
    <row r="465" spans="1:8" ht="15.75">
      <c r="A465" s="30" t="s">
        <v>507</v>
      </c>
      <c r="B465" s="41" t="s">
        <v>1092</v>
      </c>
      <c r="C465" s="2">
        <v>11</v>
      </c>
      <c r="D465" s="72"/>
      <c r="E465" s="72"/>
      <c r="F465" s="72"/>
      <c r="G465" s="10">
        <f aca="true" t="shared" si="70" ref="G465:H465">G466</f>
        <v>870.2</v>
      </c>
      <c r="H465" s="10">
        <f t="shared" si="70"/>
        <v>870.2</v>
      </c>
    </row>
    <row r="466" spans="1:8" ht="16.5">
      <c r="A466" s="30" t="s">
        <v>509</v>
      </c>
      <c r="B466" s="41" t="s">
        <v>1092</v>
      </c>
      <c r="C466" s="41" t="s">
        <v>508</v>
      </c>
      <c r="D466" s="41" t="s">
        <v>135</v>
      </c>
      <c r="E466" s="75"/>
      <c r="F466" s="5"/>
      <c r="G466" s="10">
        <f aca="true" t="shared" si="71" ref="G466:H468">G467</f>
        <v>870.2</v>
      </c>
      <c r="H466" s="10">
        <f t="shared" si="71"/>
        <v>870.2</v>
      </c>
    </row>
    <row r="467" spans="1:8" ht="110.25">
      <c r="A467" s="32" t="s">
        <v>481</v>
      </c>
      <c r="B467" s="20" t="s">
        <v>1093</v>
      </c>
      <c r="C467" s="41" t="s">
        <v>508</v>
      </c>
      <c r="D467" s="41" t="s">
        <v>135</v>
      </c>
      <c r="E467" s="41"/>
      <c r="F467" s="5"/>
      <c r="G467" s="10">
        <f t="shared" si="71"/>
        <v>870.2</v>
      </c>
      <c r="H467" s="10">
        <f t="shared" si="71"/>
        <v>870.2</v>
      </c>
    </row>
    <row r="468" spans="1:8" ht="47.25">
      <c r="A468" s="25" t="s">
        <v>289</v>
      </c>
      <c r="B468" s="20" t="s">
        <v>1093</v>
      </c>
      <c r="C468" s="41" t="s">
        <v>508</v>
      </c>
      <c r="D468" s="41" t="s">
        <v>135</v>
      </c>
      <c r="E468" s="41" t="s">
        <v>290</v>
      </c>
      <c r="F468" s="5"/>
      <c r="G468" s="10">
        <f t="shared" si="71"/>
        <v>870.2</v>
      </c>
      <c r="H468" s="10">
        <f t="shared" si="71"/>
        <v>870.2</v>
      </c>
    </row>
    <row r="469" spans="1:8" ht="15.75">
      <c r="A469" s="25" t="s">
        <v>291</v>
      </c>
      <c r="B469" s="20" t="s">
        <v>1093</v>
      </c>
      <c r="C469" s="41" t="s">
        <v>508</v>
      </c>
      <c r="D469" s="41" t="s">
        <v>135</v>
      </c>
      <c r="E469" s="41" t="s">
        <v>292</v>
      </c>
      <c r="F469" s="5"/>
      <c r="G469" s="10">
        <f>'пр.6.1.ведом.21-22'!G747</f>
        <v>870.2</v>
      </c>
      <c r="H469" s="10">
        <f>'пр.6.1.ведом.21-22'!H747</f>
        <v>870.2</v>
      </c>
    </row>
    <row r="470" spans="1:8" ht="47.25">
      <c r="A470" s="74" t="s">
        <v>497</v>
      </c>
      <c r="B470" s="20" t="s">
        <v>1093</v>
      </c>
      <c r="C470" s="41" t="s">
        <v>508</v>
      </c>
      <c r="D470" s="41" t="s">
        <v>135</v>
      </c>
      <c r="E470" s="41" t="s">
        <v>292</v>
      </c>
      <c r="F470" s="5">
        <v>907</v>
      </c>
      <c r="G470" s="10">
        <f>G469</f>
        <v>870.2</v>
      </c>
      <c r="H470" s="10">
        <f>H469</f>
        <v>870.2</v>
      </c>
    </row>
    <row r="471" spans="1:8" ht="47.25">
      <c r="A471" s="60" t="s">
        <v>518</v>
      </c>
      <c r="B471" s="7" t="s">
        <v>519</v>
      </c>
      <c r="C471" s="41"/>
      <c r="D471" s="41"/>
      <c r="E471" s="7"/>
      <c r="F471" s="232"/>
      <c r="G471" s="4">
        <f aca="true" t="shared" si="72" ref="G471:H474">G472</f>
        <v>2500</v>
      </c>
      <c r="H471" s="4">
        <f t="shared" si="72"/>
        <v>2500</v>
      </c>
    </row>
    <row r="472" spans="1:8" ht="37.5" customHeight="1">
      <c r="A472" s="60" t="s">
        <v>1094</v>
      </c>
      <c r="B472" s="7" t="s">
        <v>1095</v>
      </c>
      <c r="C472" s="7"/>
      <c r="D472" s="7"/>
      <c r="E472" s="7"/>
      <c r="F472" s="232"/>
      <c r="G472" s="4">
        <f t="shared" si="72"/>
        <v>2500</v>
      </c>
      <c r="H472" s="4">
        <f t="shared" si="72"/>
        <v>2500</v>
      </c>
    </row>
    <row r="473" spans="1:8" ht="15.75">
      <c r="A473" s="30" t="s">
        <v>507</v>
      </c>
      <c r="B473" s="41" t="s">
        <v>1095</v>
      </c>
      <c r="C473" s="41" t="s">
        <v>508</v>
      </c>
      <c r="D473" s="41"/>
      <c r="E473" s="41"/>
      <c r="F473" s="5"/>
      <c r="G473" s="6">
        <f t="shared" si="72"/>
        <v>2500</v>
      </c>
      <c r="H473" s="6">
        <f t="shared" si="72"/>
        <v>2500</v>
      </c>
    </row>
    <row r="474" spans="1:8" ht="31.5">
      <c r="A474" s="25" t="s">
        <v>517</v>
      </c>
      <c r="B474" s="41" t="s">
        <v>1095</v>
      </c>
      <c r="C474" s="41" t="s">
        <v>508</v>
      </c>
      <c r="D474" s="41" t="s">
        <v>251</v>
      </c>
      <c r="E474" s="41"/>
      <c r="F474" s="5"/>
      <c r="G474" s="6">
        <f t="shared" si="72"/>
        <v>2500</v>
      </c>
      <c r="H474" s="6">
        <f t="shared" si="72"/>
        <v>2500</v>
      </c>
    </row>
    <row r="475" spans="1:8" ht="31.5">
      <c r="A475" s="30" t="s">
        <v>1096</v>
      </c>
      <c r="B475" s="41" t="s">
        <v>1253</v>
      </c>
      <c r="C475" s="41" t="s">
        <v>508</v>
      </c>
      <c r="D475" s="41" t="s">
        <v>251</v>
      </c>
      <c r="E475" s="41"/>
      <c r="F475" s="5"/>
      <c r="G475" s="6">
        <f>G476+G479</f>
        <v>2500</v>
      </c>
      <c r="H475" s="6">
        <f>H476+H479</f>
        <v>2500</v>
      </c>
    </row>
    <row r="476" spans="1:8" ht="94.5">
      <c r="A476" s="25" t="s">
        <v>144</v>
      </c>
      <c r="B476" s="41" t="s">
        <v>1253</v>
      </c>
      <c r="C476" s="41" t="s">
        <v>508</v>
      </c>
      <c r="D476" s="41" t="s">
        <v>251</v>
      </c>
      <c r="E476" s="41" t="s">
        <v>145</v>
      </c>
      <c r="F476" s="5"/>
      <c r="G476" s="6">
        <f aca="true" t="shared" si="73" ref="G476:H476">G477</f>
        <v>1611</v>
      </c>
      <c r="H476" s="6">
        <f t="shared" si="73"/>
        <v>1611</v>
      </c>
    </row>
    <row r="477" spans="1:8" ht="31.5">
      <c r="A477" s="25" t="s">
        <v>359</v>
      </c>
      <c r="B477" s="41" t="s">
        <v>1253</v>
      </c>
      <c r="C477" s="41" t="s">
        <v>508</v>
      </c>
      <c r="D477" s="41" t="s">
        <v>251</v>
      </c>
      <c r="E477" s="41" t="s">
        <v>226</v>
      </c>
      <c r="F477" s="5"/>
      <c r="G477" s="6">
        <f>'пр.6.1.ведом.21-22'!G779</f>
        <v>1611</v>
      </c>
      <c r="H477" s="6">
        <f>'пр.6.1.ведом.21-22'!H779</f>
        <v>1611</v>
      </c>
    </row>
    <row r="478" spans="1:8" ht="47.25">
      <c r="A478" s="74" t="s">
        <v>497</v>
      </c>
      <c r="B478" s="41" t="s">
        <v>1253</v>
      </c>
      <c r="C478" s="41" t="s">
        <v>508</v>
      </c>
      <c r="D478" s="41" t="s">
        <v>251</v>
      </c>
      <c r="E478" s="41" t="s">
        <v>226</v>
      </c>
      <c r="F478" s="5">
        <v>907</v>
      </c>
      <c r="G478" s="10">
        <f>G477</f>
        <v>1611</v>
      </c>
      <c r="H478" s="10">
        <f>H477</f>
        <v>1611</v>
      </c>
    </row>
    <row r="479" spans="1:8" ht="31.5">
      <c r="A479" s="30" t="s">
        <v>148</v>
      </c>
      <c r="B479" s="41" t="s">
        <v>1253</v>
      </c>
      <c r="C479" s="41" t="s">
        <v>508</v>
      </c>
      <c r="D479" s="41" t="s">
        <v>251</v>
      </c>
      <c r="E479" s="41" t="s">
        <v>149</v>
      </c>
      <c r="F479" s="5"/>
      <c r="G479" s="6">
        <f aca="true" t="shared" si="74" ref="G479:H479">G480</f>
        <v>889</v>
      </c>
      <c r="H479" s="6">
        <f t="shared" si="74"/>
        <v>889</v>
      </c>
    </row>
    <row r="480" spans="1:8" ht="47.25">
      <c r="A480" s="30" t="s">
        <v>150</v>
      </c>
      <c r="B480" s="41" t="s">
        <v>1253</v>
      </c>
      <c r="C480" s="41" t="s">
        <v>508</v>
      </c>
      <c r="D480" s="41" t="s">
        <v>251</v>
      </c>
      <c r="E480" s="41" t="s">
        <v>151</v>
      </c>
      <c r="F480" s="5"/>
      <c r="G480" s="6">
        <f>'пр.6.1.ведом.21-22'!G781</f>
        <v>889</v>
      </c>
      <c r="H480" s="6">
        <f>'пр.6.1.ведом.21-22'!H781</f>
        <v>889</v>
      </c>
    </row>
    <row r="481" spans="1:8" ht="47.25">
      <c r="A481" s="74" t="s">
        <v>497</v>
      </c>
      <c r="B481" s="41" t="s">
        <v>1253</v>
      </c>
      <c r="C481" s="41" t="s">
        <v>508</v>
      </c>
      <c r="D481" s="41" t="s">
        <v>251</v>
      </c>
      <c r="E481" s="41" t="s">
        <v>151</v>
      </c>
      <c r="F481" s="5">
        <v>907</v>
      </c>
      <c r="G481" s="10">
        <f>G480</f>
        <v>889</v>
      </c>
      <c r="H481" s="10">
        <f>H480</f>
        <v>889</v>
      </c>
    </row>
    <row r="482" spans="1:8" ht="47.25">
      <c r="A482" s="42" t="s">
        <v>283</v>
      </c>
      <c r="B482" s="7" t="s">
        <v>284</v>
      </c>
      <c r="C482" s="76"/>
      <c r="D482" s="76"/>
      <c r="E482" s="76"/>
      <c r="F482" s="3"/>
      <c r="G482" s="62">
        <f>G483+G521+G571</f>
        <v>65119.67</v>
      </c>
      <c r="H482" s="62">
        <f>H483+H521+H571</f>
        <v>65119.67</v>
      </c>
    </row>
    <row r="483" spans="1:8" ht="63">
      <c r="A483" s="42" t="s">
        <v>318</v>
      </c>
      <c r="B483" s="7" t="s">
        <v>319</v>
      </c>
      <c r="C483" s="7"/>
      <c r="D483" s="7"/>
      <c r="E483" s="76"/>
      <c r="F483" s="3"/>
      <c r="G483" s="62">
        <f>G484+G497+G507+G514</f>
        <v>26022.3</v>
      </c>
      <c r="H483" s="62">
        <f>H484+H497+H507+H514</f>
        <v>26022.3</v>
      </c>
    </row>
    <row r="484" spans="1:8" ht="47.25">
      <c r="A484" s="23" t="s">
        <v>961</v>
      </c>
      <c r="B484" s="24" t="s">
        <v>962</v>
      </c>
      <c r="C484" s="7"/>
      <c r="D484" s="7"/>
      <c r="E484" s="7"/>
      <c r="F484" s="3"/>
      <c r="G484" s="62">
        <f aca="true" t="shared" si="75" ref="G484:H486">G485</f>
        <v>24514</v>
      </c>
      <c r="H484" s="62">
        <f t="shared" si="75"/>
        <v>24514</v>
      </c>
    </row>
    <row r="485" spans="1:8" ht="15.75">
      <c r="A485" s="77" t="s">
        <v>315</v>
      </c>
      <c r="B485" s="41" t="s">
        <v>962</v>
      </c>
      <c r="C485" s="41" t="s">
        <v>316</v>
      </c>
      <c r="D485" s="77"/>
      <c r="E485" s="77"/>
      <c r="F485" s="2"/>
      <c r="G485" s="10">
        <f t="shared" si="75"/>
        <v>24514</v>
      </c>
      <c r="H485" s="10">
        <f t="shared" si="75"/>
        <v>24514</v>
      </c>
    </row>
    <row r="486" spans="1:8" ht="15.75">
      <c r="A486" s="77" t="s">
        <v>317</v>
      </c>
      <c r="B486" s="41" t="s">
        <v>962</v>
      </c>
      <c r="C486" s="41" t="s">
        <v>316</v>
      </c>
      <c r="D486" s="41" t="s">
        <v>135</v>
      </c>
      <c r="E486" s="77"/>
      <c r="F486" s="2"/>
      <c r="G486" s="10">
        <f t="shared" si="75"/>
        <v>24514</v>
      </c>
      <c r="H486" s="10">
        <f t="shared" si="75"/>
        <v>24514</v>
      </c>
    </row>
    <row r="487" spans="1:8" ht="31.5">
      <c r="A487" s="25" t="s">
        <v>835</v>
      </c>
      <c r="B487" s="20" t="s">
        <v>960</v>
      </c>
      <c r="C487" s="41" t="s">
        <v>316</v>
      </c>
      <c r="D487" s="41" t="s">
        <v>135</v>
      </c>
      <c r="E487" s="41"/>
      <c r="F487" s="2"/>
      <c r="G487" s="10">
        <f>G488+G491+G494</f>
        <v>24514</v>
      </c>
      <c r="H487" s="10">
        <f>H488+H491+H494</f>
        <v>24514</v>
      </c>
    </row>
    <row r="488" spans="1:8" ht="94.5">
      <c r="A488" s="25" t="s">
        <v>144</v>
      </c>
      <c r="B488" s="20" t="s">
        <v>960</v>
      </c>
      <c r="C488" s="41" t="s">
        <v>316</v>
      </c>
      <c r="D488" s="41" t="s">
        <v>135</v>
      </c>
      <c r="E488" s="41" t="s">
        <v>145</v>
      </c>
      <c r="F488" s="2"/>
      <c r="G488" s="10">
        <f>G489</f>
        <v>18725</v>
      </c>
      <c r="H488" s="10">
        <f>H489</f>
        <v>18725</v>
      </c>
    </row>
    <row r="489" spans="1:8" ht="31.5">
      <c r="A489" s="25" t="s">
        <v>225</v>
      </c>
      <c r="B489" s="20" t="s">
        <v>960</v>
      </c>
      <c r="C489" s="41" t="s">
        <v>316</v>
      </c>
      <c r="D489" s="41" t="s">
        <v>135</v>
      </c>
      <c r="E489" s="41" t="s">
        <v>226</v>
      </c>
      <c r="F489" s="2"/>
      <c r="G489" s="10">
        <f>'пр.6.1.ведом.21-22'!G329</f>
        <v>18725</v>
      </c>
      <c r="H489" s="10">
        <f>'пр.6.1.ведом.21-22'!H329</f>
        <v>18725</v>
      </c>
    </row>
    <row r="490" spans="1:8" ht="47.25">
      <c r="A490" s="25" t="s">
        <v>1286</v>
      </c>
      <c r="B490" s="20" t="s">
        <v>960</v>
      </c>
      <c r="C490" s="41" t="s">
        <v>316</v>
      </c>
      <c r="D490" s="41" t="s">
        <v>135</v>
      </c>
      <c r="E490" s="41" t="s">
        <v>226</v>
      </c>
      <c r="F490" s="2">
        <v>903</v>
      </c>
      <c r="G490" s="10">
        <f>G489</f>
        <v>18725</v>
      </c>
      <c r="H490" s="10">
        <f>H489</f>
        <v>18725</v>
      </c>
    </row>
    <row r="491" spans="1:8" ht="31.5">
      <c r="A491" s="25" t="s">
        <v>148</v>
      </c>
      <c r="B491" s="20" t="s">
        <v>960</v>
      </c>
      <c r="C491" s="41" t="s">
        <v>316</v>
      </c>
      <c r="D491" s="41" t="s">
        <v>135</v>
      </c>
      <c r="E491" s="41" t="s">
        <v>149</v>
      </c>
      <c r="F491" s="2"/>
      <c r="G491" s="10">
        <f>G492</f>
        <v>5681</v>
      </c>
      <c r="H491" s="10">
        <f>H492</f>
        <v>5681</v>
      </c>
    </row>
    <row r="492" spans="1:8" ht="47.25">
      <c r="A492" s="25" t="s">
        <v>150</v>
      </c>
      <c r="B492" s="20" t="s">
        <v>960</v>
      </c>
      <c r="C492" s="41" t="s">
        <v>316</v>
      </c>
      <c r="D492" s="41" t="s">
        <v>135</v>
      </c>
      <c r="E492" s="41" t="s">
        <v>151</v>
      </c>
      <c r="F492" s="2"/>
      <c r="G492" s="10">
        <f>'пр.6.1.ведом.21-22'!G331</f>
        <v>5681</v>
      </c>
      <c r="H492" s="10">
        <f>'пр.6.1.ведом.21-22'!H331</f>
        <v>5681</v>
      </c>
    </row>
    <row r="493" spans="1:8" ht="47.25">
      <c r="A493" s="25" t="s">
        <v>1286</v>
      </c>
      <c r="B493" s="20" t="s">
        <v>960</v>
      </c>
      <c r="C493" s="41" t="s">
        <v>316</v>
      </c>
      <c r="D493" s="41" t="s">
        <v>135</v>
      </c>
      <c r="E493" s="41" t="s">
        <v>151</v>
      </c>
      <c r="F493" s="2">
        <v>903</v>
      </c>
      <c r="G493" s="10">
        <f>G492</f>
        <v>5681</v>
      </c>
      <c r="H493" s="10">
        <f>H492</f>
        <v>5681</v>
      </c>
    </row>
    <row r="494" spans="1:8" ht="15.75">
      <c r="A494" s="25" t="s">
        <v>152</v>
      </c>
      <c r="B494" s="20" t="s">
        <v>960</v>
      </c>
      <c r="C494" s="41" t="s">
        <v>316</v>
      </c>
      <c r="D494" s="41" t="s">
        <v>135</v>
      </c>
      <c r="E494" s="41" t="s">
        <v>162</v>
      </c>
      <c r="F494" s="2"/>
      <c r="G494" s="10">
        <f>G495</f>
        <v>108</v>
      </c>
      <c r="H494" s="10">
        <f>H495</f>
        <v>108</v>
      </c>
    </row>
    <row r="495" spans="1:8" ht="15.75">
      <c r="A495" s="25" t="s">
        <v>154</v>
      </c>
      <c r="B495" s="20" t="s">
        <v>960</v>
      </c>
      <c r="C495" s="41" t="s">
        <v>316</v>
      </c>
      <c r="D495" s="41" t="s">
        <v>135</v>
      </c>
      <c r="E495" s="41" t="s">
        <v>155</v>
      </c>
      <c r="F495" s="2"/>
      <c r="G495" s="10">
        <f>'пр.6.1.ведом.21-22'!G333</f>
        <v>108</v>
      </c>
      <c r="H495" s="10">
        <f>'пр.6.1.ведом.21-22'!H333</f>
        <v>108</v>
      </c>
    </row>
    <row r="496" spans="1:8" ht="47.25">
      <c r="A496" s="25" t="s">
        <v>1286</v>
      </c>
      <c r="B496" s="20" t="s">
        <v>960</v>
      </c>
      <c r="C496" s="41" t="s">
        <v>316</v>
      </c>
      <c r="D496" s="41" t="s">
        <v>135</v>
      </c>
      <c r="E496" s="41" t="s">
        <v>155</v>
      </c>
      <c r="F496" s="2">
        <v>903</v>
      </c>
      <c r="G496" s="10">
        <f>G495</f>
        <v>108</v>
      </c>
      <c r="H496" s="10">
        <f>H495</f>
        <v>108</v>
      </c>
    </row>
    <row r="497" spans="1:8" ht="47.25">
      <c r="A497" s="317" t="s">
        <v>975</v>
      </c>
      <c r="B497" s="24" t="s">
        <v>963</v>
      </c>
      <c r="C497" s="7"/>
      <c r="D497" s="7"/>
      <c r="E497" s="7"/>
      <c r="F497" s="3"/>
      <c r="G497" s="62">
        <f>G500+G504</f>
        <v>250</v>
      </c>
      <c r="H497" s="62">
        <f>H500+H504</f>
        <v>250</v>
      </c>
    </row>
    <row r="498" spans="1:8" ht="15.75">
      <c r="A498" s="77" t="s">
        <v>315</v>
      </c>
      <c r="B498" s="41" t="s">
        <v>963</v>
      </c>
      <c r="C498" s="41" t="s">
        <v>316</v>
      </c>
      <c r="D498" s="77"/>
      <c r="E498" s="77"/>
      <c r="F498" s="2"/>
      <c r="G498" s="10">
        <f>G499</f>
        <v>250</v>
      </c>
      <c r="H498" s="10">
        <f>H499</f>
        <v>250</v>
      </c>
    </row>
    <row r="499" spans="1:8" ht="15.75">
      <c r="A499" s="77" t="s">
        <v>317</v>
      </c>
      <c r="B499" s="41" t="s">
        <v>963</v>
      </c>
      <c r="C499" s="41" t="s">
        <v>316</v>
      </c>
      <c r="D499" s="41" t="s">
        <v>135</v>
      </c>
      <c r="E499" s="77"/>
      <c r="F499" s="2"/>
      <c r="G499" s="10">
        <f>G500+G504</f>
        <v>250</v>
      </c>
      <c r="H499" s="10">
        <f>H500+H504</f>
        <v>250</v>
      </c>
    </row>
    <row r="500" spans="1:8" ht="47.25" hidden="1">
      <c r="A500" s="32" t="s">
        <v>864</v>
      </c>
      <c r="B500" s="20" t="s">
        <v>964</v>
      </c>
      <c r="C500" s="41" t="s">
        <v>316</v>
      </c>
      <c r="D500" s="41" t="s">
        <v>135</v>
      </c>
      <c r="E500" s="41"/>
      <c r="F500" s="2"/>
      <c r="G500" s="10">
        <f>G501</f>
        <v>0</v>
      </c>
      <c r="H500" s="10">
        <f>H501</f>
        <v>0</v>
      </c>
    </row>
    <row r="501" spans="1:8" ht="94.5" hidden="1">
      <c r="A501" s="25" t="s">
        <v>144</v>
      </c>
      <c r="B501" s="20" t="s">
        <v>964</v>
      </c>
      <c r="C501" s="41" t="s">
        <v>316</v>
      </c>
      <c r="D501" s="41" t="s">
        <v>135</v>
      </c>
      <c r="E501" s="41" t="s">
        <v>145</v>
      </c>
      <c r="F501" s="2"/>
      <c r="G501" s="10">
        <f>G502</f>
        <v>0</v>
      </c>
      <c r="H501" s="10">
        <f>H502</f>
        <v>0</v>
      </c>
    </row>
    <row r="502" spans="1:8" ht="31.5" hidden="1">
      <c r="A502" s="25" t="s">
        <v>225</v>
      </c>
      <c r="B502" s="20" t="s">
        <v>964</v>
      </c>
      <c r="C502" s="41" t="s">
        <v>316</v>
      </c>
      <c r="D502" s="41" t="s">
        <v>135</v>
      </c>
      <c r="E502" s="41" t="s">
        <v>226</v>
      </c>
      <c r="F502" s="2"/>
      <c r="G502" s="10">
        <f>'пр.6.1.ведом.21-22'!G337</f>
        <v>0</v>
      </c>
      <c r="H502" s="10">
        <f>'пр.6.1.ведом.21-22'!H337</f>
        <v>0</v>
      </c>
    </row>
    <row r="503" spans="1:8" ht="47.25" hidden="1">
      <c r="A503" s="25" t="s">
        <v>1286</v>
      </c>
      <c r="B503" s="20" t="s">
        <v>964</v>
      </c>
      <c r="C503" s="41" t="s">
        <v>316</v>
      </c>
      <c r="D503" s="41" t="s">
        <v>135</v>
      </c>
      <c r="E503" s="41" t="s">
        <v>226</v>
      </c>
      <c r="F503" s="2">
        <v>903</v>
      </c>
      <c r="G503" s="10">
        <f>G502</f>
        <v>0</v>
      </c>
      <c r="H503" s="10">
        <f>H502</f>
        <v>0</v>
      </c>
    </row>
    <row r="504" spans="1:8" ht="31.5">
      <c r="A504" s="25" t="s">
        <v>148</v>
      </c>
      <c r="B504" s="20" t="s">
        <v>964</v>
      </c>
      <c r="C504" s="41" t="s">
        <v>316</v>
      </c>
      <c r="D504" s="41" t="s">
        <v>135</v>
      </c>
      <c r="E504" s="41" t="s">
        <v>149</v>
      </c>
      <c r="F504" s="2"/>
      <c r="G504" s="10">
        <f>G505</f>
        <v>250</v>
      </c>
      <c r="H504" s="10">
        <f>H505</f>
        <v>250</v>
      </c>
    </row>
    <row r="505" spans="1:8" ht="47.25">
      <c r="A505" s="25" t="s">
        <v>150</v>
      </c>
      <c r="B505" s="20" t="s">
        <v>964</v>
      </c>
      <c r="C505" s="41" t="s">
        <v>316</v>
      </c>
      <c r="D505" s="41" t="s">
        <v>135</v>
      </c>
      <c r="E505" s="41" t="s">
        <v>151</v>
      </c>
      <c r="F505" s="2"/>
      <c r="G505" s="10">
        <f>'пр.6.1.ведом.21-22'!G339</f>
        <v>250</v>
      </c>
      <c r="H505" s="10">
        <f>'пр.6.1.ведом.21-22'!H339</f>
        <v>250</v>
      </c>
    </row>
    <row r="506" spans="1:8" ht="47.25">
      <c r="A506" s="25" t="s">
        <v>1286</v>
      </c>
      <c r="B506" s="20" t="s">
        <v>964</v>
      </c>
      <c r="C506" s="41" t="s">
        <v>316</v>
      </c>
      <c r="D506" s="41" t="s">
        <v>135</v>
      </c>
      <c r="E506" s="41" t="s">
        <v>151</v>
      </c>
      <c r="F506" s="2">
        <v>903</v>
      </c>
      <c r="G506" s="10">
        <f>G505</f>
        <v>250</v>
      </c>
      <c r="H506" s="10">
        <f>H505</f>
        <v>250</v>
      </c>
    </row>
    <row r="507" spans="1:8" ht="47.25">
      <c r="A507" s="23" t="s">
        <v>1084</v>
      </c>
      <c r="B507" s="24" t="s">
        <v>1173</v>
      </c>
      <c r="C507" s="7"/>
      <c r="D507" s="7"/>
      <c r="E507" s="7"/>
      <c r="F507" s="3"/>
      <c r="G507" s="62">
        <f>G510</f>
        <v>585</v>
      </c>
      <c r="H507" s="62">
        <f>H510</f>
        <v>585</v>
      </c>
    </row>
    <row r="508" spans="1:8" ht="15.75">
      <c r="A508" s="77" t="s">
        <v>315</v>
      </c>
      <c r="B508" s="41" t="s">
        <v>1173</v>
      </c>
      <c r="C508" s="41" t="s">
        <v>316</v>
      </c>
      <c r="D508" s="77"/>
      <c r="E508" s="77"/>
      <c r="F508" s="2"/>
      <c r="G508" s="10">
        <f>G509</f>
        <v>1258.3</v>
      </c>
      <c r="H508" s="10">
        <f>H509</f>
        <v>1258.3</v>
      </c>
    </row>
    <row r="509" spans="1:8" ht="15.75">
      <c r="A509" s="77" t="s">
        <v>317</v>
      </c>
      <c r="B509" s="41" t="s">
        <v>1173</v>
      </c>
      <c r="C509" s="41" t="s">
        <v>316</v>
      </c>
      <c r="D509" s="41" t="s">
        <v>135</v>
      </c>
      <c r="E509" s="77"/>
      <c r="F509" s="2"/>
      <c r="G509" s="10">
        <f>G510+G514</f>
        <v>1258.3</v>
      </c>
      <c r="H509" s="10">
        <f>H510+H514</f>
        <v>1258.3</v>
      </c>
    </row>
    <row r="510" spans="1:8" ht="47.25">
      <c r="A510" s="25" t="s">
        <v>889</v>
      </c>
      <c r="B510" s="20" t="s">
        <v>1174</v>
      </c>
      <c r="C510" s="41" t="s">
        <v>316</v>
      </c>
      <c r="D510" s="41" t="s">
        <v>135</v>
      </c>
      <c r="E510" s="41"/>
      <c r="F510" s="2"/>
      <c r="G510" s="10">
        <f>G511</f>
        <v>585</v>
      </c>
      <c r="H510" s="10">
        <f>H511</f>
        <v>585</v>
      </c>
    </row>
    <row r="511" spans="1:8" ht="94.5">
      <c r="A511" s="25" t="s">
        <v>144</v>
      </c>
      <c r="B511" s="20" t="s">
        <v>1174</v>
      </c>
      <c r="C511" s="41" t="s">
        <v>316</v>
      </c>
      <c r="D511" s="41" t="s">
        <v>135</v>
      </c>
      <c r="E511" s="41" t="s">
        <v>145</v>
      </c>
      <c r="F511" s="2"/>
      <c r="G511" s="10">
        <f>G512</f>
        <v>585</v>
      </c>
      <c r="H511" s="10">
        <f>H512</f>
        <v>585</v>
      </c>
    </row>
    <row r="512" spans="1:8" ht="31.5">
      <c r="A512" s="25" t="s">
        <v>146</v>
      </c>
      <c r="B512" s="20" t="s">
        <v>1174</v>
      </c>
      <c r="C512" s="41" t="s">
        <v>316</v>
      </c>
      <c r="D512" s="41" t="s">
        <v>135</v>
      </c>
      <c r="E512" s="41" t="s">
        <v>226</v>
      </c>
      <c r="F512" s="2"/>
      <c r="G512" s="10">
        <f>'пр.6.1.ведом.21-22'!G343</f>
        <v>585</v>
      </c>
      <c r="H512" s="10">
        <f>'пр.6.1.ведом.21-22'!H343</f>
        <v>585</v>
      </c>
    </row>
    <row r="513" spans="1:8" ht="47.25">
      <c r="A513" s="25" t="s">
        <v>1286</v>
      </c>
      <c r="B513" s="20" t="s">
        <v>1174</v>
      </c>
      <c r="C513" s="41" t="s">
        <v>316</v>
      </c>
      <c r="D513" s="41" t="s">
        <v>135</v>
      </c>
      <c r="E513" s="41" t="s">
        <v>226</v>
      </c>
      <c r="F513" s="2">
        <v>903</v>
      </c>
      <c r="G513" s="10">
        <f>G512</f>
        <v>585</v>
      </c>
      <c r="H513" s="10">
        <f>H512</f>
        <v>585</v>
      </c>
    </row>
    <row r="514" spans="1:8" ht="47.25" hidden="1">
      <c r="A514" s="318" t="s">
        <v>976</v>
      </c>
      <c r="B514" s="24" t="s">
        <v>1175</v>
      </c>
      <c r="C514" s="7" t="s">
        <v>316</v>
      </c>
      <c r="D514" s="7" t="s">
        <v>135</v>
      </c>
      <c r="E514" s="7"/>
      <c r="F514" s="3"/>
      <c r="G514" s="62">
        <f>G517</f>
        <v>673.3</v>
      </c>
      <c r="H514" s="62">
        <f>H517</f>
        <v>673.3</v>
      </c>
    </row>
    <row r="515" spans="1:8" ht="15.75" hidden="1">
      <c r="A515" s="77" t="s">
        <v>315</v>
      </c>
      <c r="B515" s="41" t="s">
        <v>1175</v>
      </c>
      <c r="C515" s="41" t="s">
        <v>316</v>
      </c>
      <c r="D515" s="77"/>
      <c r="E515" s="77"/>
      <c r="F515" s="2"/>
      <c r="G515" s="10">
        <f aca="true" t="shared" si="76" ref="G515:H518">G516</f>
        <v>673.3</v>
      </c>
      <c r="H515" s="10">
        <f t="shared" si="76"/>
        <v>673.3</v>
      </c>
    </row>
    <row r="516" spans="1:8" ht="15.75" hidden="1">
      <c r="A516" s="77" t="s">
        <v>317</v>
      </c>
      <c r="B516" s="41" t="s">
        <v>1175</v>
      </c>
      <c r="C516" s="41" t="s">
        <v>316</v>
      </c>
      <c r="D516" s="41" t="s">
        <v>135</v>
      </c>
      <c r="E516" s="77"/>
      <c r="F516" s="2"/>
      <c r="G516" s="10">
        <f t="shared" si="76"/>
        <v>673.3</v>
      </c>
      <c r="H516" s="10">
        <f t="shared" si="76"/>
        <v>673.3</v>
      </c>
    </row>
    <row r="517" spans="1:8" ht="110.25" hidden="1">
      <c r="A517" s="32" t="s">
        <v>310</v>
      </c>
      <c r="B517" s="20" t="s">
        <v>1176</v>
      </c>
      <c r="C517" s="41" t="s">
        <v>316</v>
      </c>
      <c r="D517" s="41" t="s">
        <v>135</v>
      </c>
      <c r="E517" s="41"/>
      <c r="F517" s="2"/>
      <c r="G517" s="10">
        <f t="shared" si="76"/>
        <v>673.3</v>
      </c>
      <c r="H517" s="10">
        <f t="shared" si="76"/>
        <v>673.3</v>
      </c>
    </row>
    <row r="518" spans="1:8" ht="94.5" hidden="1">
      <c r="A518" s="25" t="s">
        <v>144</v>
      </c>
      <c r="B518" s="20" t="s">
        <v>1176</v>
      </c>
      <c r="C518" s="41" t="s">
        <v>316</v>
      </c>
      <c r="D518" s="41" t="s">
        <v>135</v>
      </c>
      <c r="E518" s="41" t="s">
        <v>145</v>
      </c>
      <c r="F518" s="2"/>
      <c r="G518" s="10">
        <f t="shared" si="76"/>
        <v>673.3</v>
      </c>
      <c r="H518" s="10">
        <f t="shared" si="76"/>
        <v>673.3</v>
      </c>
    </row>
    <row r="519" spans="1:8" ht="31.5" hidden="1">
      <c r="A519" s="25" t="s">
        <v>225</v>
      </c>
      <c r="B519" s="20" t="s">
        <v>1176</v>
      </c>
      <c r="C519" s="41" t="s">
        <v>316</v>
      </c>
      <c r="D519" s="41" t="s">
        <v>135</v>
      </c>
      <c r="E519" s="41" t="s">
        <v>226</v>
      </c>
      <c r="F519" s="2"/>
      <c r="G519" s="10">
        <f>'пр.6.1.ведом.21-22'!G347</f>
        <v>673.3</v>
      </c>
      <c r="H519" s="10">
        <f>'пр.6.1.ведом.21-22'!H347</f>
        <v>673.3</v>
      </c>
    </row>
    <row r="520" spans="1:8" ht="47.25" hidden="1">
      <c r="A520" s="25" t="s">
        <v>1286</v>
      </c>
      <c r="B520" s="20" t="s">
        <v>1176</v>
      </c>
      <c r="C520" s="41" t="s">
        <v>316</v>
      </c>
      <c r="D520" s="41" t="s">
        <v>135</v>
      </c>
      <c r="E520" s="41" t="s">
        <v>226</v>
      </c>
      <c r="F520" s="2">
        <v>903</v>
      </c>
      <c r="G520" s="10">
        <f>G519</f>
        <v>673.3</v>
      </c>
      <c r="H520" s="10">
        <f>H519</f>
        <v>673.3</v>
      </c>
    </row>
    <row r="521" spans="1:8" ht="47.25">
      <c r="A521" s="42" t="s">
        <v>329</v>
      </c>
      <c r="B521" s="7" t="s">
        <v>330</v>
      </c>
      <c r="C521" s="7"/>
      <c r="D521" s="7"/>
      <c r="E521" s="7"/>
      <c r="F521" s="79"/>
      <c r="G521" s="62">
        <f>G522+G535+G542+G549+G560</f>
        <v>21875.32</v>
      </c>
      <c r="H521" s="62">
        <f>H522+H535+H542+H549+H560</f>
        <v>21875.32</v>
      </c>
    </row>
    <row r="522" spans="1:8" ht="47.25">
      <c r="A522" s="23" t="s">
        <v>961</v>
      </c>
      <c r="B522" s="24" t="s">
        <v>965</v>
      </c>
      <c r="C522" s="7"/>
      <c r="D522" s="7"/>
      <c r="E522" s="7"/>
      <c r="F522" s="3"/>
      <c r="G522" s="62">
        <f>G523</f>
        <v>19822.02</v>
      </c>
      <c r="H522" s="62">
        <f>H523</f>
        <v>19822.02</v>
      </c>
    </row>
    <row r="523" spans="1:8" ht="15.75">
      <c r="A523" s="77" t="s">
        <v>315</v>
      </c>
      <c r="B523" s="41" t="s">
        <v>965</v>
      </c>
      <c r="C523" s="41" t="s">
        <v>316</v>
      </c>
      <c r="D523" s="41"/>
      <c r="E523" s="41"/>
      <c r="F523" s="78"/>
      <c r="G523" s="10">
        <f aca="true" t="shared" si="77" ref="G523:H523">G524</f>
        <v>19822.02</v>
      </c>
      <c r="H523" s="10">
        <f t="shared" si="77"/>
        <v>19822.02</v>
      </c>
    </row>
    <row r="524" spans="1:8" ht="15.75">
      <c r="A524" s="77" t="s">
        <v>317</v>
      </c>
      <c r="B524" s="41" t="s">
        <v>965</v>
      </c>
      <c r="C524" s="41" t="s">
        <v>316</v>
      </c>
      <c r="D524" s="41" t="s">
        <v>135</v>
      </c>
      <c r="E524" s="41"/>
      <c r="F524" s="78"/>
      <c r="G524" s="10">
        <f>G525</f>
        <v>19822.02</v>
      </c>
      <c r="H524" s="10">
        <f>H525</f>
        <v>19822.02</v>
      </c>
    </row>
    <row r="525" spans="1:8" ht="31.5">
      <c r="A525" s="25" t="s">
        <v>835</v>
      </c>
      <c r="B525" s="20" t="s">
        <v>966</v>
      </c>
      <c r="C525" s="41" t="s">
        <v>316</v>
      </c>
      <c r="D525" s="41" t="s">
        <v>135</v>
      </c>
      <c r="E525" s="41"/>
      <c r="F525" s="2"/>
      <c r="G525" s="10">
        <f>G526+G529+G532</f>
        <v>19822.02</v>
      </c>
      <c r="H525" s="10">
        <f>H526+H529+H532</f>
        <v>19822.02</v>
      </c>
    </row>
    <row r="526" spans="1:8" ht="94.5">
      <c r="A526" s="25" t="s">
        <v>144</v>
      </c>
      <c r="B526" s="20" t="s">
        <v>966</v>
      </c>
      <c r="C526" s="41" t="s">
        <v>316</v>
      </c>
      <c r="D526" s="41" t="s">
        <v>135</v>
      </c>
      <c r="E526" s="41" t="s">
        <v>145</v>
      </c>
      <c r="F526" s="2"/>
      <c r="G526" s="10">
        <f>G527</f>
        <v>15928.02</v>
      </c>
      <c r="H526" s="10">
        <f>H527</f>
        <v>15928.02</v>
      </c>
    </row>
    <row r="527" spans="1:8" ht="31.5">
      <c r="A527" s="25" t="s">
        <v>225</v>
      </c>
      <c r="B527" s="20" t="s">
        <v>966</v>
      </c>
      <c r="C527" s="41" t="s">
        <v>316</v>
      </c>
      <c r="D527" s="41" t="s">
        <v>135</v>
      </c>
      <c r="E527" s="41" t="s">
        <v>226</v>
      </c>
      <c r="F527" s="2"/>
      <c r="G527" s="10">
        <f>'пр.6.1.ведом.21-22'!G352</f>
        <v>15928.02</v>
      </c>
      <c r="H527" s="10">
        <f>'пр.6.1.ведом.21-22'!H352</f>
        <v>15928.02</v>
      </c>
    </row>
    <row r="528" spans="1:8" ht="47.25">
      <c r="A528" s="25" t="s">
        <v>1286</v>
      </c>
      <c r="B528" s="20" t="s">
        <v>966</v>
      </c>
      <c r="C528" s="41" t="s">
        <v>316</v>
      </c>
      <c r="D528" s="41" t="s">
        <v>135</v>
      </c>
      <c r="E528" s="41" t="s">
        <v>226</v>
      </c>
      <c r="F528" s="2">
        <v>903</v>
      </c>
      <c r="G528" s="10">
        <f>G527</f>
        <v>15928.02</v>
      </c>
      <c r="H528" s="10">
        <f>H527</f>
        <v>15928.02</v>
      </c>
    </row>
    <row r="529" spans="1:8" ht="31.5">
      <c r="A529" s="25" t="s">
        <v>148</v>
      </c>
      <c r="B529" s="20" t="s">
        <v>966</v>
      </c>
      <c r="C529" s="41" t="s">
        <v>316</v>
      </c>
      <c r="D529" s="41" t="s">
        <v>135</v>
      </c>
      <c r="E529" s="41" t="s">
        <v>149</v>
      </c>
      <c r="F529" s="2"/>
      <c r="G529" s="10">
        <f>G530</f>
        <v>3858</v>
      </c>
      <c r="H529" s="10">
        <f>H530</f>
        <v>3858</v>
      </c>
    </row>
    <row r="530" spans="1:8" ht="47.25">
      <c r="A530" s="25" t="s">
        <v>150</v>
      </c>
      <c r="B530" s="20" t="s">
        <v>966</v>
      </c>
      <c r="C530" s="41" t="s">
        <v>316</v>
      </c>
      <c r="D530" s="41" t="s">
        <v>135</v>
      </c>
      <c r="E530" s="41" t="s">
        <v>151</v>
      </c>
      <c r="F530" s="2"/>
      <c r="G530" s="10">
        <f>'пр.6.1.ведом.21-22'!G354</f>
        <v>3858</v>
      </c>
      <c r="H530" s="10">
        <f>'пр.6.1.ведом.21-22'!H354</f>
        <v>3858</v>
      </c>
    </row>
    <row r="531" spans="1:8" ht="47.25">
      <c r="A531" s="25" t="s">
        <v>1286</v>
      </c>
      <c r="B531" s="20" t="s">
        <v>966</v>
      </c>
      <c r="C531" s="41" t="s">
        <v>316</v>
      </c>
      <c r="D531" s="41" t="s">
        <v>135</v>
      </c>
      <c r="E531" s="41" t="s">
        <v>151</v>
      </c>
      <c r="F531" s="2">
        <v>903</v>
      </c>
      <c r="G531" s="10">
        <f>G530</f>
        <v>3858</v>
      </c>
      <c r="H531" s="10">
        <f>H530</f>
        <v>3858</v>
      </c>
    </row>
    <row r="532" spans="1:8" ht="15.75">
      <c r="A532" s="25" t="s">
        <v>152</v>
      </c>
      <c r="B532" s="20" t="s">
        <v>966</v>
      </c>
      <c r="C532" s="41" t="s">
        <v>316</v>
      </c>
      <c r="D532" s="41" t="s">
        <v>135</v>
      </c>
      <c r="E532" s="41" t="s">
        <v>162</v>
      </c>
      <c r="F532" s="2"/>
      <c r="G532" s="10">
        <f>G533</f>
        <v>36</v>
      </c>
      <c r="H532" s="10">
        <f>H533</f>
        <v>36</v>
      </c>
    </row>
    <row r="533" spans="1:8" ht="15.75">
      <c r="A533" s="25" t="s">
        <v>154</v>
      </c>
      <c r="B533" s="20" t="s">
        <v>966</v>
      </c>
      <c r="C533" s="41" t="s">
        <v>316</v>
      </c>
      <c r="D533" s="41" t="s">
        <v>135</v>
      </c>
      <c r="E533" s="41" t="s">
        <v>155</v>
      </c>
      <c r="F533" s="2"/>
      <c r="G533" s="10">
        <f>'пр.6.1.ведом.21-22'!G356</f>
        <v>36</v>
      </c>
      <c r="H533" s="10">
        <f>'пр.6.1.ведом.21-22'!H356</f>
        <v>36</v>
      </c>
    </row>
    <row r="534" spans="1:8" ht="47.25">
      <c r="A534" s="25" t="s">
        <v>1286</v>
      </c>
      <c r="B534" s="20" t="s">
        <v>966</v>
      </c>
      <c r="C534" s="41" t="s">
        <v>316</v>
      </c>
      <c r="D534" s="41" t="s">
        <v>135</v>
      </c>
      <c r="E534" s="41" t="s">
        <v>155</v>
      </c>
      <c r="F534" s="2">
        <v>903</v>
      </c>
      <c r="G534" s="10">
        <f>G533</f>
        <v>36</v>
      </c>
      <c r="H534" s="10">
        <f>H533</f>
        <v>36</v>
      </c>
    </row>
    <row r="535" spans="1:8" ht="35.25" customHeight="1">
      <c r="A535" s="23" t="s">
        <v>978</v>
      </c>
      <c r="B535" s="24" t="s">
        <v>967</v>
      </c>
      <c r="C535" s="7"/>
      <c r="D535" s="7"/>
      <c r="E535" s="7"/>
      <c r="F535" s="3"/>
      <c r="G535" s="62">
        <f>G538</f>
        <v>200</v>
      </c>
      <c r="H535" s="62">
        <f>H538</f>
        <v>200</v>
      </c>
    </row>
    <row r="536" spans="1:8" ht="15.75">
      <c r="A536" s="77" t="s">
        <v>315</v>
      </c>
      <c r="B536" s="41" t="s">
        <v>967</v>
      </c>
      <c r="C536" s="41" t="s">
        <v>316</v>
      </c>
      <c r="D536" s="41"/>
      <c r="E536" s="41"/>
      <c r="F536" s="78"/>
      <c r="G536" s="10">
        <f aca="true" t="shared" si="78" ref="G536:H536">G537</f>
        <v>200</v>
      </c>
      <c r="H536" s="10">
        <f t="shared" si="78"/>
        <v>200</v>
      </c>
    </row>
    <row r="537" spans="1:8" ht="15.75">
      <c r="A537" s="77" t="s">
        <v>317</v>
      </c>
      <c r="B537" s="41" t="s">
        <v>967</v>
      </c>
      <c r="C537" s="41" t="s">
        <v>316</v>
      </c>
      <c r="D537" s="41" t="s">
        <v>135</v>
      </c>
      <c r="E537" s="41"/>
      <c r="F537" s="78"/>
      <c r="G537" s="10">
        <f aca="true" t="shared" si="79" ref="G537:H539">G538</f>
        <v>200</v>
      </c>
      <c r="H537" s="10">
        <f t="shared" si="79"/>
        <v>200</v>
      </c>
    </row>
    <row r="538" spans="1:8" ht="31.5">
      <c r="A538" s="25" t="s">
        <v>870</v>
      </c>
      <c r="B538" s="20" t="s">
        <v>968</v>
      </c>
      <c r="C538" s="41" t="s">
        <v>316</v>
      </c>
      <c r="D538" s="41" t="s">
        <v>135</v>
      </c>
      <c r="E538" s="41"/>
      <c r="F538" s="2"/>
      <c r="G538" s="10">
        <f t="shared" si="79"/>
        <v>200</v>
      </c>
      <c r="H538" s="10">
        <f t="shared" si="79"/>
        <v>200</v>
      </c>
    </row>
    <row r="539" spans="1:8" ht="31.5">
      <c r="A539" s="25" t="s">
        <v>148</v>
      </c>
      <c r="B539" s="20" t="s">
        <v>968</v>
      </c>
      <c r="C539" s="41" t="s">
        <v>316</v>
      </c>
      <c r="D539" s="41" t="s">
        <v>135</v>
      </c>
      <c r="E539" s="41" t="s">
        <v>149</v>
      </c>
      <c r="F539" s="2"/>
      <c r="G539" s="10">
        <f t="shared" si="79"/>
        <v>200</v>
      </c>
      <c r="H539" s="10">
        <f t="shared" si="79"/>
        <v>200</v>
      </c>
    </row>
    <row r="540" spans="1:8" ht="47.25">
      <c r="A540" s="25" t="s">
        <v>150</v>
      </c>
      <c r="B540" s="20" t="s">
        <v>968</v>
      </c>
      <c r="C540" s="41" t="s">
        <v>316</v>
      </c>
      <c r="D540" s="41" t="s">
        <v>135</v>
      </c>
      <c r="E540" s="41" t="s">
        <v>151</v>
      </c>
      <c r="F540" s="2"/>
      <c r="G540" s="10">
        <f>'пр.6.1.ведом.21-22'!G360</f>
        <v>200</v>
      </c>
      <c r="H540" s="10">
        <f>'пр.6.1.ведом.21-22'!H360</f>
        <v>200</v>
      </c>
    </row>
    <row r="541" spans="1:8" ht="47.25">
      <c r="A541" s="25" t="s">
        <v>1286</v>
      </c>
      <c r="B541" s="20" t="s">
        <v>968</v>
      </c>
      <c r="C541" s="41" t="s">
        <v>316</v>
      </c>
      <c r="D541" s="41" t="s">
        <v>135</v>
      </c>
      <c r="E541" s="41" t="s">
        <v>151</v>
      </c>
      <c r="F541" s="2">
        <v>903</v>
      </c>
      <c r="G541" s="10">
        <f>G540</f>
        <v>200</v>
      </c>
      <c r="H541" s="10">
        <f>H540</f>
        <v>200</v>
      </c>
    </row>
    <row r="542" spans="1:8" ht="47.25">
      <c r="A542" s="23" t="s">
        <v>1084</v>
      </c>
      <c r="B542" s="24" t="s">
        <v>969</v>
      </c>
      <c r="C542" s="7"/>
      <c r="D542" s="7"/>
      <c r="E542" s="7"/>
      <c r="F542" s="3"/>
      <c r="G542" s="62">
        <f>G545</f>
        <v>507</v>
      </c>
      <c r="H542" s="62">
        <f>H545</f>
        <v>507</v>
      </c>
    </row>
    <row r="543" spans="1:8" ht="15.75">
      <c r="A543" s="77" t="s">
        <v>315</v>
      </c>
      <c r="B543" s="41" t="s">
        <v>969</v>
      </c>
      <c r="C543" s="41" t="s">
        <v>316</v>
      </c>
      <c r="D543" s="41"/>
      <c r="E543" s="41"/>
      <c r="F543" s="78"/>
      <c r="G543" s="10">
        <f aca="true" t="shared" si="80" ref="G543:H543">G544</f>
        <v>507</v>
      </c>
      <c r="H543" s="10">
        <f t="shared" si="80"/>
        <v>507</v>
      </c>
    </row>
    <row r="544" spans="1:8" ht="15.75">
      <c r="A544" s="77" t="s">
        <v>317</v>
      </c>
      <c r="B544" s="41" t="s">
        <v>969</v>
      </c>
      <c r="C544" s="41" t="s">
        <v>316</v>
      </c>
      <c r="D544" s="41" t="s">
        <v>135</v>
      </c>
      <c r="E544" s="41"/>
      <c r="F544" s="78"/>
      <c r="G544" s="10">
        <f aca="true" t="shared" si="81" ref="G544:H546">G545</f>
        <v>507</v>
      </c>
      <c r="H544" s="10">
        <f t="shared" si="81"/>
        <v>507</v>
      </c>
    </row>
    <row r="545" spans="1:8" ht="47.25">
      <c r="A545" s="25" t="s">
        <v>889</v>
      </c>
      <c r="B545" s="20" t="s">
        <v>1269</v>
      </c>
      <c r="C545" s="41" t="s">
        <v>316</v>
      </c>
      <c r="D545" s="41" t="s">
        <v>135</v>
      </c>
      <c r="E545" s="41"/>
      <c r="F545" s="2"/>
      <c r="G545" s="10">
        <f t="shared" si="81"/>
        <v>507</v>
      </c>
      <c r="H545" s="10">
        <f t="shared" si="81"/>
        <v>507</v>
      </c>
    </row>
    <row r="546" spans="1:8" ht="94.5">
      <c r="A546" s="25" t="s">
        <v>144</v>
      </c>
      <c r="B546" s="20" t="s">
        <v>1269</v>
      </c>
      <c r="C546" s="41" t="s">
        <v>316</v>
      </c>
      <c r="D546" s="41" t="s">
        <v>135</v>
      </c>
      <c r="E546" s="41" t="s">
        <v>145</v>
      </c>
      <c r="F546" s="2"/>
      <c r="G546" s="10">
        <f t="shared" si="81"/>
        <v>507</v>
      </c>
      <c r="H546" s="10">
        <f t="shared" si="81"/>
        <v>507</v>
      </c>
    </row>
    <row r="547" spans="1:8" ht="31.5">
      <c r="A547" s="25" t="s">
        <v>146</v>
      </c>
      <c r="B547" s="20" t="s">
        <v>1269</v>
      </c>
      <c r="C547" s="41" t="s">
        <v>316</v>
      </c>
      <c r="D547" s="41" t="s">
        <v>135</v>
      </c>
      <c r="E547" s="41" t="s">
        <v>226</v>
      </c>
      <c r="F547" s="2"/>
      <c r="G547" s="10">
        <f>'пр.6.1.ведом.21-22'!G364</f>
        <v>507</v>
      </c>
      <c r="H547" s="10">
        <f>'пр.6.1.ведом.21-22'!H364</f>
        <v>507</v>
      </c>
    </row>
    <row r="548" spans="1:8" ht="47.25">
      <c r="A548" s="25" t="s">
        <v>1286</v>
      </c>
      <c r="B548" s="20" t="s">
        <v>1269</v>
      </c>
      <c r="C548" s="41" t="s">
        <v>316</v>
      </c>
      <c r="D548" s="41" t="s">
        <v>135</v>
      </c>
      <c r="E548" s="41" t="s">
        <v>226</v>
      </c>
      <c r="F548" s="2">
        <v>903</v>
      </c>
      <c r="G548" s="10">
        <f>G547</f>
        <v>507</v>
      </c>
      <c r="H548" s="10">
        <f>H547</f>
        <v>507</v>
      </c>
    </row>
    <row r="549" spans="1:8" ht="31.5">
      <c r="A549" s="23" t="s">
        <v>1172</v>
      </c>
      <c r="B549" s="24" t="s">
        <v>970</v>
      </c>
      <c r="C549" s="7"/>
      <c r="D549" s="7"/>
      <c r="E549" s="7"/>
      <c r="F549" s="3"/>
      <c r="G549" s="62">
        <f>G552+G556</f>
        <v>72.6</v>
      </c>
      <c r="H549" s="62">
        <f>H552+H556</f>
        <v>72.6</v>
      </c>
    </row>
    <row r="550" spans="1:8" ht="15.75">
      <c r="A550" s="72" t="s">
        <v>315</v>
      </c>
      <c r="B550" s="41" t="s">
        <v>970</v>
      </c>
      <c r="C550" s="41" t="s">
        <v>316</v>
      </c>
      <c r="D550" s="41"/>
      <c r="E550" s="41"/>
      <c r="F550" s="78"/>
      <c r="G550" s="10">
        <f aca="true" t="shared" si="82" ref="G550:H550">G551</f>
        <v>72.6</v>
      </c>
      <c r="H550" s="10">
        <f t="shared" si="82"/>
        <v>72.6</v>
      </c>
    </row>
    <row r="551" spans="1:8" ht="15.75">
      <c r="A551" s="72" t="s">
        <v>317</v>
      </c>
      <c r="B551" s="41" t="s">
        <v>970</v>
      </c>
      <c r="C551" s="41" t="s">
        <v>316</v>
      </c>
      <c r="D551" s="41" t="s">
        <v>135</v>
      </c>
      <c r="E551" s="41"/>
      <c r="F551" s="78"/>
      <c r="G551" s="10">
        <f>G552+G556</f>
        <v>72.6</v>
      </c>
      <c r="H551" s="10">
        <f>H552+H556</f>
        <v>72.6</v>
      </c>
    </row>
    <row r="552" spans="1:8" ht="31.5">
      <c r="A552" s="25" t="s">
        <v>346</v>
      </c>
      <c r="B552" s="20" t="s">
        <v>1270</v>
      </c>
      <c r="C552" s="41" t="s">
        <v>316</v>
      </c>
      <c r="D552" s="41" t="s">
        <v>135</v>
      </c>
      <c r="E552" s="41"/>
      <c r="F552" s="2"/>
      <c r="G552" s="10">
        <f>G553</f>
        <v>3.5</v>
      </c>
      <c r="H552" s="10">
        <f>H553</f>
        <v>3.5</v>
      </c>
    </row>
    <row r="553" spans="1:8" ht="31.5">
      <c r="A553" s="25" t="s">
        <v>148</v>
      </c>
      <c r="B553" s="20" t="s">
        <v>1270</v>
      </c>
      <c r="C553" s="41" t="s">
        <v>316</v>
      </c>
      <c r="D553" s="41" t="s">
        <v>135</v>
      </c>
      <c r="E553" s="41" t="s">
        <v>149</v>
      </c>
      <c r="F553" s="2"/>
      <c r="G553" s="10">
        <f>G554</f>
        <v>3.5</v>
      </c>
      <c r="H553" s="10">
        <f>H554</f>
        <v>3.5</v>
      </c>
    </row>
    <row r="554" spans="1:8" ht="47.25">
      <c r="A554" s="25" t="s">
        <v>150</v>
      </c>
      <c r="B554" s="20" t="s">
        <v>1270</v>
      </c>
      <c r="C554" s="41" t="s">
        <v>316</v>
      </c>
      <c r="D554" s="41" t="s">
        <v>135</v>
      </c>
      <c r="E554" s="41" t="s">
        <v>151</v>
      </c>
      <c r="F554" s="2"/>
      <c r="G554" s="10">
        <f>'пр.6.1.ведом.21-22'!G368</f>
        <v>3.5</v>
      </c>
      <c r="H554" s="10">
        <f>'пр.6.1.ведом.21-22'!H368</f>
        <v>3.5</v>
      </c>
    </row>
    <row r="555" spans="1:8" ht="47.25">
      <c r="A555" s="25" t="s">
        <v>1286</v>
      </c>
      <c r="B555" s="20" t="s">
        <v>1270</v>
      </c>
      <c r="C555" s="41" t="s">
        <v>316</v>
      </c>
      <c r="D555" s="41" t="s">
        <v>135</v>
      </c>
      <c r="E555" s="41" t="s">
        <v>151</v>
      </c>
      <c r="F555" s="2">
        <v>903</v>
      </c>
      <c r="G555" s="10">
        <f>G554</f>
        <v>3.5</v>
      </c>
      <c r="H555" s="10">
        <f>H554</f>
        <v>3.5</v>
      </c>
    </row>
    <row r="556" spans="1:8" ht="31.5">
      <c r="A556" s="25" t="s">
        <v>346</v>
      </c>
      <c r="B556" s="20" t="s">
        <v>1271</v>
      </c>
      <c r="C556" s="41" t="s">
        <v>316</v>
      </c>
      <c r="D556" s="41" t="s">
        <v>135</v>
      </c>
      <c r="E556" s="41"/>
      <c r="F556" s="2"/>
      <c r="G556" s="10">
        <f>G557</f>
        <v>69.1</v>
      </c>
      <c r="H556" s="10">
        <f>H557</f>
        <v>69.1</v>
      </c>
    </row>
    <row r="557" spans="1:8" ht="31.5">
      <c r="A557" s="25" t="s">
        <v>148</v>
      </c>
      <c r="B557" s="20" t="s">
        <v>1271</v>
      </c>
      <c r="C557" s="41" t="s">
        <v>316</v>
      </c>
      <c r="D557" s="41" t="s">
        <v>135</v>
      </c>
      <c r="E557" s="41" t="s">
        <v>149</v>
      </c>
      <c r="F557" s="2"/>
      <c r="G557" s="10">
        <f>G558</f>
        <v>69.1</v>
      </c>
      <c r="H557" s="10">
        <f>H558</f>
        <v>69.1</v>
      </c>
    </row>
    <row r="558" spans="1:8" ht="47.25">
      <c r="A558" s="25" t="s">
        <v>150</v>
      </c>
      <c r="B558" s="20" t="s">
        <v>1271</v>
      </c>
      <c r="C558" s="41" t="s">
        <v>316</v>
      </c>
      <c r="D558" s="41" t="s">
        <v>135</v>
      </c>
      <c r="E558" s="41" t="s">
        <v>151</v>
      </c>
      <c r="F558" s="2"/>
      <c r="G558" s="10">
        <f>'пр.6.1.ведом.21-22'!G371</f>
        <v>69.1</v>
      </c>
      <c r="H558" s="10">
        <f>'пр.6.1.ведом.21-22'!H371</f>
        <v>69.1</v>
      </c>
    </row>
    <row r="559" spans="1:8" ht="47.25">
      <c r="A559" s="25" t="s">
        <v>1286</v>
      </c>
      <c r="B559" s="20" t="s">
        <v>1271</v>
      </c>
      <c r="C559" s="41" t="s">
        <v>316</v>
      </c>
      <c r="D559" s="41" t="s">
        <v>135</v>
      </c>
      <c r="E559" s="41" t="s">
        <v>151</v>
      </c>
      <c r="F559" s="2">
        <v>903</v>
      </c>
      <c r="G559" s="10">
        <f>G558</f>
        <v>69.1</v>
      </c>
      <c r="H559" s="10">
        <f>H558</f>
        <v>69.1</v>
      </c>
    </row>
    <row r="560" spans="1:8" ht="47.25">
      <c r="A560" s="318" t="s">
        <v>976</v>
      </c>
      <c r="B560" s="24" t="s">
        <v>1272</v>
      </c>
      <c r="C560" s="7"/>
      <c r="D560" s="7"/>
      <c r="E560" s="7"/>
      <c r="F560" s="3"/>
      <c r="G560" s="62">
        <f>G561</f>
        <v>1273.7</v>
      </c>
      <c r="H560" s="62">
        <f>H561</f>
        <v>1273.7</v>
      </c>
    </row>
    <row r="561" spans="1:8" ht="15.75">
      <c r="A561" s="72" t="s">
        <v>315</v>
      </c>
      <c r="B561" s="41" t="s">
        <v>1272</v>
      </c>
      <c r="C561" s="41" t="s">
        <v>316</v>
      </c>
      <c r="D561" s="41"/>
      <c r="E561" s="41"/>
      <c r="F561" s="78"/>
      <c r="G561" s="10">
        <f aca="true" t="shared" si="83" ref="G561:H561">G562</f>
        <v>1273.7</v>
      </c>
      <c r="H561" s="10">
        <f t="shared" si="83"/>
        <v>1273.7</v>
      </c>
    </row>
    <row r="562" spans="1:8" ht="15.75">
      <c r="A562" s="72" t="s">
        <v>317</v>
      </c>
      <c r="B562" s="41" t="s">
        <v>1272</v>
      </c>
      <c r="C562" s="41" t="s">
        <v>316</v>
      </c>
      <c r="D562" s="41" t="s">
        <v>135</v>
      </c>
      <c r="E562" s="41"/>
      <c r="F562" s="78"/>
      <c r="G562" s="10">
        <f>G563+G567</f>
        <v>1273.7</v>
      </c>
      <c r="H562" s="10">
        <f>H563+H567</f>
        <v>1273.7</v>
      </c>
    </row>
    <row r="563" spans="1:8" ht="94.5">
      <c r="A563" s="25" t="s">
        <v>348</v>
      </c>
      <c r="B563" s="20" t="s">
        <v>1273</v>
      </c>
      <c r="C563" s="41" t="s">
        <v>316</v>
      </c>
      <c r="D563" s="41" t="s">
        <v>135</v>
      </c>
      <c r="E563" s="41"/>
      <c r="F563" s="2"/>
      <c r="G563" s="10">
        <f>G564</f>
        <v>273.7</v>
      </c>
      <c r="H563" s="10">
        <f>H564</f>
        <v>273.7</v>
      </c>
    </row>
    <row r="564" spans="1:8" ht="94.5">
      <c r="A564" s="25" t="s">
        <v>144</v>
      </c>
      <c r="B564" s="20" t="s">
        <v>1273</v>
      </c>
      <c r="C564" s="41" t="s">
        <v>316</v>
      </c>
      <c r="D564" s="41" t="s">
        <v>135</v>
      </c>
      <c r="E564" s="41" t="s">
        <v>145</v>
      </c>
      <c r="F564" s="2"/>
      <c r="G564" s="10">
        <f>G565</f>
        <v>273.7</v>
      </c>
      <c r="H564" s="10">
        <f>H565</f>
        <v>273.7</v>
      </c>
    </row>
    <row r="565" spans="1:8" ht="31.5">
      <c r="A565" s="25" t="s">
        <v>225</v>
      </c>
      <c r="B565" s="20" t="s">
        <v>1273</v>
      </c>
      <c r="C565" s="41" t="s">
        <v>316</v>
      </c>
      <c r="D565" s="41" t="s">
        <v>135</v>
      </c>
      <c r="E565" s="41" t="s">
        <v>226</v>
      </c>
      <c r="F565" s="2"/>
      <c r="G565" s="10">
        <f>'пр.6.1.ведом.21-22'!G375</f>
        <v>273.7</v>
      </c>
      <c r="H565" s="10">
        <f>'пр.6.1.ведом.21-22'!H375</f>
        <v>273.7</v>
      </c>
    </row>
    <row r="566" spans="1:8" ht="47.25">
      <c r="A566" s="25" t="s">
        <v>1286</v>
      </c>
      <c r="B566" s="20" t="s">
        <v>1273</v>
      </c>
      <c r="C566" s="41" t="s">
        <v>316</v>
      </c>
      <c r="D566" s="41" t="s">
        <v>135</v>
      </c>
      <c r="E566" s="41" t="s">
        <v>226</v>
      </c>
      <c r="F566" s="2">
        <v>903</v>
      </c>
      <c r="G566" s="10">
        <f>G565</f>
        <v>273.7</v>
      </c>
      <c r="H566" s="10">
        <f>H565</f>
        <v>273.7</v>
      </c>
    </row>
    <row r="567" spans="1:8" ht="110.25">
      <c r="A567" s="32" t="s">
        <v>310</v>
      </c>
      <c r="B567" s="20" t="s">
        <v>1274</v>
      </c>
      <c r="C567" s="41" t="s">
        <v>316</v>
      </c>
      <c r="D567" s="41" t="s">
        <v>135</v>
      </c>
      <c r="E567" s="41"/>
      <c r="F567" s="2"/>
      <c r="G567" s="10">
        <f>G568</f>
        <v>1000</v>
      </c>
      <c r="H567" s="10">
        <f>H568</f>
        <v>1000</v>
      </c>
    </row>
    <row r="568" spans="1:8" ht="94.5">
      <c r="A568" s="25" t="s">
        <v>144</v>
      </c>
      <c r="B568" s="20" t="s">
        <v>1274</v>
      </c>
      <c r="C568" s="41" t="s">
        <v>316</v>
      </c>
      <c r="D568" s="41" t="s">
        <v>135</v>
      </c>
      <c r="E568" s="41" t="s">
        <v>145</v>
      </c>
      <c r="F568" s="2"/>
      <c r="G568" s="10">
        <f>G569</f>
        <v>1000</v>
      </c>
      <c r="H568" s="10">
        <f>H569</f>
        <v>1000</v>
      </c>
    </row>
    <row r="569" spans="1:8" ht="31.5">
      <c r="A569" s="25" t="s">
        <v>225</v>
      </c>
      <c r="B569" s="20" t="s">
        <v>1274</v>
      </c>
      <c r="C569" s="41" t="s">
        <v>316</v>
      </c>
      <c r="D569" s="41" t="s">
        <v>135</v>
      </c>
      <c r="E569" s="41" t="s">
        <v>226</v>
      </c>
      <c r="F569" s="2"/>
      <c r="G569" s="10">
        <f>'пр.6.1.ведом.21-22'!G378</f>
        <v>1000</v>
      </c>
      <c r="H569" s="10">
        <f>'пр.6.1.ведом.21-22'!H378</f>
        <v>1000</v>
      </c>
    </row>
    <row r="570" spans="1:8" ht="47.25">
      <c r="A570" s="25" t="s">
        <v>1286</v>
      </c>
      <c r="B570" s="20" t="s">
        <v>1274</v>
      </c>
      <c r="C570" s="41" t="s">
        <v>316</v>
      </c>
      <c r="D570" s="41" t="s">
        <v>135</v>
      </c>
      <c r="E570" s="41" t="s">
        <v>226</v>
      </c>
      <c r="F570" s="2">
        <v>903</v>
      </c>
      <c r="G570" s="10">
        <f>G569</f>
        <v>1000</v>
      </c>
      <c r="H570" s="10">
        <f>H569</f>
        <v>1000</v>
      </c>
    </row>
    <row r="571" spans="1:8" ht="63">
      <c r="A571" s="23" t="s">
        <v>285</v>
      </c>
      <c r="B571" s="24" t="s">
        <v>286</v>
      </c>
      <c r="C571" s="7"/>
      <c r="D571" s="7"/>
      <c r="E571" s="7"/>
      <c r="F571" s="3"/>
      <c r="G571" s="62">
        <f>G572+G585+G592+G602+G609</f>
        <v>17222.05</v>
      </c>
      <c r="H571" s="62">
        <f>H572+H585+H592+H602+H609</f>
        <v>17222.05</v>
      </c>
    </row>
    <row r="572" spans="1:8" ht="47.25">
      <c r="A572" s="23" t="s">
        <v>946</v>
      </c>
      <c r="B572" s="24" t="s">
        <v>947</v>
      </c>
      <c r="C572" s="7"/>
      <c r="D572" s="7"/>
      <c r="E572" s="7"/>
      <c r="F572" s="3"/>
      <c r="G572" s="62">
        <f aca="true" t="shared" si="84" ref="G572:H574">G573</f>
        <v>15639.65</v>
      </c>
      <c r="H572" s="62">
        <f t="shared" si="84"/>
        <v>15639.65</v>
      </c>
    </row>
    <row r="573" spans="1:8" ht="15.75">
      <c r="A573" s="25" t="s">
        <v>280</v>
      </c>
      <c r="B573" s="20" t="s">
        <v>947</v>
      </c>
      <c r="C573" s="41" t="s">
        <v>281</v>
      </c>
      <c r="D573" s="41"/>
      <c r="E573" s="41"/>
      <c r="F573" s="2"/>
      <c r="G573" s="10">
        <f t="shared" si="84"/>
        <v>15639.65</v>
      </c>
      <c r="H573" s="10">
        <f t="shared" si="84"/>
        <v>15639.65</v>
      </c>
    </row>
    <row r="574" spans="1:8" ht="15.75">
      <c r="A574" s="25" t="s">
        <v>282</v>
      </c>
      <c r="B574" s="20" t="s">
        <v>947</v>
      </c>
      <c r="C574" s="41" t="s">
        <v>281</v>
      </c>
      <c r="D574" s="41" t="s">
        <v>232</v>
      </c>
      <c r="E574" s="41"/>
      <c r="F574" s="2"/>
      <c r="G574" s="10">
        <f t="shared" si="84"/>
        <v>15639.65</v>
      </c>
      <c r="H574" s="10">
        <f t="shared" si="84"/>
        <v>15639.65</v>
      </c>
    </row>
    <row r="575" spans="1:8" ht="31.5">
      <c r="A575" s="25" t="s">
        <v>835</v>
      </c>
      <c r="B575" s="20" t="s">
        <v>945</v>
      </c>
      <c r="C575" s="41" t="s">
        <v>281</v>
      </c>
      <c r="D575" s="41" t="s">
        <v>232</v>
      </c>
      <c r="E575" s="41"/>
      <c r="F575" s="2"/>
      <c r="G575" s="10">
        <f>G576+G579+G582</f>
        <v>15639.65</v>
      </c>
      <c r="H575" s="10">
        <f>H576+H579+H582</f>
        <v>15639.65</v>
      </c>
    </row>
    <row r="576" spans="1:8" ht="94.5">
      <c r="A576" s="25" t="s">
        <v>144</v>
      </c>
      <c r="B576" s="20" t="s">
        <v>945</v>
      </c>
      <c r="C576" s="41" t="s">
        <v>281</v>
      </c>
      <c r="D576" s="41" t="s">
        <v>232</v>
      </c>
      <c r="E576" s="20" t="s">
        <v>145</v>
      </c>
      <c r="F576" s="2"/>
      <c r="G576" s="10">
        <f>G577</f>
        <v>13361.25</v>
      </c>
      <c r="H576" s="10">
        <f>H577</f>
        <v>13361.25</v>
      </c>
    </row>
    <row r="577" spans="1:8" ht="31.5">
      <c r="A577" s="47" t="s">
        <v>359</v>
      </c>
      <c r="B577" s="20" t="s">
        <v>945</v>
      </c>
      <c r="C577" s="41" t="s">
        <v>281</v>
      </c>
      <c r="D577" s="41" t="s">
        <v>232</v>
      </c>
      <c r="E577" s="20" t="s">
        <v>226</v>
      </c>
      <c r="F577" s="2"/>
      <c r="G577" s="10">
        <f>'пр.6.1.ведом.21-22'!G268</f>
        <v>13361.25</v>
      </c>
      <c r="H577" s="10">
        <f>'пр.6.1.ведом.21-22'!H268</f>
        <v>13361.25</v>
      </c>
    </row>
    <row r="578" spans="1:8" ht="47.25">
      <c r="A578" s="25" t="s">
        <v>1286</v>
      </c>
      <c r="B578" s="20" t="s">
        <v>945</v>
      </c>
      <c r="C578" s="41" t="s">
        <v>281</v>
      </c>
      <c r="D578" s="41" t="s">
        <v>232</v>
      </c>
      <c r="E578" s="20" t="s">
        <v>226</v>
      </c>
      <c r="F578" s="2">
        <v>903</v>
      </c>
      <c r="G578" s="10">
        <f>G577</f>
        <v>13361.25</v>
      </c>
      <c r="H578" s="10">
        <f>H577</f>
        <v>13361.25</v>
      </c>
    </row>
    <row r="579" spans="1:8" ht="31.5">
      <c r="A579" s="25" t="s">
        <v>148</v>
      </c>
      <c r="B579" s="20" t="s">
        <v>945</v>
      </c>
      <c r="C579" s="41" t="s">
        <v>281</v>
      </c>
      <c r="D579" s="41" t="s">
        <v>232</v>
      </c>
      <c r="E579" s="20" t="s">
        <v>149</v>
      </c>
      <c r="F579" s="2"/>
      <c r="G579" s="10">
        <f>G580</f>
        <v>2200</v>
      </c>
      <c r="H579" s="10">
        <f>H580</f>
        <v>2200</v>
      </c>
    </row>
    <row r="580" spans="1:8" ht="47.25">
      <c r="A580" s="25" t="s">
        <v>150</v>
      </c>
      <c r="B580" s="20" t="s">
        <v>945</v>
      </c>
      <c r="C580" s="41" t="s">
        <v>281</v>
      </c>
      <c r="D580" s="41" t="s">
        <v>232</v>
      </c>
      <c r="E580" s="20" t="s">
        <v>151</v>
      </c>
      <c r="F580" s="2"/>
      <c r="G580" s="10">
        <f>'пр.6.1.ведом.21-22'!G270</f>
        <v>2200</v>
      </c>
      <c r="H580" s="10">
        <f>'пр.6.1.ведом.21-22'!H270</f>
        <v>2200</v>
      </c>
    </row>
    <row r="581" spans="1:8" ht="47.25">
      <c r="A581" s="25" t="s">
        <v>1286</v>
      </c>
      <c r="B581" s="20" t="s">
        <v>945</v>
      </c>
      <c r="C581" s="41" t="s">
        <v>281</v>
      </c>
      <c r="D581" s="41" t="s">
        <v>232</v>
      </c>
      <c r="E581" s="20" t="s">
        <v>151</v>
      </c>
      <c r="F581" s="2">
        <v>903</v>
      </c>
      <c r="G581" s="10">
        <f>G580</f>
        <v>2200</v>
      </c>
      <c r="H581" s="10">
        <f>H580</f>
        <v>2200</v>
      </c>
    </row>
    <row r="582" spans="1:8" ht="15.75">
      <c r="A582" s="25" t="s">
        <v>152</v>
      </c>
      <c r="B582" s="20" t="s">
        <v>945</v>
      </c>
      <c r="C582" s="41" t="s">
        <v>281</v>
      </c>
      <c r="D582" s="41" t="s">
        <v>232</v>
      </c>
      <c r="E582" s="20" t="s">
        <v>162</v>
      </c>
      <c r="F582" s="2"/>
      <c r="G582" s="10">
        <f>G583</f>
        <v>78.4</v>
      </c>
      <c r="H582" s="10">
        <f>H583</f>
        <v>78.4</v>
      </c>
    </row>
    <row r="583" spans="1:8" ht="15.75">
      <c r="A583" s="25" t="s">
        <v>729</v>
      </c>
      <c r="B583" s="20" t="s">
        <v>945</v>
      </c>
      <c r="C583" s="41" t="s">
        <v>281</v>
      </c>
      <c r="D583" s="41" t="s">
        <v>232</v>
      </c>
      <c r="E583" s="20" t="s">
        <v>155</v>
      </c>
      <c r="F583" s="2"/>
      <c r="G583" s="10">
        <f>'пр.6.1.ведом.21-22'!G272</f>
        <v>78.4</v>
      </c>
      <c r="H583" s="10">
        <f>'пр.6.1.ведом.21-22'!H272</f>
        <v>78.4</v>
      </c>
    </row>
    <row r="584" spans="1:8" ht="47.25">
      <c r="A584" s="25" t="s">
        <v>1286</v>
      </c>
      <c r="B584" s="20" t="s">
        <v>945</v>
      </c>
      <c r="C584" s="41" t="s">
        <v>281</v>
      </c>
      <c r="D584" s="41" t="s">
        <v>232</v>
      </c>
      <c r="E584" s="20" t="s">
        <v>155</v>
      </c>
      <c r="F584" s="2">
        <v>903</v>
      </c>
      <c r="G584" s="10">
        <f>G583</f>
        <v>78.4</v>
      </c>
      <c r="H584" s="10">
        <f>H583</f>
        <v>78.4</v>
      </c>
    </row>
    <row r="585" spans="1:8" ht="47.25">
      <c r="A585" s="316" t="s">
        <v>1200</v>
      </c>
      <c r="B585" s="24" t="s">
        <v>949</v>
      </c>
      <c r="C585" s="7"/>
      <c r="D585" s="7"/>
      <c r="E585" s="24"/>
      <c r="F585" s="3"/>
      <c r="G585" s="62">
        <f>G588</f>
        <v>45</v>
      </c>
      <c r="H585" s="62">
        <f>H588</f>
        <v>45</v>
      </c>
    </row>
    <row r="586" spans="1:8" ht="15.75">
      <c r="A586" s="25" t="s">
        <v>280</v>
      </c>
      <c r="B586" s="20" t="s">
        <v>949</v>
      </c>
      <c r="C586" s="41" t="s">
        <v>281</v>
      </c>
      <c r="D586" s="41"/>
      <c r="E586" s="41"/>
      <c r="F586" s="2"/>
      <c r="G586" s="10">
        <f aca="true" t="shared" si="85" ref="G586:H589">G587</f>
        <v>45</v>
      </c>
      <c r="H586" s="10">
        <f t="shared" si="85"/>
        <v>45</v>
      </c>
    </row>
    <row r="587" spans="1:8" ht="15.75">
      <c r="A587" s="25" t="s">
        <v>282</v>
      </c>
      <c r="B587" s="20" t="s">
        <v>949</v>
      </c>
      <c r="C587" s="41" t="s">
        <v>281</v>
      </c>
      <c r="D587" s="41" t="s">
        <v>232</v>
      </c>
      <c r="E587" s="41"/>
      <c r="F587" s="2"/>
      <c r="G587" s="10">
        <f t="shared" si="85"/>
        <v>45</v>
      </c>
      <c r="H587" s="10">
        <f t="shared" si="85"/>
        <v>45</v>
      </c>
    </row>
    <row r="588" spans="1:8" ht="31.5">
      <c r="A588" s="234" t="s">
        <v>834</v>
      </c>
      <c r="B588" s="20" t="s">
        <v>948</v>
      </c>
      <c r="C588" s="41" t="s">
        <v>281</v>
      </c>
      <c r="D588" s="41" t="s">
        <v>232</v>
      </c>
      <c r="E588" s="20"/>
      <c r="F588" s="2"/>
      <c r="G588" s="10">
        <f t="shared" si="85"/>
        <v>45</v>
      </c>
      <c r="H588" s="10">
        <f t="shared" si="85"/>
        <v>45</v>
      </c>
    </row>
    <row r="589" spans="1:8" ht="31.5">
      <c r="A589" s="25" t="s">
        <v>265</v>
      </c>
      <c r="B589" s="20" t="s">
        <v>948</v>
      </c>
      <c r="C589" s="41" t="s">
        <v>281</v>
      </c>
      <c r="D589" s="41" t="s">
        <v>232</v>
      </c>
      <c r="E589" s="20" t="s">
        <v>266</v>
      </c>
      <c r="F589" s="2"/>
      <c r="G589" s="10">
        <f t="shared" si="85"/>
        <v>45</v>
      </c>
      <c r="H589" s="10">
        <f t="shared" si="85"/>
        <v>45</v>
      </c>
    </row>
    <row r="590" spans="1:8" ht="15.75">
      <c r="A590" s="25" t="s">
        <v>869</v>
      </c>
      <c r="B590" s="20" t="s">
        <v>948</v>
      </c>
      <c r="C590" s="41" t="s">
        <v>281</v>
      </c>
      <c r="D590" s="41" t="s">
        <v>232</v>
      </c>
      <c r="E590" s="20" t="s">
        <v>868</v>
      </c>
      <c r="F590" s="2"/>
      <c r="G590" s="10">
        <f>'пр.6.1.ведом.21-22'!G276</f>
        <v>45</v>
      </c>
      <c r="H590" s="10">
        <f>'пр.6.1.ведом.21-22'!H276</f>
        <v>45</v>
      </c>
    </row>
    <row r="591" spans="1:8" ht="47.25">
      <c r="A591" s="25" t="s">
        <v>1286</v>
      </c>
      <c r="B591" s="20" t="s">
        <v>948</v>
      </c>
      <c r="C591" s="41" t="s">
        <v>281</v>
      </c>
      <c r="D591" s="41" t="s">
        <v>232</v>
      </c>
      <c r="E591" s="20" t="s">
        <v>868</v>
      </c>
      <c r="F591" s="2">
        <v>903</v>
      </c>
      <c r="G591" s="10">
        <f>G590</f>
        <v>45</v>
      </c>
      <c r="H591" s="10">
        <f>H590</f>
        <v>45</v>
      </c>
    </row>
    <row r="592" spans="1:8" ht="47.25">
      <c r="A592" s="322" t="s">
        <v>1177</v>
      </c>
      <c r="B592" s="24" t="s">
        <v>950</v>
      </c>
      <c r="C592" s="7"/>
      <c r="D592" s="7"/>
      <c r="E592" s="24"/>
      <c r="F592" s="3"/>
      <c r="G592" s="62">
        <f>G595</f>
        <v>250.00000000000003</v>
      </c>
      <c r="H592" s="62">
        <f>H595</f>
        <v>250.00000000000003</v>
      </c>
    </row>
    <row r="593" spans="1:8" ht="15.75">
      <c r="A593" s="25" t="s">
        <v>280</v>
      </c>
      <c r="B593" s="20" t="s">
        <v>950</v>
      </c>
      <c r="C593" s="41" t="s">
        <v>281</v>
      </c>
      <c r="D593" s="41"/>
      <c r="E593" s="41"/>
      <c r="F593" s="2"/>
      <c r="G593" s="10">
        <f>G594</f>
        <v>250.00000000000003</v>
      </c>
      <c r="H593" s="10">
        <f>H594</f>
        <v>250.00000000000003</v>
      </c>
    </row>
    <row r="594" spans="1:8" ht="15.75">
      <c r="A594" s="25" t="s">
        <v>282</v>
      </c>
      <c r="B594" s="20" t="s">
        <v>950</v>
      </c>
      <c r="C594" s="41" t="s">
        <v>281</v>
      </c>
      <c r="D594" s="41" t="s">
        <v>232</v>
      </c>
      <c r="E594" s="41"/>
      <c r="F594" s="2"/>
      <c r="G594" s="10">
        <f>G595</f>
        <v>250.00000000000003</v>
      </c>
      <c r="H594" s="10">
        <f>H595</f>
        <v>250.00000000000003</v>
      </c>
    </row>
    <row r="595" spans="1:8" ht="36.75" customHeight="1">
      <c r="A595" s="32" t="s">
        <v>864</v>
      </c>
      <c r="B595" s="20" t="s">
        <v>951</v>
      </c>
      <c r="C595" s="41" t="s">
        <v>281</v>
      </c>
      <c r="D595" s="41" t="s">
        <v>232</v>
      </c>
      <c r="E595" s="20"/>
      <c r="F595" s="2"/>
      <c r="G595" s="10">
        <f>G596+G599</f>
        <v>250.00000000000003</v>
      </c>
      <c r="H595" s="10">
        <f>H596+H599</f>
        <v>250.00000000000003</v>
      </c>
    </row>
    <row r="596" spans="1:8" ht="94.5">
      <c r="A596" s="25" t="s">
        <v>144</v>
      </c>
      <c r="B596" s="20" t="s">
        <v>951</v>
      </c>
      <c r="C596" s="41" t="s">
        <v>281</v>
      </c>
      <c r="D596" s="41" t="s">
        <v>232</v>
      </c>
      <c r="E596" s="20" t="s">
        <v>145</v>
      </c>
      <c r="F596" s="2"/>
      <c r="G596" s="10">
        <f>G597</f>
        <v>250.00000000000003</v>
      </c>
      <c r="H596" s="10">
        <f>H597</f>
        <v>250.00000000000003</v>
      </c>
    </row>
    <row r="597" spans="1:8" ht="31.5">
      <c r="A597" s="47" t="s">
        <v>359</v>
      </c>
      <c r="B597" s="20" t="s">
        <v>951</v>
      </c>
      <c r="C597" s="41" t="s">
        <v>281</v>
      </c>
      <c r="D597" s="41" t="s">
        <v>232</v>
      </c>
      <c r="E597" s="20" t="s">
        <v>226</v>
      </c>
      <c r="F597" s="2"/>
      <c r="G597" s="10">
        <f>'пр.6.1.ведом.21-22'!G280</f>
        <v>250.00000000000003</v>
      </c>
      <c r="H597" s="10">
        <f>'пр.6.1.ведом.21-22'!H280</f>
        <v>250.00000000000003</v>
      </c>
    </row>
    <row r="598" spans="1:8" ht="47.25">
      <c r="A598" s="25" t="s">
        <v>1286</v>
      </c>
      <c r="B598" s="20" t="s">
        <v>951</v>
      </c>
      <c r="C598" s="41" t="s">
        <v>281</v>
      </c>
      <c r="D598" s="41" t="s">
        <v>232</v>
      </c>
      <c r="E598" s="20" t="s">
        <v>226</v>
      </c>
      <c r="F598" s="2">
        <v>903</v>
      </c>
      <c r="G598" s="10">
        <f>G597</f>
        <v>250.00000000000003</v>
      </c>
      <c r="H598" s="10">
        <f>H597</f>
        <v>250.00000000000003</v>
      </c>
    </row>
    <row r="599" spans="1:8" ht="31.5" hidden="1">
      <c r="A599" s="25" t="s">
        <v>148</v>
      </c>
      <c r="B599" s="20" t="s">
        <v>951</v>
      </c>
      <c r="C599" s="41" t="s">
        <v>281</v>
      </c>
      <c r="D599" s="41" t="s">
        <v>232</v>
      </c>
      <c r="E599" s="20" t="s">
        <v>149</v>
      </c>
      <c r="F599" s="2"/>
      <c r="G599" s="10">
        <f>G600</f>
        <v>0</v>
      </c>
      <c r="H599" s="10">
        <f>H600</f>
        <v>0</v>
      </c>
    </row>
    <row r="600" spans="1:8" ht="47.25" hidden="1">
      <c r="A600" s="25" t="s">
        <v>150</v>
      </c>
      <c r="B600" s="20" t="s">
        <v>951</v>
      </c>
      <c r="C600" s="41" t="s">
        <v>281</v>
      </c>
      <c r="D600" s="41" t="s">
        <v>232</v>
      </c>
      <c r="E600" s="20" t="s">
        <v>151</v>
      </c>
      <c r="F600" s="2"/>
      <c r="G600" s="10">
        <f>'пр.6.1.ведом.21-22'!G282</f>
        <v>0</v>
      </c>
      <c r="H600" s="10">
        <f>'пр.6.1.ведом.21-22'!H282</f>
        <v>0</v>
      </c>
    </row>
    <row r="601" spans="1:8" ht="47.25" hidden="1">
      <c r="A601" s="25" t="s">
        <v>1286</v>
      </c>
      <c r="B601" s="20" t="s">
        <v>951</v>
      </c>
      <c r="C601" s="41" t="s">
        <v>281</v>
      </c>
      <c r="D601" s="41" t="s">
        <v>232</v>
      </c>
      <c r="E601" s="20" t="s">
        <v>151</v>
      </c>
      <c r="F601" s="2">
        <v>903</v>
      </c>
      <c r="G601" s="10">
        <f>G600</f>
        <v>0</v>
      </c>
      <c r="H601" s="10">
        <f>H600</f>
        <v>0</v>
      </c>
    </row>
    <row r="602" spans="1:8" ht="47.25">
      <c r="A602" s="23" t="s">
        <v>1084</v>
      </c>
      <c r="B602" s="24" t="s">
        <v>956</v>
      </c>
      <c r="C602" s="7"/>
      <c r="D602" s="7"/>
      <c r="E602" s="24"/>
      <c r="F602" s="3"/>
      <c r="G602" s="62">
        <f>G605</f>
        <v>340</v>
      </c>
      <c r="H602" s="62">
        <f>H605</f>
        <v>340</v>
      </c>
    </row>
    <row r="603" spans="1:8" ht="15.75">
      <c r="A603" s="25" t="s">
        <v>280</v>
      </c>
      <c r="B603" s="20" t="s">
        <v>956</v>
      </c>
      <c r="C603" s="41" t="s">
        <v>281</v>
      </c>
      <c r="D603" s="41"/>
      <c r="E603" s="41"/>
      <c r="F603" s="2"/>
      <c r="G603" s="10">
        <f aca="true" t="shared" si="86" ref="G603:H606">G604</f>
        <v>340</v>
      </c>
      <c r="H603" s="10">
        <f t="shared" si="86"/>
        <v>340</v>
      </c>
    </row>
    <row r="604" spans="1:8" ht="15.75">
      <c r="A604" s="25" t="s">
        <v>282</v>
      </c>
      <c r="B604" s="20" t="s">
        <v>956</v>
      </c>
      <c r="C604" s="41" t="s">
        <v>281</v>
      </c>
      <c r="D604" s="41" t="s">
        <v>232</v>
      </c>
      <c r="E604" s="41"/>
      <c r="F604" s="2"/>
      <c r="G604" s="10">
        <f t="shared" si="86"/>
        <v>340</v>
      </c>
      <c r="H604" s="10">
        <f t="shared" si="86"/>
        <v>340</v>
      </c>
    </row>
    <row r="605" spans="1:8" ht="47.25">
      <c r="A605" s="25" t="s">
        <v>889</v>
      </c>
      <c r="B605" s="20" t="s">
        <v>1280</v>
      </c>
      <c r="C605" s="41" t="s">
        <v>281</v>
      </c>
      <c r="D605" s="41" t="s">
        <v>232</v>
      </c>
      <c r="E605" s="20"/>
      <c r="F605" s="2"/>
      <c r="G605" s="10">
        <f t="shared" si="86"/>
        <v>340</v>
      </c>
      <c r="H605" s="10">
        <f t="shared" si="86"/>
        <v>340</v>
      </c>
    </row>
    <row r="606" spans="1:8" ht="94.5">
      <c r="A606" s="25" t="s">
        <v>144</v>
      </c>
      <c r="B606" s="20" t="s">
        <v>1280</v>
      </c>
      <c r="C606" s="41" t="s">
        <v>281</v>
      </c>
      <c r="D606" s="41" t="s">
        <v>232</v>
      </c>
      <c r="E606" s="20" t="s">
        <v>145</v>
      </c>
      <c r="F606" s="2"/>
      <c r="G606" s="10">
        <f t="shared" si="86"/>
        <v>340</v>
      </c>
      <c r="H606" s="10">
        <f t="shared" si="86"/>
        <v>340</v>
      </c>
    </row>
    <row r="607" spans="1:8" ht="31.5">
      <c r="A607" s="25" t="s">
        <v>146</v>
      </c>
      <c r="B607" s="20" t="s">
        <v>1280</v>
      </c>
      <c r="C607" s="41" t="s">
        <v>281</v>
      </c>
      <c r="D607" s="41" t="s">
        <v>232</v>
      </c>
      <c r="E607" s="20" t="s">
        <v>226</v>
      </c>
      <c r="F607" s="2"/>
      <c r="G607" s="10">
        <f>'пр.6.1.ведом.21-22'!G286</f>
        <v>340</v>
      </c>
      <c r="H607" s="10">
        <f>'пр.6.1.ведом.21-22'!H286</f>
        <v>340</v>
      </c>
    </row>
    <row r="608" spans="1:8" ht="47.25">
      <c r="A608" s="25" t="s">
        <v>1286</v>
      </c>
      <c r="B608" s="20" t="s">
        <v>1280</v>
      </c>
      <c r="C608" s="41" t="s">
        <v>281</v>
      </c>
      <c r="D608" s="41" t="s">
        <v>232</v>
      </c>
      <c r="E608" s="20" t="s">
        <v>226</v>
      </c>
      <c r="F608" s="2">
        <v>903</v>
      </c>
      <c r="G608" s="10">
        <f>G607</f>
        <v>340</v>
      </c>
      <c r="H608" s="10">
        <f>H607</f>
        <v>340</v>
      </c>
    </row>
    <row r="609" spans="1:8" ht="47.25">
      <c r="A609" s="23" t="s">
        <v>976</v>
      </c>
      <c r="B609" s="24" t="s">
        <v>1281</v>
      </c>
      <c r="C609" s="7"/>
      <c r="D609" s="7"/>
      <c r="E609" s="24"/>
      <c r="F609" s="3"/>
      <c r="G609" s="62">
        <f>G612+G616+G620</f>
        <v>947.4000000000001</v>
      </c>
      <c r="H609" s="62">
        <f>H612+H616+H620</f>
        <v>947.4000000000001</v>
      </c>
    </row>
    <row r="610" spans="1:8" ht="15.75">
      <c r="A610" s="25" t="s">
        <v>280</v>
      </c>
      <c r="B610" s="20" t="s">
        <v>1281</v>
      </c>
      <c r="C610" s="41" t="s">
        <v>281</v>
      </c>
      <c r="D610" s="41"/>
      <c r="E610" s="41"/>
      <c r="F610" s="2"/>
      <c r="G610" s="10">
        <f>G611</f>
        <v>947.4000000000001</v>
      </c>
      <c r="H610" s="10">
        <f>H611</f>
        <v>947.4000000000001</v>
      </c>
    </row>
    <row r="611" spans="1:8" ht="15.75">
      <c r="A611" s="25" t="s">
        <v>282</v>
      </c>
      <c r="B611" s="20" t="s">
        <v>1281</v>
      </c>
      <c r="C611" s="41" t="s">
        <v>281</v>
      </c>
      <c r="D611" s="41" t="s">
        <v>232</v>
      </c>
      <c r="E611" s="41"/>
      <c r="F611" s="2"/>
      <c r="G611" s="10">
        <f>G612+G616+G620</f>
        <v>947.4000000000001</v>
      </c>
      <c r="H611" s="10">
        <f>H612+H616+H620</f>
        <v>947.4000000000001</v>
      </c>
    </row>
    <row r="612" spans="1:8" ht="78.75">
      <c r="A612" s="32" t="s">
        <v>306</v>
      </c>
      <c r="B612" s="20" t="s">
        <v>1282</v>
      </c>
      <c r="C612" s="41" t="s">
        <v>281</v>
      </c>
      <c r="D612" s="41" t="s">
        <v>232</v>
      </c>
      <c r="E612" s="20"/>
      <c r="F612" s="2"/>
      <c r="G612" s="10">
        <f>G613</f>
        <v>65.5</v>
      </c>
      <c r="H612" s="10">
        <f>H613</f>
        <v>65.5</v>
      </c>
    </row>
    <row r="613" spans="1:8" ht="94.5">
      <c r="A613" s="25" t="s">
        <v>144</v>
      </c>
      <c r="B613" s="20" t="s">
        <v>1282</v>
      </c>
      <c r="C613" s="41" t="s">
        <v>281</v>
      </c>
      <c r="D613" s="41" t="s">
        <v>232</v>
      </c>
      <c r="E613" s="20" t="s">
        <v>145</v>
      </c>
      <c r="F613" s="2"/>
      <c r="G613" s="10">
        <f>G614</f>
        <v>65.5</v>
      </c>
      <c r="H613" s="10">
        <f>H614</f>
        <v>65.5</v>
      </c>
    </row>
    <row r="614" spans="1:8" ht="31.5">
      <c r="A614" s="47" t="s">
        <v>359</v>
      </c>
      <c r="B614" s="20" t="s">
        <v>1282</v>
      </c>
      <c r="C614" s="41" t="s">
        <v>281</v>
      </c>
      <c r="D614" s="41" t="s">
        <v>232</v>
      </c>
      <c r="E614" s="20" t="s">
        <v>226</v>
      </c>
      <c r="F614" s="2"/>
      <c r="G614" s="10">
        <f>'пр.6.1.ведом.21-22'!G290</f>
        <v>65.5</v>
      </c>
      <c r="H614" s="10">
        <f>'пр.6.1.ведом.21-22'!H290</f>
        <v>65.5</v>
      </c>
    </row>
    <row r="615" spans="1:8" ht="47.25">
      <c r="A615" s="25" t="s">
        <v>1286</v>
      </c>
      <c r="B615" s="20" t="s">
        <v>1282</v>
      </c>
      <c r="C615" s="41" t="s">
        <v>281</v>
      </c>
      <c r="D615" s="41" t="s">
        <v>232</v>
      </c>
      <c r="E615" s="20" t="s">
        <v>226</v>
      </c>
      <c r="F615" s="2">
        <v>903</v>
      </c>
      <c r="G615" s="10">
        <f>G614</f>
        <v>65.5</v>
      </c>
      <c r="H615" s="10">
        <f>H614</f>
        <v>65.5</v>
      </c>
    </row>
    <row r="616" spans="1:8" ht="94.5">
      <c r="A616" s="32" t="s">
        <v>308</v>
      </c>
      <c r="B616" s="20" t="s">
        <v>1283</v>
      </c>
      <c r="C616" s="41" t="s">
        <v>281</v>
      </c>
      <c r="D616" s="41" t="s">
        <v>232</v>
      </c>
      <c r="E616" s="20"/>
      <c r="F616" s="2"/>
      <c r="G616" s="10">
        <f>G617</f>
        <v>321.50000000000006</v>
      </c>
      <c r="H616" s="10">
        <f>H617</f>
        <v>321.50000000000006</v>
      </c>
    </row>
    <row r="617" spans="1:8" ht="94.5">
      <c r="A617" s="25" t="s">
        <v>144</v>
      </c>
      <c r="B617" s="20" t="s">
        <v>1283</v>
      </c>
      <c r="C617" s="41" t="s">
        <v>281</v>
      </c>
      <c r="D617" s="41" t="s">
        <v>232</v>
      </c>
      <c r="E617" s="20" t="s">
        <v>145</v>
      </c>
      <c r="F617" s="2"/>
      <c r="G617" s="10">
        <f>G618</f>
        <v>321.50000000000006</v>
      </c>
      <c r="H617" s="10">
        <f>H618</f>
        <v>321.50000000000006</v>
      </c>
    </row>
    <row r="618" spans="1:8" ht="31.5">
      <c r="A618" s="47" t="s">
        <v>359</v>
      </c>
      <c r="B618" s="20" t="s">
        <v>1283</v>
      </c>
      <c r="C618" s="41" t="s">
        <v>281</v>
      </c>
      <c r="D618" s="41" t="s">
        <v>232</v>
      </c>
      <c r="E618" s="20" t="s">
        <v>226</v>
      </c>
      <c r="F618" s="2"/>
      <c r="G618" s="10">
        <f>'пр.6.1.ведом.21-22'!G293</f>
        <v>321.50000000000006</v>
      </c>
      <c r="H618" s="10">
        <f>'пр.6.1.ведом.21-22'!H293</f>
        <v>321.50000000000006</v>
      </c>
    </row>
    <row r="619" spans="1:8" ht="47.25">
      <c r="A619" s="25" t="s">
        <v>1286</v>
      </c>
      <c r="B619" s="20" t="s">
        <v>1283</v>
      </c>
      <c r="C619" s="41" t="s">
        <v>281</v>
      </c>
      <c r="D619" s="41" t="s">
        <v>232</v>
      </c>
      <c r="E619" s="20" t="s">
        <v>226</v>
      </c>
      <c r="F619" s="2">
        <v>903</v>
      </c>
      <c r="G619" s="10">
        <f>G618</f>
        <v>321.50000000000006</v>
      </c>
      <c r="H619" s="10">
        <f>H618</f>
        <v>321.50000000000006</v>
      </c>
    </row>
    <row r="620" spans="1:8" ht="110.25">
      <c r="A620" s="32" t="s">
        <v>310</v>
      </c>
      <c r="B620" s="20" t="s">
        <v>1284</v>
      </c>
      <c r="C620" s="41" t="s">
        <v>281</v>
      </c>
      <c r="D620" s="41" t="s">
        <v>232</v>
      </c>
      <c r="E620" s="20"/>
      <c r="F620" s="2"/>
      <c r="G620" s="10">
        <f>G621</f>
        <v>560.4</v>
      </c>
      <c r="H620" s="10">
        <f>H621</f>
        <v>560.4</v>
      </c>
    </row>
    <row r="621" spans="1:8" ht="94.5">
      <c r="A621" s="25" t="s">
        <v>144</v>
      </c>
      <c r="B621" s="20" t="s">
        <v>1284</v>
      </c>
      <c r="C621" s="41" t="s">
        <v>281</v>
      </c>
      <c r="D621" s="41" t="s">
        <v>232</v>
      </c>
      <c r="E621" s="20" t="s">
        <v>145</v>
      </c>
      <c r="F621" s="2"/>
      <c r="G621" s="10">
        <f>G622</f>
        <v>560.4</v>
      </c>
      <c r="H621" s="10">
        <f>H622</f>
        <v>560.4</v>
      </c>
    </row>
    <row r="622" spans="1:8" ht="31.5">
      <c r="A622" s="47" t="s">
        <v>359</v>
      </c>
      <c r="B622" s="20" t="s">
        <v>1284</v>
      </c>
      <c r="C622" s="41" t="s">
        <v>281</v>
      </c>
      <c r="D622" s="41" t="s">
        <v>232</v>
      </c>
      <c r="E622" s="20" t="s">
        <v>226</v>
      </c>
      <c r="F622" s="2"/>
      <c r="G622" s="10">
        <f>'пр.6.1.ведом.21-22'!G296</f>
        <v>560.4</v>
      </c>
      <c r="H622" s="10">
        <f>'пр.6.1.ведом.21-22'!H296</f>
        <v>560.4</v>
      </c>
    </row>
    <row r="623" spans="1:8" ht="47.25">
      <c r="A623" s="25" t="s">
        <v>1286</v>
      </c>
      <c r="B623" s="20" t="s">
        <v>1284</v>
      </c>
      <c r="C623" s="41" t="s">
        <v>281</v>
      </c>
      <c r="D623" s="41" t="s">
        <v>232</v>
      </c>
      <c r="E623" s="20" t="s">
        <v>226</v>
      </c>
      <c r="F623" s="2">
        <v>903</v>
      </c>
      <c r="G623" s="10">
        <f>G622</f>
        <v>560.4</v>
      </c>
      <c r="H623" s="10">
        <f>H622</f>
        <v>560.4</v>
      </c>
    </row>
    <row r="624" spans="1:8" ht="78.75" hidden="1">
      <c r="A624" s="42" t="s">
        <v>823</v>
      </c>
      <c r="B624" s="7" t="s">
        <v>341</v>
      </c>
      <c r="C624" s="76"/>
      <c r="D624" s="76"/>
      <c r="E624" s="76"/>
      <c r="F624" s="76"/>
      <c r="G624" s="62">
        <f>G625</f>
        <v>0</v>
      </c>
      <c r="H624" s="62">
        <f>H625</f>
        <v>0</v>
      </c>
    </row>
    <row r="625" spans="1:8" ht="63" hidden="1">
      <c r="A625" s="35" t="s">
        <v>1202</v>
      </c>
      <c r="B625" s="7" t="s">
        <v>1033</v>
      </c>
      <c r="C625" s="7"/>
      <c r="D625" s="7"/>
      <c r="E625" s="76"/>
      <c r="F625" s="76"/>
      <c r="G625" s="62">
        <f>G626+G632+G643+G649</f>
        <v>0</v>
      </c>
      <c r="H625" s="62">
        <f>H626+H632+H643+H649</f>
        <v>0</v>
      </c>
    </row>
    <row r="626" spans="1:8" ht="15.75" hidden="1">
      <c r="A626" s="32" t="s">
        <v>407</v>
      </c>
      <c r="B626" s="41" t="s">
        <v>1033</v>
      </c>
      <c r="C626" s="41" t="s">
        <v>251</v>
      </c>
      <c r="D626" s="41"/>
      <c r="E626" s="76"/>
      <c r="F626" s="76"/>
      <c r="G626" s="10">
        <f aca="true" t="shared" si="87" ref="G626:H629">G627</f>
        <v>0</v>
      </c>
      <c r="H626" s="10">
        <f t="shared" si="87"/>
        <v>0</v>
      </c>
    </row>
    <row r="627" spans="1:8" ht="31.5" hidden="1">
      <c r="A627" s="32" t="s">
        <v>586</v>
      </c>
      <c r="B627" s="41" t="s">
        <v>1033</v>
      </c>
      <c r="C627" s="41" t="s">
        <v>251</v>
      </c>
      <c r="D627" s="41" t="s">
        <v>251</v>
      </c>
      <c r="E627" s="76"/>
      <c r="F627" s="76"/>
      <c r="G627" s="10">
        <f t="shared" si="87"/>
        <v>0</v>
      </c>
      <c r="H627" s="10">
        <f t="shared" si="87"/>
        <v>0</v>
      </c>
    </row>
    <row r="628" spans="1:8" ht="47.25" hidden="1">
      <c r="A628" s="32" t="s">
        <v>1290</v>
      </c>
      <c r="B628" s="20" t="s">
        <v>1204</v>
      </c>
      <c r="C628" s="41" t="s">
        <v>251</v>
      </c>
      <c r="D628" s="41" t="s">
        <v>251</v>
      </c>
      <c r="E628" s="76"/>
      <c r="F628" s="76"/>
      <c r="G628" s="10">
        <f t="shared" si="87"/>
        <v>0</v>
      </c>
      <c r="H628" s="10">
        <f t="shared" si="87"/>
        <v>0</v>
      </c>
    </row>
    <row r="629" spans="1:8" ht="31.5" hidden="1">
      <c r="A629" s="25" t="s">
        <v>148</v>
      </c>
      <c r="B629" s="20" t="s">
        <v>1204</v>
      </c>
      <c r="C629" s="41" t="s">
        <v>251</v>
      </c>
      <c r="D629" s="41" t="s">
        <v>251</v>
      </c>
      <c r="E629" s="2">
        <v>200</v>
      </c>
      <c r="F629" s="76"/>
      <c r="G629" s="10">
        <f t="shared" si="87"/>
        <v>0</v>
      </c>
      <c r="H629" s="10">
        <f t="shared" si="87"/>
        <v>0</v>
      </c>
    </row>
    <row r="630" spans="1:8" ht="47.25" hidden="1">
      <c r="A630" s="25" t="s">
        <v>150</v>
      </c>
      <c r="B630" s="20" t="s">
        <v>1204</v>
      </c>
      <c r="C630" s="41" t="s">
        <v>251</v>
      </c>
      <c r="D630" s="41" t="s">
        <v>251</v>
      </c>
      <c r="E630" s="2">
        <v>240</v>
      </c>
      <c r="F630" s="76"/>
      <c r="G630" s="10">
        <f>'пр.6.1.ведом.21-22'!G980</f>
        <v>0</v>
      </c>
      <c r="H630" s="10">
        <f>'пр.6.1.ведом.21-22'!H980</f>
        <v>0</v>
      </c>
    </row>
    <row r="631" spans="1:8" ht="63" hidden="1">
      <c r="A631" s="32" t="s">
        <v>1332</v>
      </c>
      <c r="B631" s="20" t="s">
        <v>1204</v>
      </c>
      <c r="C631" s="41" t="s">
        <v>251</v>
      </c>
      <c r="D631" s="41" t="s">
        <v>251</v>
      </c>
      <c r="E631" s="2">
        <v>240</v>
      </c>
      <c r="F631" s="2">
        <v>908</v>
      </c>
      <c r="G631" s="10">
        <f>G630</f>
        <v>0</v>
      </c>
      <c r="H631" s="10">
        <f>H630</f>
        <v>0</v>
      </c>
    </row>
    <row r="632" spans="1:8" ht="15.75" hidden="1">
      <c r="A632" s="25" t="s">
        <v>280</v>
      </c>
      <c r="B632" s="41" t="s">
        <v>1033</v>
      </c>
      <c r="C632" s="41" t="s">
        <v>281</v>
      </c>
      <c r="D632" s="77"/>
      <c r="E632" s="77"/>
      <c r="F632" s="77"/>
      <c r="G632" s="10">
        <f>G633+G638</f>
        <v>0</v>
      </c>
      <c r="H632" s="10">
        <f>H633+H638</f>
        <v>0</v>
      </c>
    </row>
    <row r="633" spans="1:8" ht="15.75" hidden="1">
      <c r="A633" s="25" t="s">
        <v>421</v>
      </c>
      <c r="B633" s="41" t="s">
        <v>1033</v>
      </c>
      <c r="C633" s="41" t="s">
        <v>281</v>
      </c>
      <c r="D633" s="41" t="s">
        <v>135</v>
      </c>
      <c r="E633" s="77"/>
      <c r="F633" s="77"/>
      <c r="G633" s="10">
        <f aca="true" t="shared" si="88" ref="G633:H635">G634</f>
        <v>0</v>
      </c>
      <c r="H633" s="10">
        <f t="shared" si="88"/>
        <v>0</v>
      </c>
    </row>
    <row r="634" spans="1:8" ht="47.25" hidden="1">
      <c r="A634" s="32" t="s">
        <v>1291</v>
      </c>
      <c r="B634" s="20" t="s">
        <v>1034</v>
      </c>
      <c r="C634" s="41" t="s">
        <v>281</v>
      </c>
      <c r="D634" s="41" t="s">
        <v>135</v>
      </c>
      <c r="E634" s="76"/>
      <c r="F634" s="76"/>
      <c r="G634" s="10">
        <f t="shared" si="88"/>
        <v>0</v>
      </c>
      <c r="H634" s="10">
        <f t="shared" si="88"/>
        <v>0</v>
      </c>
    </row>
    <row r="635" spans="1:8" ht="47.25" hidden="1">
      <c r="A635" s="32" t="s">
        <v>289</v>
      </c>
      <c r="B635" s="20" t="s">
        <v>1034</v>
      </c>
      <c r="C635" s="41" t="s">
        <v>281</v>
      </c>
      <c r="D635" s="41" t="s">
        <v>135</v>
      </c>
      <c r="E635" s="41" t="s">
        <v>290</v>
      </c>
      <c r="F635" s="76"/>
      <c r="G635" s="10">
        <f t="shared" si="88"/>
        <v>0</v>
      </c>
      <c r="H635" s="10">
        <f t="shared" si="88"/>
        <v>0</v>
      </c>
    </row>
    <row r="636" spans="1:8" ht="15.75" hidden="1">
      <c r="A636" s="32" t="s">
        <v>291</v>
      </c>
      <c r="B636" s="20" t="s">
        <v>1034</v>
      </c>
      <c r="C636" s="41" t="s">
        <v>281</v>
      </c>
      <c r="D636" s="41" t="s">
        <v>135</v>
      </c>
      <c r="E636" s="41" t="s">
        <v>292</v>
      </c>
      <c r="F636" s="76"/>
      <c r="G636" s="10">
        <f>'пр.6.1.ведом.21-22'!G553</f>
        <v>0</v>
      </c>
      <c r="H636" s="10">
        <f>'пр.6.1.ведом.21-22'!H553</f>
        <v>0</v>
      </c>
    </row>
    <row r="637" spans="1:8" ht="31.5" hidden="1">
      <c r="A637" s="32" t="s">
        <v>420</v>
      </c>
      <c r="B637" s="20" t="s">
        <v>1034</v>
      </c>
      <c r="C637" s="41" t="s">
        <v>281</v>
      </c>
      <c r="D637" s="41" t="s">
        <v>135</v>
      </c>
      <c r="E637" s="41" t="s">
        <v>292</v>
      </c>
      <c r="F637" s="2">
        <v>906</v>
      </c>
      <c r="G637" s="10">
        <f>G636</f>
        <v>0</v>
      </c>
      <c r="H637" s="10">
        <f>H636</f>
        <v>0</v>
      </c>
    </row>
    <row r="638" spans="1:8" ht="15.75" hidden="1">
      <c r="A638" s="30" t="s">
        <v>442</v>
      </c>
      <c r="B638" s="41" t="s">
        <v>1033</v>
      </c>
      <c r="C638" s="41" t="s">
        <v>281</v>
      </c>
      <c r="D638" s="41" t="s">
        <v>230</v>
      </c>
      <c r="E638" s="41"/>
      <c r="F638" s="77"/>
      <c r="G638" s="10">
        <f aca="true" t="shared" si="89" ref="G638:H640">G639</f>
        <v>0</v>
      </c>
      <c r="H638" s="10">
        <f t="shared" si="89"/>
        <v>0</v>
      </c>
    </row>
    <row r="639" spans="1:8" ht="47.25" hidden="1">
      <c r="A639" s="32" t="s">
        <v>1291</v>
      </c>
      <c r="B639" s="20" t="s">
        <v>1034</v>
      </c>
      <c r="C639" s="41" t="s">
        <v>281</v>
      </c>
      <c r="D639" s="41" t="s">
        <v>230</v>
      </c>
      <c r="E639" s="41"/>
      <c r="F639" s="76"/>
      <c r="G639" s="10">
        <f t="shared" si="89"/>
        <v>0</v>
      </c>
      <c r="H639" s="10">
        <f t="shared" si="89"/>
        <v>0</v>
      </c>
    </row>
    <row r="640" spans="1:8" ht="47.25" hidden="1">
      <c r="A640" s="32" t="s">
        <v>289</v>
      </c>
      <c r="B640" s="20" t="s">
        <v>1034</v>
      </c>
      <c r="C640" s="41" t="s">
        <v>281</v>
      </c>
      <c r="D640" s="41" t="s">
        <v>230</v>
      </c>
      <c r="E640" s="41" t="s">
        <v>290</v>
      </c>
      <c r="F640" s="76"/>
      <c r="G640" s="10">
        <f t="shared" si="89"/>
        <v>0</v>
      </c>
      <c r="H640" s="10">
        <f t="shared" si="89"/>
        <v>0</v>
      </c>
    </row>
    <row r="641" spans="1:8" ht="15.75" hidden="1">
      <c r="A641" s="32" t="s">
        <v>291</v>
      </c>
      <c r="B641" s="20" t="s">
        <v>1034</v>
      </c>
      <c r="C641" s="41" t="s">
        <v>281</v>
      </c>
      <c r="D641" s="41" t="s">
        <v>230</v>
      </c>
      <c r="E641" s="41" t="s">
        <v>292</v>
      </c>
      <c r="F641" s="76"/>
      <c r="G641" s="10">
        <f>'пр.6.1.ведом.21-22'!G631</f>
        <v>0</v>
      </c>
      <c r="H641" s="10">
        <f>'пр.6.1.ведом.21-22'!H631</f>
        <v>0</v>
      </c>
    </row>
    <row r="642" spans="1:8" ht="31.5" hidden="1">
      <c r="A642" s="32" t="s">
        <v>420</v>
      </c>
      <c r="B642" s="20" t="s">
        <v>1034</v>
      </c>
      <c r="C642" s="41" t="s">
        <v>281</v>
      </c>
      <c r="D642" s="41" t="s">
        <v>230</v>
      </c>
      <c r="E642" s="41" t="s">
        <v>292</v>
      </c>
      <c r="F642" s="2">
        <v>906</v>
      </c>
      <c r="G642" s="10">
        <f>G641</f>
        <v>0</v>
      </c>
      <c r="H642" s="10">
        <f>H641</f>
        <v>0</v>
      </c>
    </row>
    <row r="643" spans="1:8" ht="15.75" hidden="1">
      <c r="A643" s="32" t="s">
        <v>315</v>
      </c>
      <c r="B643" s="20" t="s">
        <v>1033</v>
      </c>
      <c r="C643" s="41" t="s">
        <v>316</v>
      </c>
      <c r="D643" s="41"/>
      <c r="E643" s="41"/>
      <c r="F643" s="2"/>
      <c r="G643" s="10">
        <f aca="true" t="shared" si="90" ref="G643:H646">G644</f>
        <v>0</v>
      </c>
      <c r="H643" s="10">
        <f t="shared" si="90"/>
        <v>0</v>
      </c>
    </row>
    <row r="644" spans="1:8" ht="15.75" hidden="1">
      <c r="A644" s="32" t="s">
        <v>317</v>
      </c>
      <c r="B644" s="20" t="s">
        <v>1033</v>
      </c>
      <c r="C644" s="41" t="s">
        <v>316</v>
      </c>
      <c r="D644" s="41" t="s">
        <v>135</v>
      </c>
      <c r="E644" s="41"/>
      <c r="F644" s="2"/>
      <c r="G644" s="10">
        <f t="shared" si="90"/>
        <v>0</v>
      </c>
      <c r="H644" s="10">
        <f t="shared" si="90"/>
        <v>0</v>
      </c>
    </row>
    <row r="645" spans="1:8" ht="47.25" hidden="1">
      <c r="A645" s="32" t="s">
        <v>1290</v>
      </c>
      <c r="B645" s="20" t="s">
        <v>1204</v>
      </c>
      <c r="C645" s="41" t="s">
        <v>316</v>
      </c>
      <c r="D645" s="41" t="s">
        <v>135</v>
      </c>
      <c r="E645" s="41"/>
      <c r="F645" s="2"/>
      <c r="G645" s="10">
        <f t="shared" si="90"/>
        <v>0</v>
      </c>
      <c r="H645" s="10">
        <f t="shared" si="90"/>
        <v>0</v>
      </c>
    </row>
    <row r="646" spans="1:8" ht="31.5" hidden="1">
      <c r="A646" s="25" t="s">
        <v>148</v>
      </c>
      <c r="B646" s="20" t="s">
        <v>1204</v>
      </c>
      <c r="C646" s="41" t="s">
        <v>316</v>
      </c>
      <c r="D646" s="41" t="s">
        <v>135</v>
      </c>
      <c r="E646" s="41" t="s">
        <v>149</v>
      </c>
      <c r="F646" s="2"/>
      <c r="G646" s="10">
        <f t="shared" si="90"/>
        <v>0</v>
      </c>
      <c r="H646" s="10">
        <f t="shared" si="90"/>
        <v>0</v>
      </c>
    </row>
    <row r="647" spans="1:8" ht="47.25" hidden="1">
      <c r="A647" s="25" t="s">
        <v>150</v>
      </c>
      <c r="B647" s="20" t="s">
        <v>1204</v>
      </c>
      <c r="C647" s="41" t="s">
        <v>316</v>
      </c>
      <c r="D647" s="41" t="s">
        <v>135</v>
      </c>
      <c r="E647" s="41" t="s">
        <v>151</v>
      </c>
      <c r="F647" s="2"/>
      <c r="G647" s="10">
        <f>'пр.6.1.ведом.21-22'!G383</f>
        <v>0</v>
      </c>
      <c r="H647" s="10">
        <f>'пр.6.1.ведом.21-22'!H383</f>
        <v>0</v>
      </c>
    </row>
    <row r="648" spans="1:8" ht="47.25" hidden="1">
      <c r="A648" s="25" t="s">
        <v>278</v>
      </c>
      <c r="B648" s="20" t="s">
        <v>1204</v>
      </c>
      <c r="C648" s="41" t="s">
        <v>316</v>
      </c>
      <c r="D648" s="41" t="s">
        <v>135</v>
      </c>
      <c r="E648" s="41" t="s">
        <v>151</v>
      </c>
      <c r="F648" s="2">
        <v>903</v>
      </c>
      <c r="G648" s="10">
        <f>G647</f>
        <v>0</v>
      </c>
      <c r="H648" s="10">
        <f>H647</f>
        <v>0</v>
      </c>
    </row>
    <row r="649" spans="1:8" ht="15.75" hidden="1">
      <c r="A649" s="77" t="s">
        <v>507</v>
      </c>
      <c r="B649" s="41" t="s">
        <v>1033</v>
      </c>
      <c r="C649" s="41" t="s">
        <v>508</v>
      </c>
      <c r="D649" s="77"/>
      <c r="E649" s="77"/>
      <c r="F649" s="77"/>
      <c r="G649" s="10">
        <f aca="true" t="shared" si="91" ref="G649:H650">G650</f>
        <v>0</v>
      </c>
      <c r="H649" s="10">
        <f t="shared" si="91"/>
        <v>0</v>
      </c>
    </row>
    <row r="650" spans="1:8" ht="15.75" hidden="1">
      <c r="A650" s="77" t="s">
        <v>509</v>
      </c>
      <c r="B650" s="41" t="s">
        <v>1033</v>
      </c>
      <c r="C650" s="41" t="s">
        <v>508</v>
      </c>
      <c r="D650" s="41" t="s">
        <v>135</v>
      </c>
      <c r="E650" s="77"/>
      <c r="F650" s="77"/>
      <c r="G650" s="10">
        <f t="shared" si="91"/>
        <v>0</v>
      </c>
      <c r="H650" s="10">
        <f t="shared" si="91"/>
        <v>0</v>
      </c>
    </row>
    <row r="651" spans="1:8" ht="47.25" hidden="1">
      <c r="A651" s="32" t="s">
        <v>1291</v>
      </c>
      <c r="B651" s="41" t="s">
        <v>1034</v>
      </c>
      <c r="C651" s="41" t="s">
        <v>508</v>
      </c>
      <c r="D651" s="41" t="s">
        <v>135</v>
      </c>
      <c r="E651" s="77"/>
      <c r="F651" s="77"/>
      <c r="G651" s="10">
        <f>G652</f>
        <v>0</v>
      </c>
      <c r="H651" s="10">
        <f>H652</f>
        <v>0</v>
      </c>
    </row>
    <row r="652" spans="1:8" ht="47.25" hidden="1">
      <c r="A652" s="25" t="s">
        <v>289</v>
      </c>
      <c r="B652" s="41" t="s">
        <v>1034</v>
      </c>
      <c r="C652" s="41" t="s">
        <v>508</v>
      </c>
      <c r="D652" s="41" t="s">
        <v>135</v>
      </c>
      <c r="E652" s="41" t="s">
        <v>290</v>
      </c>
      <c r="F652" s="77"/>
      <c r="G652" s="10">
        <f>G653</f>
        <v>0</v>
      </c>
      <c r="H652" s="10">
        <f>H653</f>
        <v>0</v>
      </c>
    </row>
    <row r="653" spans="1:8" ht="15.75" hidden="1">
      <c r="A653" s="25" t="s">
        <v>291</v>
      </c>
      <c r="B653" s="41" t="s">
        <v>1034</v>
      </c>
      <c r="C653" s="41" t="s">
        <v>508</v>
      </c>
      <c r="D653" s="41" t="s">
        <v>135</v>
      </c>
      <c r="E653" s="41" t="s">
        <v>292</v>
      </c>
      <c r="F653" s="77"/>
      <c r="G653" s="10">
        <v>0</v>
      </c>
      <c r="H653" s="10">
        <v>0</v>
      </c>
    </row>
    <row r="654" spans="1:8" ht="47.25" hidden="1">
      <c r="A654" s="46" t="s">
        <v>497</v>
      </c>
      <c r="B654" s="41" t="s">
        <v>1034</v>
      </c>
      <c r="C654" s="41" t="s">
        <v>508</v>
      </c>
      <c r="D654" s="41" t="s">
        <v>135</v>
      </c>
      <c r="E654" s="41" t="s">
        <v>292</v>
      </c>
      <c r="F654" s="2">
        <v>907</v>
      </c>
      <c r="G654" s="10">
        <f>G653</f>
        <v>0</v>
      </c>
      <c r="H654" s="10">
        <f>H653</f>
        <v>0</v>
      </c>
    </row>
    <row r="655" spans="1:8" ht="63">
      <c r="A655" s="42" t="s">
        <v>559</v>
      </c>
      <c r="B655" s="7" t="s">
        <v>560</v>
      </c>
      <c r="C655" s="2"/>
      <c r="D655" s="2"/>
      <c r="E655" s="2"/>
      <c r="F655" s="2"/>
      <c r="G655" s="62">
        <f aca="true" t="shared" si="92" ref="G655:H655">G656+G678</f>
        <v>3793.9</v>
      </c>
      <c r="H655" s="62">
        <f t="shared" si="92"/>
        <v>3793.9</v>
      </c>
    </row>
    <row r="656" spans="1:8" ht="63">
      <c r="A656" s="42" t="s">
        <v>561</v>
      </c>
      <c r="B656" s="7" t="s">
        <v>562</v>
      </c>
      <c r="C656" s="7"/>
      <c r="D656" s="7"/>
      <c r="E656" s="3"/>
      <c r="F656" s="3"/>
      <c r="G656" s="62">
        <f aca="true" t="shared" si="93" ref="G656:H656">G658</f>
        <v>1740</v>
      </c>
      <c r="H656" s="62">
        <f t="shared" si="93"/>
        <v>1740</v>
      </c>
    </row>
    <row r="657" spans="1:8" ht="47.25">
      <c r="A657" s="23" t="s">
        <v>1130</v>
      </c>
      <c r="B657" s="7" t="s">
        <v>1128</v>
      </c>
      <c r="C657" s="7"/>
      <c r="D657" s="7"/>
      <c r="E657" s="3"/>
      <c r="F657" s="3"/>
      <c r="G657" s="62">
        <f>G658</f>
        <v>1740</v>
      </c>
      <c r="H657" s="62">
        <f>H658</f>
        <v>1740</v>
      </c>
    </row>
    <row r="658" spans="1:8" ht="15.75">
      <c r="A658" s="77" t="s">
        <v>407</v>
      </c>
      <c r="B658" s="41" t="s">
        <v>1128</v>
      </c>
      <c r="C658" s="41" t="s">
        <v>251</v>
      </c>
      <c r="D658" s="41"/>
      <c r="E658" s="2"/>
      <c r="F658" s="2"/>
      <c r="G658" s="10">
        <f aca="true" t="shared" si="94" ref="G658:H658">G659</f>
        <v>1740</v>
      </c>
      <c r="H658" s="10">
        <f t="shared" si="94"/>
        <v>1740</v>
      </c>
    </row>
    <row r="659" spans="1:8" ht="15.75">
      <c r="A659" s="77" t="s">
        <v>558</v>
      </c>
      <c r="B659" s="41" t="s">
        <v>1128</v>
      </c>
      <c r="C659" s="41" t="s">
        <v>251</v>
      </c>
      <c r="D659" s="41" t="s">
        <v>232</v>
      </c>
      <c r="E659" s="2"/>
      <c r="F659" s="2"/>
      <c r="G659" s="10">
        <f aca="true" t="shared" si="95" ref="G659:H659">G660+G664+G674</f>
        <v>1740</v>
      </c>
      <c r="H659" s="10">
        <f t="shared" si="95"/>
        <v>1740</v>
      </c>
    </row>
    <row r="660" spans="1:8" ht="31.5">
      <c r="A660" s="25" t="s">
        <v>563</v>
      </c>
      <c r="B660" s="20" t="s">
        <v>1129</v>
      </c>
      <c r="C660" s="41" t="s">
        <v>251</v>
      </c>
      <c r="D660" s="41" t="s">
        <v>232</v>
      </c>
      <c r="E660" s="2"/>
      <c r="F660" s="2"/>
      <c r="G660" s="10">
        <f aca="true" t="shared" si="96" ref="G660:H661">G661</f>
        <v>90</v>
      </c>
      <c r="H660" s="10">
        <f t="shared" si="96"/>
        <v>90</v>
      </c>
    </row>
    <row r="661" spans="1:8" ht="31.5">
      <c r="A661" s="25" t="s">
        <v>148</v>
      </c>
      <c r="B661" s="20" t="s">
        <v>1129</v>
      </c>
      <c r="C661" s="41" t="s">
        <v>251</v>
      </c>
      <c r="D661" s="41" t="s">
        <v>232</v>
      </c>
      <c r="E661" s="2">
        <v>200</v>
      </c>
      <c r="F661" s="2"/>
      <c r="G661" s="10">
        <f t="shared" si="96"/>
        <v>90</v>
      </c>
      <c r="H661" s="10">
        <f t="shared" si="96"/>
        <v>90</v>
      </c>
    </row>
    <row r="662" spans="1:8" ht="47.25">
      <c r="A662" s="25" t="s">
        <v>150</v>
      </c>
      <c r="B662" s="20" t="s">
        <v>1129</v>
      </c>
      <c r="C662" s="41" t="s">
        <v>251</v>
      </c>
      <c r="D662" s="41" t="s">
        <v>232</v>
      </c>
      <c r="E662" s="2">
        <v>240</v>
      </c>
      <c r="F662" s="2"/>
      <c r="G662" s="10">
        <f>'пр.6.1.ведом.21-22'!G908</f>
        <v>90</v>
      </c>
      <c r="H662" s="10">
        <f>'пр.6.1.ведом.21-22'!H908</f>
        <v>90</v>
      </c>
    </row>
    <row r="663" spans="1:8" ht="47.25">
      <c r="A663" s="46" t="s">
        <v>641</v>
      </c>
      <c r="B663" s="20" t="s">
        <v>1129</v>
      </c>
      <c r="C663" s="41" t="s">
        <v>251</v>
      </c>
      <c r="D663" s="41" t="s">
        <v>232</v>
      </c>
      <c r="E663" s="2">
        <v>240</v>
      </c>
      <c r="F663" s="2">
        <v>908</v>
      </c>
      <c r="G663" s="10">
        <f>G662</f>
        <v>90</v>
      </c>
      <c r="H663" s="10">
        <f>H662</f>
        <v>90</v>
      </c>
    </row>
    <row r="664" spans="1:8" ht="15.75">
      <c r="A664" s="25" t="s">
        <v>565</v>
      </c>
      <c r="B664" s="20" t="s">
        <v>1131</v>
      </c>
      <c r="C664" s="41" t="s">
        <v>251</v>
      </c>
      <c r="D664" s="41" t="s">
        <v>232</v>
      </c>
      <c r="E664" s="2"/>
      <c r="F664" s="2"/>
      <c r="G664" s="10">
        <f>G665+G668+G671</f>
        <v>650</v>
      </c>
      <c r="H664" s="10">
        <f>H665+H668+H671</f>
        <v>650</v>
      </c>
    </row>
    <row r="665" spans="1:8" ht="31.5">
      <c r="A665" s="25" t="s">
        <v>148</v>
      </c>
      <c r="B665" s="20" t="s">
        <v>1131</v>
      </c>
      <c r="C665" s="41" t="s">
        <v>251</v>
      </c>
      <c r="D665" s="41" t="s">
        <v>232</v>
      </c>
      <c r="E665" s="2">
        <v>200</v>
      </c>
      <c r="F665" s="2"/>
      <c r="G665" s="10">
        <f aca="true" t="shared" si="97" ref="G665:H665">G666</f>
        <v>650</v>
      </c>
      <c r="H665" s="10">
        <f t="shared" si="97"/>
        <v>650</v>
      </c>
    </row>
    <row r="666" spans="1:8" ht="47.25">
      <c r="A666" s="25" t="s">
        <v>150</v>
      </c>
      <c r="B666" s="20" t="s">
        <v>1131</v>
      </c>
      <c r="C666" s="41" t="s">
        <v>251</v>
      </c>
      <c r="D666" s="41" t="s">
        <v>232</v>
      </c>
      <c r="E666" s="2">
        <v>240</v>
      </c>
      <c r="F666" s="2"/>
      <c r="G666" s="10">
        <f>'пр.6.1.ведом.21-22'!G911</f>
        <v>650</v>
      </c>
      <c r="H666" s="10">
        <f>'пр.6.1.ведом.21-22'!H911</f>
        <v>650</v>
      </c>
    </row>
    <row r="667" spans="1:8" ht="47.25">
      <c r="A667" s="46" t="s">
        <v>641</v>
      </c>
      <c r="B667" s="20" t="s">
        <v>1131</v>
      </c>
      <c r="C667" s="41" t="s">
        <v>251</v>
      </c>
      <c r="D667" s="41" t="s">
        <v>232</v>
      </c>
      <c r="E667" s="2">
        <v>240</v>
      </c>
      <c r="F667" s="2">
        <v>908</v>
      </c>
      <c r="G667" s="10">
        <f>G666</f>
        <v>650</v>
      </c>
      <c r="H667" s="10">
        <f>H666</f>
        <v>650</v>
      </c>
    </row>
    <row r="668" spans="1:8" ht="15.75" hidden="1">
      <c r="A668" s="25" t="s">
        <v>152</v>
      </c>
      <c r="B668" s="20" t="s">
        <v>1131</v>
      </c>
      <c r="C668" s="41" t="s">
        <v>251</v>
      </c>
      <c r="D668" s="41" t="s">
        <v>232</v>
      </c>
      <c r="E668" s="2">
        <v>800</v>
      </c>
      <c r="F668" s="2"/>
      <c r="G668" s="10">
        <f>G669</f>
        <v>0</v>
      </c>
      <c r="H668" s="10">
        <f>H669</f>
        <v>0</v>
      </c>
    </row>
    <row r="669" spans="1:8" ht="47.25" hidden="1">
      <c r="A669" s="25" t="s">
        <v>886</v>
      </c>
      <c r="B669" s="20" t="s">
        <v>1131</v>
      </c>
      <c r="C669" s="41" t="s">
        <v>251</v>
      </c>
      <c r="D669" s="41" t="s">
        <v>232</v>
      </c>
      <c r="E669" s="2">
        <v>830</v>
      </c>
      <c r="F669" s="2"/>
      <c r="G669" s="10">
        <f>'пр.6.1.ведом.21-22'!G913</f>
        <v>0</v>
      </c>
      <c r="H669" s="10">
        <f>'пр.6.1.ведом.21-22'!H913</f>
        <v>0</v>
      </c>
    </row>
    <row r="670" spans="1:8" ht="47.25" hidden="1">
      <c r="A670" s="46" t="s">
        <v>641</v>
      </c>
      <c r="B670" s="20" t="s">
        <v>1131</v>
      </c>
      <c r="C670" s="41" t="s">
        <v>251</v>
      </c>
      <c r="D670" s="41" t="s">
        <v>232</v>
      </c>
      <c r="E670" s="2">
        <v>830</v>
      </c>
      <c r="F670" s="2">
        <v>908</v>
      </c>
      <c r="G670" s="10">
        <f>G669</f>
        <v>0</v>
      </c>
      <c r="H670" s="10">
        <f>H669</f>
        <v>0</v>
      </c>
    </row>
    <row r="671" spans="1:8" ht="15.75" hidden="1">
      <c r="A671" s="25" t="s">
        <v>152</v>
      </c>
      <c r="B671" s="20" t="s">
        <v>1131</v>
      </c>
      <c r="C671" s="41" t="s">
        <v>251</v>
      </c>
      <c r="D671" s="41" t="s">
        <v>232</v>
      </c>
      <c r="E671" s="2">
        <v>800</v>
      </c>
      <c r="F671" s="2"/>
      <c r="G671" s="10">
        <f>G672</f>
        <v>0</v>
      </c>
      <c r="H671" s="10">
        <f>H672</f>
        <v>0</v>
      </c>
    </row>
    <row r="672" spans="1:8" ht="15.75" hidden="1">
      <c r="A672" s="25" t="s">
        <v>1287</v>
      </c>
      <c r="B672" s="20" t="s">
        <v>1131</v>
      </c>
      <c r="C672" s="41" t="s">
        <v>251</v>
      </c>
      <c r="D672" s="41" t="s">
        <v>232</v>
      </c>
      <c r="E672" s="2">
        <v>850</v>
      </c>
      <c r="F672" s="2"/>
      <c r="G672" s="10">
        <f>'пр.6.1.ведом.21-22'!G914</f>
        <v>0</v>
      </c>
      <c r="H672" s="10">
        <f>'пр.6.1.ведом.21-22'!H914</f>
        <v>0</v>
      </c>
    </row>
    <row r="673" spans="1:8" ht="47.25" hidden="1">
      <c r="A673" s="46" t="s">
        <v>641</v>
      </c>
      <c r="B673" s="20" t="s">
        <v>1131</v>
      </c>
      <c r="C673" s="41" t="s">
        <v>251</v>
      </c>
      <c r="D673" s="41" t="s">
        <v>232</v>
      </c>
      <c r="E673" s="2">
        <v>850</v>
      </c>
      <c r="F673" s="2">
        <v>908</v>
      </c>
      <c r="G673" s="10">
        <f>G672</f>
        <v>0</v>
      </c>
      <c r="H673" s="10">
        <f>H672</f>
        <v>0</v>
      </c>
    </row>
    <row r="674" spans="1:8" ht="15.75">
      <c r="A674" s="25" t="s">
        <v>567</v>
      </c>
      <c r="B674" s="20" t="s">
        <v>1132</v>
      </c>
      <c r="C674" s="41" t="s">
        <v>251</v>
      </c>
      <c r="D674" s="41" t="s">
        <v>232</v>
      </c>
      <c r="E674" s="2"/>
      <c r="F674" s="2"/>
      <c r="G674" s="10">
        <f aca="true" t="shared" si="98" ref="G674:H674">G675</f>
        <v>1000</v>
      </c>
      <c r="H674" s="10">
        <f t="shared" si="98"/>
        <v>1000</v>
      </c>
    </row>
    <row r="675" spans="1:8" ht="31.5">
      <c r="A675" s="25" t="s">
        <v>148</v>
      </c>
      <c r="B675" s="20" t="s">
        <v>1132</v>
      </c>
      <c r="C675" s="41" t="s">
        <v>251</v>
      </c>
      <c r="D675" s="41" t="s">
        <v>232</v>
      </c>
      <c r="E675" s="2">
        <v>200</v>
      </c>
      <c r="F675" s="2"/>
      <c r="G675" s="10">
        <f>G676</f>
        <v>1000</v>
      </c>
      <c r="H675" s="10">
        <f>H676</f>
        <v>1000</v>
      </c>
    </row>
    <row r="676" spans="1:8" ht="47.25">
      <c r="A676" s="25" t="s">
        <v>150</v>
      </c>
      <c r="B676" s="20" t="s">
        <v>1132</v>
      </c>
      <c r="C676" s="41" t="s">
        <v>251</v>
      </c>
      <c r="D676" s="41" t="s">
        <v>232</v>
      </c>
      <c r="E676" s="2">
        <v>240</v>
      </c>
      <c r="F676" s="2"/>
      <c r="G676" s="10">
        <f>'пр.6.1.ведом.21-22'!G917</f>
        <v>1000</v>
      </c>
      <c r="H676" s="10">
        <f>'пр.6.1.ведом.21-22'!H917</f>
        <v>1000</v>
      </c>
    </row>
    <row r="677" spans="1:8" ht="47.25">
      <c r="A677" s="46" t="s">
        <v>641</v>
      </c>
      <c r="B677" s="20" t="s">
        <v>1132</v>
      </c>
      <c r="C677" s="41" t="s">
        <v>251</v>
      </c>
      <c r="D677" s="41" t="s">
        <v>232</v>
      </c>
      <c r="E677" s="2">
        <v>240</v>
      </c>
      <c r="F677" s="2">
        <v>908</v>
      </c>
      <c r="G677" s="10">
        <f>G676</f>
        <v>1000</v>
      </c>
      <c r="H677" s="10">
        <f>H676</f>
        <v>1000</v>
      </c>
    </row>
    <row r="678" spans="1:8" ht="47.25">
      <c r="A678" s="23" t="s">
        <v>569</v>
      </c>
      <c r="B678" s="7" t="s">
        <v>570</v>
      </c>
      <c r="C678" s="7"/>
      <c r="D678" s="7"/>
      <c r="E678" s="3"/>
      <c r="F678" s="3"/>
      <c r="G678" s="62">
        <f>G680+G701</f>
        <v>2053.9</v>
      </c>
      <c r="H678" s="62">
        <f>H680+H701</f>
        <v>2053.9</v>
      </c>
    </row>
    <row r="679" spans="1:8" ht="31.5">
      <c r="A679" s="23" t="s">
        <v>1148</v>
      </c>
      <c r="B679" s="7" t="s">
        <v>1133</v>
      </c>
      <c r="C679" s="7"/>
      <c r="D679" s="7"/>
      <c r="E679" s="3"/>
      <c r="F679" s="3"/>
      <c r="G679" s="62">
        <f>G680</f>
        <v>390</v>
      </c>
      <c r="H679" s="62">
        <f>H680</f>
        <v>390</v>
      </c>
    </row>
    <row r="680" spans="1:8" ht="15.75">
      <c r="A680" s="77" t="s">
        <v>407</v>
      </c>
      <c r="B680" s="41" t="s">
        <v>1133</v>
      </c>
      <c r="C680" s="41" t="s">
        <v>251</v>
      </c>
      <c r="D680" s="41"/>
      <c r="E680" s="2"/>
      <c r="F680" s="2"/>
      <c r="G680" s="10">
        <f aca="true" t="shared" si="99" ref="G680:H680">G681</f>
        <v>390</v>
      </c>
      <c r="H680" s="10">
        <f t="shared" si="99"/>
        <v>390</v>
      </c>
    </row>
    <row r="681" spans="1:8" ht="15.75">
      <c r="A681" s="77" t="s">
        <v>558</v>
      </c>
      <c r="B681" s="41" t="s">
        <v>1133</v>
      </c>
      <c r="C681" s="41" t="s">
        <v>251</v>
      </c>
      <c r="D681" s="41" t="s">
        <v>232</v>
      </c>
      <c r="E681" s="2"/>
      <c r="F681" s="2"/>
      <c r="G681" s="10">
        <f>G697+G682+G686+G693</f>
        <v>390</v>
      </c>
      <c r="H681" s="10">
        <f>H697+H682+H686+H693</f>
        <v>390</v>
      </c>
    </row>
    <row r="682" spans="1:8" ht="15.75">
      <c r="A682" s="25" t="s">
        <v>572</v>
      </c>
      <c r="B682" s="20" t="s">
        <v>1135</v>
      </c>
      <c r="C682" s="41" t="s">
        <v>251</v>
      </c>
      <c r="D682" s="41" t="s">
        <v>232</v>
      </c>
      <c r="E682" s="2"/>
      <c r="F682" s="2"/>
      <c r="G682" s="10">
        <f aca="true" t="shared" si="100" ref="G682:H683">G683</f>
        <v>4</v>
      </c>
      <c r="H682" s="10">
        <f t="shared" si="100"/>
        <v>4</v>
      </c>
    </row>
    <row r="683" spans="1:8" ht="31.5">
      <c r="A683" s="25" t="s">
        <v>148</v>
      </c>
      <c r="B683" s="20" t="s">
        <v>1135</v>
      </c>
      <c r="C683" s="41" t="s">
        <v>251</v>
      </c>
      <c r="D683" s="41" t="s">
        <v>232</v>
      </c>
      <c r="E683" s="2">
        <v>200</v>
      </c>
      <c r="F683" s="2"/>
      <c r="G683" s="10">
        <f t="shared" si="100"/>
        <v>4</v>
      </c>
      <c r="H683" s="10">
        <f t="shared" si="100"/>
        <v>4</v>
      </c>
    </row>
    <row r="684" spans="1:8" ht="47.25">
      <c r="A684" s="25" t="s">
        <v>150</v>
      </c>
      <c r="B684" s="20" t="s">
        <v>1135</v>
      </c>
      <c r="C684" s="41" t="s">
        <v>251</v>
      </c>
      <c r="D684" s="41" t="s">
        <v>232</v>
      </c>
      <c r="E684" s="2">
        <v>240</v>
      </c>
      <c r="F684" s="2"/>
      <c r="G684" s="10">
        <f>'пр.6.1.ведом.21-22'!G922</f>
        <v>4</v>
      </c>
      <c r="H684" s="10">
        <f>'пр.6.1.ведом.21-22'!H922</f>
        <v>4</v>
      </c>
    </row>
    <row r="685" spans="1:8" ht="47.25">
      <c r="A685" s="46" t="s">
        <v>641</v>
      </c>
      <c r="B685" s="20" t="s">
        <v>1135</v>
      </c>
      <c r="C685" s="41" t="s">
        <v>251</v>
      </c>
      <c r="D685" s="41" t="s">
        <v>232</v>
      </c>
      <c r="E685" s="2">
        <v>240</v>
      </c>
      <c r="F685" s="2">
        <v>908</v>
      </c>
      <c r="G685" s="10">
        <f>G684</f>
        <v>4</v>
      </c>
      <c r="H685" s="10">
        <f>H684</f>
        <v>4</v>
      </c>
    </row>
    <row r="686" spans="1:8" ht="47.25">
      <c r="A686" s="46" t="s">
        <v>574</v>
      </c>
      <c r="B686" s="20" t="s">
        <v>1136</v>
      </c>
      <c r="C686" s="41" t="s">
        <v>251</v>
      </c>
      <c r="D686" s="41" t="s">
        <v>232</v>
      </c>
      <c r="E686" s="2"/>
      <c r="F686" s="2"/>
      <c r="G686" s="10">
        <f>G687+G690</f>
        <v>375</v>
      </c>
      <c r="H686" s="10">
        <f>H687+H690</f>
        <v>375</v>
      </c>
    </row>
    <row r="687" spans="1:8" ht="31.5">
      <c r="A687" s="25" t="s">
        <v>148</v>
      </c>
      <c r="B687" s="20" t="s">
        <v>1136</v>
      </c>
      <c r="C687" s="41" t="s">
        <v>251</v>
      </c>
      <c r="D687" s="41" t="s">
        <v>232</v>
      </c>
      <c r="E687" s="2">
        <v>200</v>
      </c>
      <c r="F687" s="2"/>
      <c r="G687" s="10">
        <f aca="true" t="shared" si="101" ref="G687:H687">G688</f>
        <v>300</v>
      </c>
      <c r="H687" s="10">
        <f t="shared" si="101"/>
        <v>300</v>
      </c>
    </row>
    <row r="688" spans="1:8" ht="47.25">
      <c r="A688" s="25" t="s">
        <v>150</v>
      </c>
      <c r="B688" s="20" t="s">
        <v>1136</v>
      </c>
      <c r="C688" s="41" t="s">
        <v>251</v>
      </c>
      <c r="D688" s="41" t="s">
        <v>232</v>
      </c>
      <c r="E688" s="2">
        <v>240</v>
      </c>
      <c r="F688" s="2"/>
      <c r="G688" s="10">
        <f>'пр.6.1.ведом.21-22'!G925</f>
        <v>300</v>
      </c>
      <c r="H688" s="10">
        <f>'пр.6.1.ведом.21-22'!H925</f>
        <v>300</v>
      </c>
    </row>
    <row r="689" spans="1:8" ht="47.25">
      <c r="A689" s="46" t="s">
        <v>641</v>
      </c>
      <c r="B689" s="20" t="s">
        <v>1136</v>
      </c>
      <c r="C689" s="41" t="s">
        <v>251</v>
      </c>
      <c r="D689" s="41" t="s">
        <v>232</v>
      </c>
      <c r="E689" s="2">
        <v>240</v>
      </c>
      <c r="F689" s="2">
        <v>908</v>
      </c>
      <c r="G689" s="10">
        <f>G688</f>
        <v>300</v>
      </c>
      <c r="H689" s="10">
        <f>H688</f>
        <v>300</v>
      </c>
    </row>
    <row r="690" spans="1:8" ht="15.75">
      <c r="A690" s="30" t="s">
        <v>152</v>
      </c>
      <c r="B690" s="20" t="s">
        <v>1136</v>
      </c>
      <c r="C690" s="41" t="s">
        <v>251</v>
      </c>
      <c r="D690" s="41" t="s">
        <v>232</v>
      </c>
      <c r="E690" s="2">
        <v>800</v>
      </c>
      <c r="F690" s="2"/>
      <c r="G690" s="10">
        <f>G691</f>
        <v>75</v>
      </c>
      <c r="H690" s="10">
        <f>H691</f>
        <v>75</v>
      </c>
    </row>
    <row r="691" spans="1:8" s="252" customFormat="1" ht="15.75">
      <c r="A691" s="25" t="s">
        <v>729</v>
      </c>
      <c r="B691" s="20" t="s">
        <v>1136</v>
      </c>
      <c r="C691" s="41" t="s">
        <v>251</v>
      </c>
      <c r="D691" s="41" t="s">
        <v>232</v>
      </c>
      <c r="E691" s="2">
        <v>850</v>
      </c>
      <c r="F691" s="2"/>
      <c r="G691" s="10">
        <f>'пр.6.1.ведом.21-22'!G927</f>
        <v>75</v>
      </c>
      <c r="H691" s="10">
        <f>'пр.6.1.ведом.21-22'!H927</f>
        <v>75</v>
      </c>
    </row>
    <row r="692" spans="1:8" s="252" customFormat="1" ht="47.25">
      <c r="A692" s="46" t="s">
        <v>641</v>
      </c>
      <c r="B692" s="20" t="s">
        <v>1136</v>
      </c>
      <c r="C692" s="41" t="s">
        <v>251</v>
      </c>
      <c r="D692" s="41" t="s">
        <v>232</v>
      </c>
      <c r="E692" s="2">
        <v>850</v>
      </c>
      <c r="F692" s="2">
        <v>908</v>
      </c>
      <c r="G692" s="10">
        <f>G691</f>
        <v>75</v>
      </c>
      <c r="H692" s="10">
        <f>H691</f>
        <v>75</v>
      </c>
    </row>
    <row r="693" spans="1:8" s="252" customFormat="1" ht="31.5" hidden="1">
      <c r="A693" s="46" t="s">
        <v>576</v>
      </c>
      <c r="B693" s="20" t="s">
        <v>1137</v>
      </c>
      <c r="C693" s="41" t="s">
        <v>251</v>
      </c>
      <c r="D693" s="41" t="s">
        <v>232</v>
      </c>
      <c r="E693" s="2"/>
      <c r="F693" s="2"/>
      <c r="G693" s="10">
        <f aca="true" t="shared" si="102" ref="G693:H694">G694</f>
        <v>0</v>
      </c>
      <c r="H693" s="10">
        <f t="shared" si="102"/>
        <v>0</v>
      </c>
    </row>
    <row r="694" spans="1:8" s="252" customFormat="1" ht="31.5" hidden="1">
      <c r="A694" s="25" t="s">
        <v>148</v>
      </c>
      <c r="B694" s="20" t="s">
        <v>1137</v>
      </c>
      <c r="C694" s="41" t="s">
        <v>251</v>
      </c>
      <c r="D694" s="41" t="s">
        <v>232</v>
      </c>
      <c r="E694" s="2">
        <v>200</v>
      </c>
      <c r="F694" s="2"/>
      <c r="G694" s="10">
        <f t="shared" si="102"/>
        <v>0</v>
      </c>
      <c r="H694" s="10">
        <f t="shared" si="102"/>
        <v>0</v>
      </c>
    </row>
    <row r="695" spans="1:8" ht="47.25" hidden="1">
      <c r="A695" s="25" t="s">
        <v>150</v>
      </c>
      <c r="B695" s="20" t="s">
        <v>1137</v>
      </c>
      <c r="C695" s="41" t="s">
        <v>251</v>
      </c>
      <c r="D695" s="41" t="s">
        <v>232</v>
      </c>
      <c r="E695" s="2">
        <v>240</v>
      </c>
      <c r="F695" s="2"/>
      <c r="G695" s="10">
        <f>'пр.6.1.ведом.21-22'!G930</f>
        <v>0</v>
      </c>
      <c r="H695" s="10">
        <f>'пр.6.1.ведом.21-22'!H930</f>
        <v>0</v>
      </c>
    </row>
    <row r="696" spans="1:8" ht="47.25" hidden="1">
      <c r="A696" s="46" t="s">
        <v>641</v>
      </c>
      <c r="B696" s="20" t="s">
        <v>1137</v>
      </c>
      <c r="C696" s="41" t="s">
        <v>251</v>
      </c>
      <c r="D696" s="41" t="s">
        <v>232</v>
      </c>
      <c r="E696" s="2">
        <v>850</v>
      </c>
      <c r="F696" s="2">
        <v>908</v>
      </c>
      <c r="G696" s="10">
        <f>G695</f>
        <v>0</v>
      </c>
      <c r="H696" s="10">
        <f>H695</f>
        <v>0</v>
      </c>
    </row>
    <row r="697" spans="1:8" ht="31.5">
      <c r="A697" s="342" t="s">
        <v>1312</v>
      </c>
      <c r="B697" s="20" t="s">
        <v>1313</v>
      </c>
      <c r="C697" s="41" t="s">
        <v>251</v>
      </c>
      <c r="D697" s="41" t="s">
        <v>232</v>
      </c>
      <c r="E697" s="2"/>
      <c r="F697" s="2"/>
      <c r="G697" s="10">
        <f>G698</f>
        <v>11</v>
      </c>
      <c r="H697" s="10">
        <f>H698</f>
        <v>11</v>
      </c>
    </row>
    <row r="698" spans="1:8" ht="31.5">
      <c r="A698" s="25" t="s">
        <v>148</v>
      </c>
      <c r="B698" s="20" t="s">
        <v>1313</v>
      </c>
      <c r="C698" s="41" t="s">
        <v>251</v>
      </c>
      <c r="D698" s="41" t="s">
        <v>232</v>
      </c>
      <c r="E698" s="2">
        <v>200</v>
      </c>
      <c r="F698" s="2"/>
      <c r="G698" s="10">
        <f>G699</f>
        <v>11</v>
      </c>
      <c r="H698" s="10">
        <f>H699</f>
        <v>11</v>
      </c>
    </row>
    <row r="699" spans="1:8" ht="47.25">
      <c r="A699" s="25" t="s">
        <v>150</v>
      </c>
      <c r="B699" s="20" t="s">
        <v>1313</v>
      </c>
      <c r="C699" s="41" t="s">
        <v>251</v>
      </c>
      <c r="D699" s="41" t="s">
        <v>232</v>
      </c>
      <c r="E699" s="2">
        <v>240</v>
      </c>
      <c r="F699" s="2"/>
      <c r="G699" s="10">
        <f>'пр.6.1.ведом.21-22'!G933</f>
        <v>11</v>
      </c>
      <c r="H699" s="10">
        <f>'пр.6.1.ведом.21-22'!H933</f>
        <v>11</v>
      </c>
    </row>
    <row r="700" spans="1:8" ht="47.25">
      <c r="A700" s="46" t="s">
        <v>641</v>
      </c>
      <c r="B700" s="20" t="s">
        <v>1313</v>
      </c>
      <c r="C700" s="41" t="s">
        <v>251</v>
      </c>
      <c r="D700" s="41" t="s">
        <v>232</v>
      </c>
      <c r="E700" s="2">
        <v>240</v>
      </c>
      <c r="F700" s="2">
        <v>908</v>
      </c>
      <c r="G700" s="10">
        <f>G699</f>
        <v>11</v>
      </c>
      <c r="H700" s="10">
        <f>H699</f>
        <v>11</v>
      </c>
    </row>
    <row r="701" spans="1:8" ht="31.5">
      <c r="A701" s="23" t="s">
        <v>955</v>
      </c>
      <c r="B701" s="24" t="s">
        <v>1138</v>
      </c>
      <c r="C701" s="7"/>
      <c r="D701" s="7"/>
      <c r="E701" s="3"/>
      <c r="F701" s="3"/>
      <c r="G701" s="62">
        <f>G702</f>
        <v>1663.9</v>
      </c>
      <c r="H701" s="62">
        <f>H702</f>
        <v>1663.9</v>
      </c>
    </row>
    <row r="702" spans="1:8" ht="15.75">
      <c r="A702" s="77" t="s">
        <v>407</v>
      </c>
      <c r="B702" s="41" t="s">
        <v>1138</v>
      </c>
      <c r="C702" s="41" t="s">
        <v>251</v>
      </c>
      <c r="D702" s="41"/>
      <c r="E702" s="2"/>
      <c r="F702" s="2"/>
      <c r="G702" s="10">
        <f aca="true" t="shared" si="103" ref="G702:H702">G703</f>
        <v>1663.9</v>
      </c>
      <c r="H702" s="10">
        <f t="shared" si="103"/>
        <v>1663.9</v>
      </c>
    </row>
    <row r="703" spans="1:8" ht="15.75">
      <c r="A703" s="77" t="s">
        <v>558</v>
      </c>
      <c r="B703" s="41" t="s">
        <v>1138</v>
      </c>
      <c r="C703" s="41" t="s">
        <v>251</v>
      </c>
      <c r="D703" s="41" t="s">
        <v>232</v>
      </c>
      <c r="E703" s="2"/>
      <c r="F703" s="2"/>
      <c r="G703" s="10">
        <f>G704+G708</f>
        <v>1663.9</v>
      </c>
      <c r="H703" s="10">
        <f>H704+H708</f>
        <v>1663.9</v>
      </c>
    </row>
    <row r="704" spans="1:8" ht="47.25">
      <c r="A704" s="25" t="s">
        <v>708</v>
      </c>
      <c r="B704" s="20" t="s">
        <v>1139</v>
      </c>
      <c r="C704" s="41" t="s">
        <v>251</v>
      </c>
      <c r="D704" s="41" t="s">
        <v>232</v>
      </c>
      <c r="E704" s="2"/>
      <c r="F704" s="2"/>
      <c r="G704" s="10">
        <f>G705</f>
        <v>244</v>
      </c>
      <c r="H704" s="10">
        <f>H705</f>
        <v>244</v>
      </c>
    </row>
    <row r="705" spans="1:8" ht="31.5">
      <c r="A705" s="25" t="s">
        <v>148</v>
      </c>
      <c r="B705" s="20" t="s">
        <v>1139</v>
      </c>
      <c r="C705" s="41" t="s">
        <v>251</v>
      </c>
      <c r="D705" s="41" t="s">
        <v>232</v>
      </c>
      <c r="E705" s="20" t="s">
        <v>149</v>
      </c>
      <c r="F705" s="2"/>
      <c r="G705" s="10">
        <f>G706</f>
        <v>244</v>
      </c>
      <c r="H705" s="10">
        <f>H706</f>
        <v>244</v>
      </c>
    </row>
    <row r="706" spans="1:8" ht="47.25">
      <c r="A706" s="25" t="s">
        <v>150</v>
      </c>
      <c r="B706" s="20" t="s">
        <v>1139</v>
      </c>
      <c r="C706" s="41" t="s">
        <v>251</v>
      </c>
      <c r="D706" s="41" t="s">
        <v>232</v>
      </c>
      <c r="E706" s="20" t="s">
        <v>151</v>
      </c>
      <c r="F706" s="2"/>
      <c r="G706" s="10">
        <f>'пр.6.1.ведом.21-22'!G937</f>
        <v>244</v>
      </c>
      <c r="H706" s="10">
        <f>'пр.6.1.ведом.21-22'!H937</f>
        <v>244</v>
      </c>
    </row>
    <row r="707" spans="1:8" ht="47.25">
      <c r="A707" s="46" t="s">
        <v>641</v>
      </c>
      <c r="B707" s="20" t="s">
        <v>1139</v>
      </c>
      <c r="C707" s="41" t="s">
        <v>251</v>
      </c>
      <c r="D707" s="41" t="s">
        <v>232</v>
      </c>
      <c r="E707" s="20" t="s">
        <v>151</v>
      </c>
      <c r="F707" s="2">
        <v>908</v>
      </c>
      <c r="G707" s="10">
        <f>G706</f>
        <v>244</v>
      </c>
      <c r="H707" s="10">
        <f>H706</f>
        <v>244</v>
      </c>
    </row>
    <row r="708" spans="1:8" ht="63">
      <c r="A708" s="25" t="s">
        <v>1266</v>
      </c>
      <c r="B708" s="20" t="s">
        <v>1267</v>
      </c>
      <c r="C708" s="41" t="s">
        <v>251</v>
      </c>
      <c r="D708" s="41" t="s">
        <v>232</v>
      </c>
      <c r="E708" s="20"/>
      <c r="F708" s="2"/>
      <c r="G708" s="10">
        <f>G709</f>
        <v>1419.9</v>
      </c>
      <c r="H708" s="10">
        <f>H709</f>
        <v>1419.9</v>
      </c>
    </row>
    <row r="709" spans="1:8" ht="31.5">
      <c r="A709" s="25" t="s">
        <v>148</v>
      </c>
      <c r="B709" s="20" t="s">
        <v>1267</v>
      </c>
      <c r="C709" s="41" t="s">
        <v>251</v>
      </c>
      <c r="D709" s="41" t="s">
        <v>232</v>
      </c>
      <c r="E709" s="20" t="s">
        <v>149</v>
      </c>
      <c r="F709" s="2"/>
      <c r="G709" s="10">
        <f>G710</f>
        <v>1419.9</v>
      </c>
      <c r="H709" s="10">
        <f>H710</f>
        <v>1419.9</v>
      </c>
    </row>
    <row r="710" spans="1:8" ht="47.25">
      <c r="A710" s="25" t="s">
        <v>150</v>
      </c>
      <c r="B710" s="20" t="s">
        <v>1267</v>
      </c>
      <c r="C710" s="41" t="s">
        <v>251</v>
      </c>
      <c r="D710" s="41" t="s">
        <v>232</v>
      </c>
      <c r="E710" s="20" t="s">
        <v>151</v>
      </c>
      <c r="F710" s="2"/>
      <c r="G710" s="10">
        <f>'пр.6.1.ведом.21-22'!G940</f>
        <v>1419.9</v>
      </c>
      <c r="H710" s="10">
        <f>'пр.6.1.ведом.21-22'!H940</f>
        <v>1419.9</v>
      </c>
    </row>
    <row r="711" spans="1:8" ht="47.25">
      <c r="A711" s="46" t="s">
        <v>641</v>
      </c>
      <c r="B711" s="20" t="s">
        <v>1267</v>
      </c>
      <c r="C711" s="41" t="s">
        <v>251</v>
      </c>
      <c r="D711" s="41" t="s">
        <v>232</v>
      </c>
      <c r="E711" s="20" t="s">
        <v>151</v>
      </c>
      <c r="F711" s="2">
        <v>908</v>
      </c>
      <c r="G711" s="10">
        <f>G710</f>
        <v>1419.9</v>
      </c>
      <c r="H711" s="10">
        <f>H710</f>
        <v>1419.9</v>
      </c>
    </row>
    <row r="712" spans="1:8" ht="47.25">
      <c r="A712" s="35" t="s">
        <v>198</v>
      </c>
      <c r="B712" s="232" t="s">
        <v>199</v>
      </c>
      <c r="C712" s="7"/>
      <c r="D712" s="7"/>
      <c r="E712" s="7"/>
      <c r="F712" s="3"/>
      <c r="G712" s="62">
        <f>G713+G724</f>
        <v>355</v>
      </c>
      <c r="H712" s="62">
        <f>H713+H724</f>
        <v>355</v>
      </c>
    </row>
    <row r="713" spans="1:8" ht="47.25">
      <c r="A713" s="35" t="s">
        <v>1168</v>
      </c>
      <c r="B713" s="232" t="s">
        <v>928</v>
      </c>
      <c r="C713" s="7"/>
      <c r="D713" s="7"/>
      <c r="E713" s="7"/>
      <c r="F713" s="3"/>
      <c r="G713" s="62">
        <f>G714</f>
        <v>256</v>
      </c>
      <c r="H713" s="62">
        <f>H714</f>
        <v>256</v>
      </c>
    </row>
    <row r="714" spans="1:8" ht="15.75">
      <c r="A714" s="30" t="s">
        <v>249</v>
      </c>
      <c r="B714" s="5" t="s">
        <v>928</v>
      </c>
      <c r="C714" s="41" t="s">
        <v>167</v>
      </c>
      <c r="D714" s="41"/>
      <c r="E714" s="41"/>
      <c r="F714" s="2"/>
      <c r="G714" s="10">
        <f aca="true" t="shared" si="104" ref="G714:H717">G715</f>
        <v>256</v>
      </c>
      <c r="H714" s="10">
        <f t="shared" si="104"/>
        <v>256</v>
      </c>
    </row>
    <row r="715" spans="1:8" ht="15.75">
      <c r="A715" s="30" t="s">
        <v>250</v>
      </c>
      <c r="B715" s="31" t="s">
        <v>928</v>
      </c>
      <c r="C715" s="41" t="s">
        <v>167</v>
      </c>
      <c r="D715" s="41" t="s">
        <v>251</v>
      </c>
      <c r="E715" s="41"/>
      <c r="F715" s="2"/>
      <c r="G715" s="10">
        <f>G716+G720</f>
        <v>256</v>
      </c>
      <c r="H715" s="10">
        <f>H716+H720</f>
        <v>256</v>
      </c>
    </row>
    <row r="716" spans="1:8" ht="15.75">
      <c r="A716" s="25" t="s">
        <v>929</v>
      </c>
      <c r="B716" s="20" t="s">
        <v>973</v>
      </c>
      <c r="C716" s="41" t="s">
        <v>167</v>
      </c>
      <c r="D716" s="41" t="s">
        <v>251</v>
      </c>
      <c r="E716" s="41"/>
      <c r="F716" s="2"/>
      <c r="G716" s="10">
        <f t="shared" si="104"/>
        <v>1</v>
      </c>
      <c r="H716" s="10">
        <f t="shared" si="104"/>
        <v>1</v>
      </c>
    </row>
    <row r="717" spans="1:8" ht="15.75">
      <c r="A717" s="30" t="s">
        <v>152</v>
      </c>
      <c r="B717" s="20" t="s">
        <v>973</v>
      </c>
      <c r="C717" s="41" t="s">
        <v>167</v>
      </c>
      <c r="D717" s="41" t="s">
        <v>251</v>
      </c>
      <c r="E717" s="41" t="s">
        <v>162</v>
      </c>
      <c r="F717" s="2"/>
      <c r="G717" s="10">
        <f t="shared" si="104"/>
        <v>1</v>
      </c>
      <c r="H717" s="10">
        <f t="shared" si="104"/>
        <v>1</v>
      </c>
    </row>
    <row r="718" spans="1:8" ht="63">
      <c r="A718" s="30" t="s">
        <v>201</v>
      </c>
      <c r="B718" s="20" t="s">
        <v>973</v>
      </c>
      <c r="C718" s="41" t="s">
        <v>167</v>
      </c>
      <c r="D718" s="41" t="s">
        <v>251</v>
      </c>
      <c r="E718" s="41" t="s">
        <v>177</v>
      </c>
      <c r="F718" s="2"/>
      <c r="G718" s="10">
        <f>'пр.6.1.ведом.21-22'!G153</f>
        <v>1</v>
      </c>
      <c r="H718" s="10">
        <f>'пр.6.1.ведом.21-22'!H153</f>
        <v>1</v>
      </c>
    </row>
    <row r="719" spans="1:8" ht="31.5">
      <c r="A719" s="30" t="s">
        <v>165</v>
      </c>
      <c r="B719" s="20" t="s">
        <v>973</v>
      </c>
      <c r="C719" s="41" t="s">
        <v>167</v>
      </c>
      <c r="D719" s="41" t="s">
        <v>251</v>
      </c>
      <c r="E719" s="41" t="s">
        <v>177</v>
      </c>
      <c r="F719" s="2">
        <v>902</v>
      </c>
      <c r="G719" s="10">
        <f>G718</f>
        <v>1</v>
      </c>
      <c r="H719" s="10">
        <f>H718</f>
        <v>1</v>
      </c>
    </row>
    <row r="720" spans="1:8" ht="31.5">
      <c r="A720" s="25" t="s">
        <v>252</v>
      </c>
      <c r="B720" s="20" t="s">
        <v>932</v>
      </c>
      <c r="C720" s="41" t="s">
        <v>167</v>
      </c>
      <c r="D720" s="41" t="s">
        <v>251</v>
      </c>
      <c r="E720" s="41"/>
      <c r="F720" s="2"/>
      <c r="G720" s="10">
        <f>G721</f>
        <v>255</v>
      </c>
      <c r="H720" s="10">
        <f>H721</f>
        <v>255</v>
      </c>
    </row>
    <row r="721" spans="1:8" ht="15.75">
      <c r="A721" s="25" t="s">
        <v>152</v>
      </c>
      <c r="B721" s="20" t="s">
        <v>932</v>
      </c>
      <c r="C721" s="41" t="s">
        <v>167</v>
      </c>
      <c r="D721" s="41" t="s">
        <v>251</v>
      </c>
      <c r="E721" s="41" t="s">
        <v>162</v>
      </c>
      <c r="F721" s="2"/>
      <c r="G721" s="10">
        <f>G722</f>
        <v>255</v>
      </c>
      <c r="H721" s="10">
        <f>H722</f>
        <v>255</v>
      </c>
    </row>
    <row r="722" spans="1:8" ht="63">
      <c r="A722" s="25" t="s">
        <v>201</v>
      </c>
      <c r="B722" s="20" t="s">
        <v>932</v>
      </c>
      <c r="C722" s="41" t="s">
        <v>167</v>
      </c>
      <c r="D722" s="41" t="s">
        <v>251</v>
      </c>
      <c r="E722" s="41" t="s">
        <v>177</v>
      </c>
      <c r="F722" s="2"/>
      <c r="G722" s="10">
        <f>'пр.6.1.ведом.21-22'!G156</f>
        <v>255</v>
      </c>
      <c r="H722" s="10">
        <f>'пр.6.1.ведом.21-22'!H156</f>
        <v>255</v>
      </c>
    </row>
    <row r="723" spans="1:8" ht="31.5">
      <c r="A723" s="30" t="s">
        <v>165</v>
      </c>
      <c r="B723" s="20" t="s">
        <v>932</v>
      </c>
      <c r="C723" s="41" t="s">
        <v>167</v>
      </c>
      <c r="D723" s="41" t="s">
        <v>251</v>
      </c>
      <c r="E723" s="41" t="s">
        <v>177</v>
      </c>
      <c r="F723" s="2">
        <v>902</v>
      </c>
      <c r="G723" s="10">
        <f>G722</f>
        <v>255</v>
      </c>
      <c r="H723" s="10">
        <f>H722</f>
        <v>255</v>
      </c>
    </row>
    <row r="724" spans="1:8" ht="47.25">
      <c r="A724" s="314" t="s">
        <v>1169</v>
      </c>
      <c r="B724" s="24" t="s">
        <v>931</v>
      </c>
      <c r="C724" s="41"/>
      <c r="D724" s="41"/>
      <c r="E724" s="41"/>
      <c r="F724" s="2"/>
      <c r="G724" s="10">
        <f aca="true" t="shared" si="105" ref="G724:H728">G725</f>
        <v>99</v>
      </c>
      <c r="H724" s="10">
        <f t="shared" si="105"/>
        <v>99</v>
      </c>
    </row>
    <row r="725" spans="1:8" ht="15.75">
      <c r="A725" s="30" t="s">
        <v>249</v>
      </c>
      <c r="B725" s="5" t="s">
        <v>928</v>
      </c>
      <c r="C725" s="41" t="s">
        <v>167</v>
      </c>
      <c r="D725" s="41"/>
      <c r="E725" s="41"/>
      <c r="F725" s="2"/>
      <c r="G725" s="10">
        <f t="shared" si="105"/>
        <v>99</v>
      </c>
      <c r="H725" s="10">
        <f t="shared" si="105"/>
        <v>99</v>
      </c>
    </row>
    <row r="726" spans="1:8" ht="15.75">
      <c r="A726" s="30" t="s">
        <v>250</v>
      </c>
      <c r="B726" s="31" t="s">
        <v>928</v>
      </c>
      <c r="C726" s="41" t="s">
        <v>167</v>
      </c>
      <c r="D726" s="41" t="s">
        <v>251</v>
      </c>
      <c r="E726" s="41"/>
      <c r="F726" s="2"/>
      <c r="G726" s="10">
        <f t="shared" si="105"/>
        <v>99</v>
      </c>
      <c r="H726" s="10">
        <f t="shared" si="105"/>
        <v>99</v>
      </c>
    </row>
    <row r="727" spans="1:8" ht="15.75">
      <c r="A727" s="25" t="s">
        <v>930</v>
      </c>
      <c r="B727" s="5" t="s">
        <v>974</v>
      </c>
      <c r="C727" s="41" t="s">
        <v>167</v>
      </c>
      <c r="D727" s="41" t="s">
        <v>251</v>
      </c>
      <c r="E727" s="41"/>
      <c r="F727" s="2"/>
      <c r="G727" s="10">
        <f t="shared" si="105"/>
        <v>99</v>
      </c>
      <c r="H727" s="10">
        <f t="shared" si="105"/>
        <v>99</v>
      </c>
    </row>
    <row r="728" spans="1:8" ht="15.75">
      <c r="A728" s="30" t="s">
        <v>152</v>
      </c>
      <c r="B728" s="5" t="s">
        <v>974</v>
      </c>
      <c r="C728" s="41" t="s">
        <v>167</v>
      </c>
      <c r="D728" s="41" t="s">
        <v>251</v>
      </c>
      <c r="E728" s="41" t="s">
        <v>162</v>
      </c>
      <c r="F728" s="2"/>
      <c r="G728" s="10">
        <f t="shared" si="105"/>
        <v>99</v>
      </c>
      <c r="H728" s="10">
        <f t="shared" si="105"/>
        <v>99</v>
      </c>
    </row>
    <row r="729" spans="1:8" ht="63">
      <c r="A729" s="30" t="s">
        <v>201</v>
      </c>
      <c r="B729" s="5" t="s">
        <v>974</v>
      </c>
      <c r="C729" s="41" t="s">
        <v>167</v>
      </c>
      <c r="D729" s="41" t="s">
        <v>251</v>
      </c>
      <c r="E729" s="41" t="s">
        <v>177</v>
      </c>
      <c r="F729" s="2"/>
      <c r="G729" s="10">
        <f>'пр.6.1.ведом.21-22'!G160</f>
        <v>99</v>
      </c>
      <c r="H729" s="10">
        <f>'пр.6.1.ведом.21-22'!H160</f>
        <v>99</v>
      </c>
    </row>
    <row r="730" spans="1:8" ht="31.5">
      <c r="A730" s="30" t="s">
        <v>165</v>
      </c>
      <c r="B730" s="20" t="s">
        <v>932</v>
      </c>
      <c r="C730" s="41" t="s">
        <v>167</v>
      </c>
      <c r="D730" s="41" t="s">
        <v>251</v>
      </c>
      <c r="E730" s="41" t="s">
        <v>177</v>
      </c>
      <c r="F730" s="2">
        <v>902</v>
      </c>
      <c r="G730" s="10">
        <f>G729</f>
        <v>99</v>
      </c>
      <c r="H730" s="10">
        <f>H729</f>
        <v>99</v>
      </c>
    </row>
    <row r="731" spans="1:8" ht="78.75">
      <c r="A731" s="42" t="s">
        <v>1187</v>
      </c>
      <c r="B731" s="7" t="s">
        <v>535</v>
      </c>
      <c r="C731" s="7"/>
      <c r="D731" s="7"/>
      <c r="E731" s="76"/>
      <c r="F731" s="3"/>
      <c r="G731" s="62">
        <f>G732+G739+G746+G753+G760+G767+G774</f>
        <v>700</v>
      </c>
      <c r="H731" s="62">
        <f>H732+H739+H746+H753+H760+H767+H774</f>
        <v>700</v>
      </c>
    </row>
    <row r="732" spans="1:8" ht="31.5">
      <c r="A732" s="23" t="s">
        <v>1107</v>
      </c>
      <c r="B732" s="24" t="s">
        <v>1109</v>
      </c>
      <c r="C732" s="41"/>
      <c r="D732" s="41"/>
      <c r="E732" s="41"/>
      <c r="F732" s="2"/>
      <c r="G732" s="62">
        <f>G733</f>
        <v>700</v>
      </c>
      <c r="H732" s="62">
        <f>H733</f>
        <v>700</v>
      </c>
    </row>
    <row r="733" spans="1:8" ht="15.75">
      <c r="A733" s="30" t="s">
        <v>407</v>
      </c>
      <c r="B733" s="41" t="s">
        <v>1109</v>
      </c>
      <c r="C733" s="41" t="s">
        <v>251</v>
      </c>
      <c r="D733" s="41"/>
      <c r="E733" s="77"/>
      <c r="F733" s="2"/>
      <c r="G733" s="10">
        <f aca="true" t="shared" si="106" ref="G733:H733">G734</f>
        <v>700</v>
      </c>
      <c r="H733" s="10">
        <f t="shared" si="106"/>
        <v>700</v>
      </c>
    </row>
    <row r="734" spans="1:8" ht="15.75">
      <c r="A734" s="30" t="s">
        <v>534</v>
      </c>
      <c r="B734" s="41" t="s">
        <v>1109</v>
      </c>
      <c r="C734" s="41" t="s">
        <v>251</v>
      </c>
      <c r="D734" s="41" t="s">
        <v>230</v>
      </c>
      <c r="E734" s="77"/>
      <c r="F734" s="2"/>
      <c r="G734" s="10">
        <f>G735</f>
        <v>700</v>
      </c>
      <c r="H734" s="10">
        <f>H735</f>
        <v>700</v>
      </c>
    </row>
    <row r="735" spans="1:8" ht="15.75">
      <c r="A735" s="46" t="s">
        <v>538</v>
      </c>
      <c r="B735" s="20" t="s">
        <v>1110</v>
      </c>
      <c r="C735" s="41" t="s">
        <v>251</v>
      </c>
      <c r="D735" s="41" t="s">
        <v>230</v>
      </c>
      <c r="E735" s="41"/>
      <c r="F735" s="2"/>
      <c r="G735" s="10">
        <f aca="true" t="shared" si="107" ref="G735:H736">G736</f>
        <v>700</v>
      </c>
      <c r="H735" s="10">
        <f t="shared" si="107"/>
        <v>700</v>
      </c>
    </row>
    <row r="736" spans="1:8" ht="31.5">
      <c r="A736" s="32" t="s">
        <v>148</v>
      </c>
      <c r="B736" s="20" t="s">
        <v>1110</v>
      </c>
      <c r="C736" s="41" t="s">
        <v>251</v>
      </c>
      <c r="D736" s="41" t="s">
        <v>230</v>
      </c>
      <c r="E736" s="41" t="s">
        <v>149</v>
      </c>
      <c r="F736" s="2"/>
      <c r="G736" s="10">
        <f t="shared" si="107"/>
        <v>700</v>
      </c>
      <c r="H736" s="10">
        <f t="shared" si="107"/>
        <v>700</v>
      </c>
    </row>
    <row r="737" spans="1:8" ht="47.25">
      <c r="A737" s="32" t="s">
        <v>150</v>
      </c>
      <c r="B737" s="20" t="s">
        <v>1110</v>
      </c>
      <c r="C737" s="41" t="s">
        <v>251</v>
      </c>
      <c r="D737" s="41" t="s">
        <v>230</v>
      </c>
      <c r="E737" s="41" t="s">
        <v>151</v>
      </c>
      <c r="F737" s="2"/>
      <c r="G737" s="10">
        <f>'пр.6.1.ведом.21-22'!G872</f>
        <v>700</v>
      </c>
      <c r="H737" s="10">
        <f>'пр.6.1.ведом.21-22'!H872</f>
        <v>700</v>
      </c>
    </row>
    <row r="738" spans="1:8" ht="47.25">
      <c r="A738" s="46" t="s">
        <v>641</v>
      </c>
      <c r="B738" s="20" t="s">
        <v>1110</v>
      </c>
      <c r="C738" s="41" t="s">
        <v>251</v>
      </c>
      <c r="D738" s="41" t="s">
        <v>230</v>
      </c>
      <c r="E738" s="41" t="s">
        <v>151</v>
      </c>
      <c r="F738" s="2">
        <v>908</v>
      </c>
      <c r="G738" s="6">
        <f>G737</f>
        <v>700</v>
      </c>
      <c r="H738" s="6">
        <f>H737</f>
        <v>700</v>
      </c>
    </row>
    <row r="739" spans="1:8" ht="31.5" hidden="1">
      <c r="A739" s="35" t="s">
        <v>1111</v>
      </c>
      <c r="B739" s="24" t="s">
        <v>1112</v>
      </c>
      <c r="C739" s="41"/>
      <c r="D739" s="41"/>
      <c r="E739" s="41"/>
      <c r="F739" s="2"/>
      <c r="G739" s="62">
        <f>G740</f>
        <v>0</v>
      </c>
      <c r="H739" s="62">
        <f>H740</f>
        <v>0</v>
      </c>
    </row>
    <row r="740" spans="1:8" ht="15.75" hidden="1">
      <c r="A740" s="30" t="s">
        <v>407</v>
      </c>
      <c r="B740" s="41" t="s">
        <v>1112</v>
      </c>
      <c r="C740" s="41" t="s">
        <v>251</v>
      </c>
      <c r="D740" s="41"/>
      <c r="E740" s="77"/>
      <c r="F740" s="2"/>
      <c r="G740" s="10">
        <f aca="true" t="shared" si="108" ref="G740:H740">G741</f>
        <v>0</v>
      </c>
      <c r="H740" s="10">
        <f t="shared" si="108"/>
        <v>0</v>
      </c>
    </row>
    <row r="741" spans="1:8" ht="15.75" hidden="1">
      <c r="A741" s="30" t="s">
        <v>534</v>
      </c>
      <c r="B741" s="41" t="s">
        <v>1112</v>
      </c>
      <c r="C741" s="41" t="s">
        <v>251</v>
      </c>
      <c r="D741" s="41" t="s">
        <v>230</v>
      </c>
      <c r="E741" s="77"/>
      <c r="F741" s="2"/>
      <c r="G741" s="10">
        <f>G742</f>
        <v>0</v>
      </c>
      <c r="H741" s="10">
        <f>H742</f>
        <v>0</v>
      </c>
    </row>
    <row r="742" spans="1:8" ht="15.75" hidden="1">
      <c r="A742" s="46" t="s">
        <v>540</v>
      </c>
      <c r="B742" s="20" t="s">
        <v>1115</v>
      </c>
      <c r="C742" s="41" t="s">
        <v>251</v>
      </c>
      <c r="D742" s="41" t="s">
        <v>230</v>
      </c>
      <c r="E742" s="41"/>
      <c r="F742" s="2"/>
      <c r="G742" s="10">
        <f>G743</f>
        <v>0</v>
      </c>
      <c r="H742" s="10">
        <f>H743</f>
        <v>0</v>
      </c>
    </row>
    <row r="743" spans="1:8" ht="31.5" hidden="1">
      <c r="A743" s="32" t="s">
        <v>148</v>
      </c>
      <c r="B743" s="20" t="s">
        <v>1115</v>
      </c>
      <c r="C743" s="41" t="s">
        <v>251</v>
      </c>
      <c r="D743" s="41" t="s">
        <v>230</v>
      </c>
      <c r="E743" s="41" t="s">
        <v>149</v>
      </c>
      <c r="F743" s="2"/>
      <c r="G743" s="10">
        <f aca="true" t="shared" si="109" ref="G743:H743">G744</f>
        <v>0</v>
      </c>
      <c r="H743" s="10">
        <f t="shared" si="109"/>
        <v>0</v>
      </c>
    </row>
    <row r="744" spans="1:8" ht="47.25" hidden="1">
      <c r="A744" s="32" t="s">
        <v>150</v>
      </c>
      <c r="B744" s="20" t="s">
        <v>1115</v>
      </c>
      <c r="C744" s="41" t="s">
        <v>251</v>
      </c>
      <c r="D744" s="41" t="s">
        <v>230</v>
      </c>
      <c r="E744" s="41" t="s">
        <v>151</v>
      </c>
      <c r="F744" s="2"/>
      <c r="G744" s="10">
        <f>'пр.6.1.ведом.21-22'!G876</f>
        <v>0</v>
      </c>
      <c r="H744" s="10">
        <f>'пр.6.1.ведом.21-22'!H876</f>
        <v>0</v>
      </c>
    </row>
    <row r="745" spans="1:8" ht="47.25" hidden="1">
      <c r="A745" s="46" t="s">
        <v>641</v>
      </c>
      <c r="B745" s="20" t="s">
        <v>1115</v>
      </c>
      <c r="C745" s="41" t="s">
        <v>251</v>
      </c>
      <c r="D745" s="41" t="s">
        <v>230</v>
      </c>
      <c r="E745" s="41" t="s">
        <v>151</v>
      </c>
      <c r="F745" s="2">
        <v>908</v>
      </c>
      <c r="G745" s="6">
        <f>G744</f>
        <v>0</v>
      </c>
      <c r="H745" s="6">
        <f>H744</f>
        <v>0</v>
      </c>
    </row>
    <row r="746" spans="1:8" ht="31.5" hidden="1">
      <c r="A746" s="60" t="s">
        <v>1113</v>
      </c>
      <c r="B746" s="24" t="s">
        <v>1114</v>
      </c>
      <c r="C746" s="41"/>
      <c r="D746" s="41"/>
      <c r="E746" s="41"/>
      <c r="F746" s="2"/>
      <c r="G746" s="62">
        <f>G747</f>
        <v>0</v>
      </c>
      <c r="H746" s="62">
        <f>H747</f>
        <v>0</v>
      </c>
    </row>
    <row r="747" spans="1:8" ht="15.75" hidden="1">
      <c r="A747" s="30" t="s">
        <v>407</v>
      </c>
      <c r="B747" s="41" t="s">
        <v>1114</v>
      </c>
      <c r="C747" s="41" t="s">
        <v>251</v>
      </c>
      <c r="D747" s="41"/>
      <c r="E747" s="77"/>
      <c r="F747" s="2"/>
      <c r="G747" s="10">
        <f aca="true" t="shared" si="110" ref="G747:H747">G748</f>
        <v>0</v>
      </c>
      <c r="H747" s="10">
        <f t="shared" si="110"/>
        <v>0</v>
      </c>
    </row>
    <row r="748" spans="1:8" ht="15.75" hidden="1">
      <c r="A748" s="30" t="s">
        <v>534</v>
      </c>
      <c r="B748" s="41" t="s">
        <v>1114</v>
      </c>
      <c r="C748" s="41" t="s">
        <v>251</v>
      </c>
      <c r="D748" s="41" t="s">
        <v>230</v>
      </c>
      <c r="E748" s="77"/>
      <c r="F748" s="2"/>
      <c r="G748" s="10">
        <f>G749</f>
        <v>0</v>
      </c>
      <c r="H748" s="10">
        <f>H749</f>
        <v>0</v>
      </c>
    </row>
    <row r="749" spans="1:8" ht="15.75" hidden="1">
      <c r="A749" s="46" t="s">
        <v>542</v>
      </c>
      <c r="B749" s="20" t="s">
        <v>1116</v>
      </c>
      <c r="C749" s="41" t="s">
        <v>251</v>
      </c>
      <c r="D749" s="41" t="s">
        <v>230</v>
      </c>
      <c r="E749" s="41"/>
      <c r="F749" s="2"/>
      <c r="G749" s="10">
        <f>G750</f>
        <v>0</v>
      </c>
      <c r="H749" s="10">
        <f>H750</f>
        <v>0</v>
      </c>
    </row>
    <row r="750" spans="1:8" ht="31.5" hidden="1">
      <c r="A750" s="32" t="s">
        <v>148</v>
      </c>
      <c r="B750" s="20" t="s">
        <v>1116</v>
      </c>
      <c r="C750" s="41" t="s">
        <v>251</v>
      </c>
      <c r="D750" s="41" t="s">
        <v>230</v>
      </c>
      <c r="E750" s="41" t="s">
        <v>149</v>
      </c>
      <c r="F750" s="2"/>
      <c r="G750" s="10">
        <f aca="true" t="shared" si="111" ref="G750:H750">G751</f>
        <v>0</v>
      </c>
      <c r="H750" s="10">
        <f t="shared" si="111"/>
        <v>0</v>
      </c>
    </row>
    <row r="751" spans="1:8" ht="47.25" hidden="1">
      <c r="A751" s="32" t="s">
        <v>150</v>
      </c>
      <c r="B751" s="20" t="s">
        <v>1116</v>
      </c>
      <c r="C751" s="41" t="s">
        <v>251</v>
      </c>
      <c r="D751" s="41" t="s">
        <v>230</v>
      </c>
      <c r="E751" s="41" t="s">
        <v>151</v>
      </c>
      <c r="F751" s="2"/>
      <c r="G751" s="10">
        <f>'пр.6.1.ведом.21-22'!G880</f>
        <v>0</v>
      </c>
      <c r="H751" s="10">
        <f>'пр.6.1.ведом.21-22'!H880</f>
        <v>0</v>
      </c>
    </row>
    <row r="752" spans="1:8" ht="47.25" hidden="1">
      <c r="A752" s="46" t="s">
        <v>641</v>
      </c>
      <c r="B752" s="20" t="s">
        <v>1116</v>
      </c>
      <c r="C752" s="41" t="s">
        <v>251</v>
      </c>
      <c r="D752" s="41" t="s">
        <v>230</v>
      </c>
      <c r="E752" s="41" t="s">
        <v>151</v>
      </c>
      <c r="F752" s="2">
        <v>908</v>
      </c>
      <c r="G752" s="6">
        <f>G751</f>
        <v>0</v>
      </c>
      <c r="H752" s="6">
        <f>H751</f>
        <v>0</v>
      </c>
    </row>
    <row r="753" spans="1:8" ht="31.5" hidden="1">
      <c r="A753" s="60" t="s">
        <v>1117</v>
      </c>
      <c r="B753" s="24" t="s">
        <v>1118</v>
      </c>
      <c r="C753" s="41"/>
      <c r="D753" s="41"/>
      <c r="E753" s="41"/>
      <c r="F753" s="2"/>
      <c r="G753" s="62">
        <f aca="true" t="shared" si="112" ref="G753:H755">G754</f>
        <v>0</v>
      </c>
      <c r="H753" s="62">
        <f t="shared" si="112"/>
        <v>0</v>
      </c>
    </row>
    <row r="754" spans="1:8" ht="15.75" hidden="1">
      <c r="A754" s="30" t="s">
        <v>407</v>
      </c>
      <c r="B754" s="41" t="s">
        <v>1118</v>
      </c>
      <c r="C754" s="41" t="s">
        <v>251</v>
      </c>
      <c r="D754" s="41"/>
      <c r="E754" s="77"/>
      <c r="F754" s="2"/>
      <c r="G754" s="10">
        <f t="shared" si="112"/>
        <v>0</v>
      </c>
      <c r="H754" s="10">
        <f t="shared" si="112"/>
        <v>0</v>
      </c>
    </row>
    <row r="755" spans="1:8" ht="15.75" hidden="1">
      <c r="A755" s="30" t="s">
        <v>534</v>
      </c>
      <c r="B755" s="41" t="s">
        <v>1118</v>
      </c>
      <c r="C755" s="41" t="s">
        <v>251</v>
      </c>
      <c r="D755" s="41" t="s">
        <v>230</v>
      </c>
      <c r="E755" s="77"/>
      <c r="F755" s="2"/>
      <c r="G755" s="10">
        <f t="shared" si="112"/>
        <v>0</v>
      </c>
      <c r="H755" s="10">
        <f t="shared" si="112"/>
        <v>0</v>
      </c>
    </row>
    <row r="756" spans="1:8" ht="31.5" hidden="1">
      <c r="A756" s="46" t="s">
        <v>544</v>
      </c>
      <c r="B756" s="20" t="s">
        <v>1119</v>
      </c>
      <c r="C756" s="41" t="s">
        <v>251</v>
      </c>
      <c r="D756" s="41" t="s">
        <v>230</v>
      </c>
      <c r="E756" s="41"/>
      <c r="F756" s="2"/>
      <c r="G756" s="10">
        <f aca="true" t="shared" si="113" ref="G756:H757">G757</f>
        <v>0</v>
      </c>
      <c r="H756" s="10">
        <f t="shared" si="113"/>
        <v>0</v>
      </c>
    </row>
    <row r="757" spans="1:8" ht="31.5" hidden="1">
      <c r="A757" s="32" t="s">
        <v>148</v>
      </c>
      <c r="B757" s="20" t="s">
        <v>1119</v>
      </c>
      <c r="C757" s="41" t="s">
        <v>251</v>
      </c>
      <c r="D757" s="41" t="s">
        <v>230</v>
      </c>
      <c r="E757" s="41" t="s">
        <v>149</v>
      </c>
      <c r="F757" s="2"/>
      <c r="G757" s="10">
        <f t="shared" si="113"/>
        <v>0</v>
      </c>
      <c r="H757" s="10">
        <f t="shared" si="113"/>
        <v>0</v>
      </c>
    </row>
    <row r="758" spans="1:8" ht="47.25" hidden="1">
      <c r="A758" s="32" t="s">
        <v>150</v>
      </c>
      <c r="B758" s="20" t="s">
        <v>1119</v>
      </c>
      <c r="C758" s="41" t="s">
        <v>251</v>
      </c>
      <c r="D758" s="41" t="s">
        <v>230</v>
      </c>
      <c r="E758" s="41" t="s">
        <v>151</v>
      </c>
      <c r="F758" s="2"/>
      <c r="G758" s="10">
        <f>'пр.6.1.ведом.21-22'!G884</f>
        <v>0</v>
      </c>
      <c r="H758" s="10">
        <f>'пр.6.1.ведом.21-22'!H884</f>
        <v>0</v>
      </c>
    </row>
    <row r="759" spans="1:8" ht="47.25" hidden="1">
      <c r="A759" s="46" t="s">
        <v>641</v>
      </c>
      <c r="B759" s="20" t="s">
        <v>1119</v>
      </c>
      <c r="C759" s="41" t="s">
        <v>251</v>
      </c>
      <c r="D759" s="41" t="s">
        <v>230</v>
      </c>
      <c r="E759" s="41" t="s">
        <v>151</v>
      </c>
      <c r="F759" s="2">
        <v>908</v>
      </c>
      <c r="G759" s="6">
        <f>G758</f>
        <v>0</v>
      </c>
      <c r="H759" s="6">
        <f>H758</f>
        <v>0</v>
      </c>
    </row>
    <row r="760" spans="1:8" ht="31.5" hidden="1">
      <c r="A760" s="35" t="s">
        <v>1181</v>
      </c>
      <c r="B760" s="24" t="s">
        <v>1182</v>
      </c>
      <c r="C760" s="41"/>
      <c r="D760" s="41"/>
      <c r="E760" s="41"/>
      <c r="F760" s="2"/>
      <c r="G760" s="62">
        <f>G761</f>
        <v>0</v>
      </c>
      <c r="H760" s="62">
        <f>H761</f>
        <v>0</v>
      </c>
    </row>
    <row r="761" spans="1:8" ht="15.75" hidden="1">
      <c r="A761" s="30" t="s">
        <v>407</v>
      </c>
      <c r="B761" s="41" t="s">
        <v>535</v>
      </c>
      <c r="C761" s="41" t="s">
        <v>251</v>
      </c>
      <c r="D761" s="41"/>
      <c r="E761" s="77"/>
      <c r="F761" s="2"/>
      <c r="G761" s="10">
        <f aca="true" t="shared" si="114" ref="G761:H761">G762</f>
        <v>0</v>
      </c>
      <c r="H761" s="10">
        <f t="shared" si="114"/>
        <v>0</v>
      </c>
    </row>
    <row r="762" spans="1:8" ht="15.75" hidden="1">
      <c r="A762" s="30" t="s">
        <v>534</v>
      </c>
      <c r="B762" s="41" t="s">
        <v>535</v>
      </c>
      <c r="C762" s="41" t="s">
        <v>251</v>
      </c>
      <c r="D762" s="41" t="s">
        <v>230</v>
      </c>
      <c r="E762" s="77"/>
      <c r="F762" s="2"/>
      <c r="G762" s="10">
        <f>G763</f>
        <v>0</v>
      </c>
      <c r="H762" s="10">
        <f>H763</f>
        <v>0</v>
      </c>
    </row>
    <row r="763" spans="1:8" ht="15.75" hidden="1">
      <c r="A763" s="46" t="s">
        <v>546</v>
      </c>
      <c r="B763" s="20" t="s">
        <v>1185</v>
      </c>
      <c r="C763" s="41" t="s">
        <v>251</v>
      </c>
      <c r="D763" s="41" t="s">
        <v>230</v>
      </c>
      <c r="E763" s="41"/>
      <c r="F763" s="2"/>
      <c r="G763" s="10">
        <f aca="true" t="shared" si="115" ref="G763:H764">G764</f>
        <v>0</v>
      </c>
      <c r="H763" s="10">
        <f t="shared" si="115"/>
        <v>0</v>
      </c>
    </row>
    <row r="764" spans="1:8" ht="31.5" hidden="1">
      <c r="A764" s="32" t="s">
        <v>148</v>
      </c>
      <c r="B764" s="20" t="s">
        <v>1185</v>
      </c>
      <c r="C764" s="41" t="s">
        <v>251</v>
      </c>
      <c r="D764" s="41" t="s">
        <v>230</v>
      </c>
      <c r="E764" s="41" t="s">
        <v>149</v>
      </c>
      <c r="F764" s="2"/>
      <c r="G764" s="10">
        <f t="shared" si="115"/>
        <v>0</v>
      </c>
      <c r="H764" s="10">
        <f t="shared" si="115"/>
        <v>0</v>
      </c>
    </row>
    <row r="765" spans="1:8" ht="47.25" hidden="1">
      <c r="A765" s="32" t="s">
        <v>150</v>
      </c>
      <c r="B765" s="20" t="s">
        <v>1185</v>
      </c>
      <c r="C765" s="41" t="s">
        <v>251</v>
      </c>
      <c r="D765" s="41" t="s">
        <v>230</v>
      </c>
      <c r="E765" s="41" t="s">
        <v>151</v>
      </c>
      <c r="F765" s="2"/>
      <c r="G765" s="10">
        <f>'пр.6.1.ведом.21-22'!G888</f>
        <v>0</v>
      </c>
      <c r="H765" s="10">
        <f>'пр.6.1.ведом.21-22'!H888</f>
        <v>0</v>
      </c>
    </row>
    <row r="766" spans="1:8" ht="47.25" hidden="1">
      <c r="A766" s="46" t="s">
        <v>641</v>
      </c>
      <c r="B766" s="20" t="s">
        <v>1185</v>
      </c>
      <c r="C766" s="41" t="s">
        <v>251</v>
      </c>
      <c r="D766" s="41" t="s">
        <v>230</v>
      </c>
      <c r="E766" s="41" t="s">
        <v>151</v>
      </c>
      <c r="F766" s="2">
        <v>908</v>
      </c>
      <c r="G766" s="6">
        <f>G765</f>
        <v>0</v>
      </c>
      <c r="H766" s="6">
        <f>H765</f>
        <v>0</v>
      </c>
    </row>
    <row r="767" spans="1:8" ht="47.25" hidden="1">
      <c r="A767" s="321" t="s">
        <v>1183</v>
      </c>
      <c r="B767" s="24" t="s">
        <v>1184</v>
      </c>
      <c r="C767" s="41"/>
      <c r="D767" s="41"/>
      <c r="E767" s="41"/>
      <c r="F767" s="2"/>
      <c r="G767" s="62">
        <f>G768</f>
        <v>0</v>
      </c>
      <c r="H767" s="62">
        <f>H768</f>
        <v>0</v>
      </c>
    </row>
    <row r="768" spans="1:8" ht="15.75" hidden="1">
      <c r="A768" s="30" t="s">
        <v>407</v>
      </c>
      <c r="B768" s="41" t="s">
        <v>535</v>
      </c>
      <c r="C768" s="41" t="s">
        <v>251</v>
      </c>
      <c r="D768" s="41"/>
      <c r="E768" s="77"/>
      <c r="F768" s="2"/>
      <c r="G768" s="10">
        <f aca="true" t="shared" si="116" ref="G768:H768">G769</f>
        <v>0</v>
      </c>
      <c r="H768" s="10">
        <f t="shared" si="116"/>
        <v>0</v>
      </c>
    </row>
    <row r="769" spans="1:8" ht="15.75" hidden="1">
      <c r="A769" s="30" t="s">
        <v>534</v>
      </c>
      <c r="B769" s="41" t="s">
        <v>535</v>
      </c>
      <c r="C769" s="41" t="s">
        <v>251</v>
      </c>
      <c r="D769" s="41" t="s">
        <v>230</v>
      </c>
      <c r="E769" s="77"/>
      <c r="F769" s="2"/>
      <c r="G769" s="10">
        <f>G770</f>
        <v>0</v>
      </c>
      <c r="H769" s="10">
        <f>H770</f>
        <v>0</v>
      </c>
    </row>
    <row r="770" spans="1:8" ht="31.5" hidden="1">
      <c r="A770" s="188" t="s">
        <v>548</v>
      </c>
      <c r="B770" s="20" t="s">
        <v>1186</v>
      </c>
      <c r="C770" s="41" t="s">
        <v>251</v>
      </c>
      <c r="D770" s="41" t="s">
        <v>230</v>
      </c>
      <c r="E770" s="41"/>
      <c r="F770" s="2"/>
      <c r="G770" s="10">
        <f aca="true" t="shared" si="117" ref="G770:H771">G771</f>
        <v>0</v>
      </c>
      <c r="H770" s="10">
        <f t="shared" si="117"/>
        <v>0</v>
      </c>
    </row>
    <row r="771" spans="1:8" ht="31.5" hidden="1">
      <c r="A771" s="32" t="s">
        <v>148</v>
      </c>
      <c r="B771" s="20" t="s">
        <v>1186</v>
      </c>
      <c r="C771" s="41" t="s">
        <v>251</v>
      </c>
      <c r="D771" s="41" t="s">
        <v>230</v>
      </c>
      <c r="E771" s="41" t="s">
        <v>149</v>
      </c>
      <c r="F771" s="2"/>
      <c r="G771" s="10">
        <f t="shared" si="117"/>
        <v>0</v>
      </c>
      <c r="H771" s="10">
        <f t="shared" si="117"/>
        <v>0</v>
      </c>
    </row>
    <row r="772" spans="1:8" ht="47.25" hidden="1">
      <c r="A772" s="32" t="s">
        <v>150</v>
      </c>
      <c r="B772" s="20" t="s">
        <v>1186</v>
      </c>
      <c r="C772" s="41" t="s">
        <v>251</v>
      </c>
      <c r="D772" s="41" t="s">
        <v>230</v>
      </c>
      <c r="E772" s="41" t="s">
        <v>151</v>
      </c>
      <c r="F772" s="2"/>
      <c r="G772" s="10">
        <f>'пр.6.1.ведом.21-22'!G892</f>
        <v>0</v>
      </c>
      <c r="H772" s="10">
        <f>'пр.6.1.ведом.21-22'!H892</f>
        <v>0</v>
      </c>
    </row>
    <row r="773" spans="1:8" ht="47.25" hidden="1">
      <c r="A773" s="46" t="s">
        <v>641</v>
      </c>
      <c r="B773" s="20" t="s">
        <v>1186</v>
      </c>
      <c r="C773" s="41" t="s">
        <v>251</v>
      </c>
      <c r="D773" s="41" t="s">
        <v>230</v>
      </c>
      <c r="E773" s="41" t="s">
        <v>151</v>
      </c>
      <c r="F773" s="2">
        <v>908</v>
      </c>
      <c r="G773" s="6">
        <f>G772</f>
        <v>0</v>
      </c>
      <c r="H773" s="6">
        <f>H772</f>
        <v>0</v>
      </c>
    </row>
    <row r="774" spans="1:8" ht="31.5" hidden="1">
      <c r="A774" s="321" t="s">
        <v>1121</v>
      </c>
      <c r="B774" s="24" t="s">
        <v>1122</v>
      </c>
      <c r="C774" s="41"/>
      <c r="D774" s="41"/>
      <c r="E774" s="41"/>
      <c r="F774" s="2"/>
      <c r="G774" s="62">
        <f aca="true" t="shared" si="118" ref="G774:H776">G775</f>
        <v>0</v>
      </c>
      <c r="H774" s="62">
        <f t="shared" si="118"/>
        <v>0</v>
      </c>
    </row>
    <row r="775" spans="1:8" ht="15.75" hidden="1">
      <c r="A775" s="30" t="s">
        <v>407</v>
      </c>
      <c r="B775" s="41" t="s">
        <v>535</v>
      </c>
      <c r="C775" s="41" t="s">
        <v>251</v>
      </c>
      <c r="D775" s="41"/>
      <c r="E775" s="77"/>
      <c r="F775" s="2"/>
      <c r="G775" s="10">
        <f t="shared" si="118"/>
        <v>0</v>
      </c>
      <c r="H775" s="10">
        <f t="shared" si="118"/>
        <v>0</v>
      </c>
    </row>
    <row r="776" spans="1:8" ht="15.75" hidden="1">
      <c r="A776" s="30" t="s">
        <v>534</v>
      </c>
      <c r="B776" s="41" t="s">
        <v>535</v>
      </c>
      <c r="C776" s="41" t="s">
        <v>251</v>
      </c>
      <c r="D776" s="41" t="s">
        <v>230</v>
      </c>
      <c r="E776" s="77"/>
      <c r="F776" s="2"/>
      <c r="G776" s="10">
        <f t="shared" si="118"/>
        <v>0</v>
      </c>
      <c r="H776" s="10">
        <f t="shared" si="118"/>
        <v>0</v>
      </c>
    </row>
    <row r="777" spans="1:8" ht="15.75" hidden="1">
      <c r="A777" s="188" t="s">
        <v>550</v>
      </c>
      <c r="B777" s="20" t="s">
        <v>1120</v>
      </c>
      <c r="C777" s="41" t="s">
        <v>251</v>
      </c>
      <c r="D777" s="41" t="s">
        <v>230</v>
      </c>
      <c r="E777" s="41"/>
      <c r="F777" s="2"/>
      <c r="G777" s="10">
        <f aca="true" t="shared" si="119" ref="G777:H778">G778</f>
        <v>0</v>
      </c>
      <c r="H777" s="10">
        <f t="shared" si="119"/>
        <v>0</v>
      </c>
    </row>
    <row r="778" spans="1:8" ht="31.5" hidden="1">
      <c r="A778" s="25" t="s">
        <v>148</v>
      </c>
      <c r="B778" s="20" t="s">
        <v>1120</v>
      </c>
      <c r="C778" s="41" t="s">
        <v>251</v>
      </c>
      <c r="D778" s="41" t="s">
        <v>230</v>
      </c>
      <c r="E778" s="2">
        <v>200</v>
      </c>
      <c r="F778" s="81"/>
      <c r="G778" s="6">
        <f t="shared" si="119"/>
        <v>0</v>
      </c>
      <c r="H778" s="6">
        <f t="shared" si="119"/>
        <v>0</v>
      </c>
    </row>
    <row r="779" spans="1:8" ht="47.25" hidden="1">
      <c r="A779" s="25" t="s">
        <v>150</v>
      </c>
      <c r="B779" s="20" t="s">
        <v>1120</v>
      </c>
      <c r="C779" s="41" t="s">
        <v>251</v>
      </c>
      <c r="D779" s="41" t="s">
        <v>230</v>
      </c>
      <c r="E779" s="2">
        <v>240</v>
      </c>
      <c r="F779" s="81"/>
      <c r="G779" s="6">
        <f>'пр.6.1.ведом.21-22'!G896</f>
        <v>0</v>
      </c>
      <c r="H779" s="6">
        <f>'пр.6.1.ведом.21-22'!H896</f>
        <v>0</v>
      </c>
    </row>
    <row r="780" spans="1:8" ht="47.25" hidden="1">
      <c r="A780" s="46" t="s">
        <v>641</v>
      </c>
      <c r="B780" s="20" t="s">
        <v>1120</v>
      </c>
      <c r="C780" s="41" t="s">
        <v>251</v>
      </c>
      <c r="D780" s="41" t="s">
        <v>230</v>
      </c>
      <c r="E780" s="2">
        <v>240</v>
      </c>
      <c r="F780" s="2">
        <v>908</v>
      </c>
      <c r="G780" s="6">
        <f>G779</f>
        <v>0</v>
      </c>
      <c r="H780" s="6">
        <f>H779</f>
        <v>0</v>
      </c>
    </row>
    <row r="781" spans="1:8" ht="63">
      <c r="A781" s="23" t="s">
        <v>351</v>
      </c>
      <c r="B781" s="24" t="s">
        <v>352</v>
      </c>
      <c r="C781" s="7"/>
      <c r="D781" s="7"/>
      <c r="E781" s="3"/>
      <c r="F781" s="3"/>
      <c r="G781" s="4">
        <f aca="true" t="shared" si="120" ref="G781:H783">G782</f>
        <v>175</v>
      </c>
      <c r="H781" s="4">
        <f t="shared" si="120"/>
        <v>175</v>
      </c>
    </row>
    <row r="782" spans="1:8" ht="31.5">
      <c r="A782" s="23" t="s">
        <v>1242</v>
      </c>
      <c r="B782" s="24" t="s">
        <v>1243</v>
      </c>
      <c r="C782" s="7"/>
      <c r="D782" s="7"/>
      <c r="E782" s="3"/>
      <c r="F782" s="3"/>
      <c r="G782" s="4">
        <f t="shared" si="120"/>
        <v>175</v>
      </c>
      <c r="H782" s="4">
        <f t="shared" si="120"/>
        <v>175</v>
      </c>
    </row>
    <row r="783" spans="1:8" ht="15.75">
      <c r="A783" s="30" t="s">
        <v>134</v>
      </c>
      <c r="B783" s="20" t="s">
        <v>1243</v>
      </c>
      <c r="C783" s="41" t="s">
        <v>135</v>
      </c>
      <c r="D783" s="41"/>
      <c r="E783" s="2"/>
      <c r="F783" s="2"/>
      <c r="G783" s="6">
        <f t="shared" si="120"/>
        <v>175</v>
      </c>
      <c r="H783" s="6">
        <f t="shared" si="120"/>
        <v>175</v>
      </c>
    </row>
    <row r="784" spans="1:8" ht="15.75">
      <c r="A784" s="30" t="s">
        <v>156</v>
      </c>
      <c r="B784" s="20" t="s">
        <v>1243</v>
      </c>
      <c r="C784" s="41" t="s">
        <v>135</v>
      </c>
      <c r="D784" s="41" t="s">
        <v>157</v>
      </c>
      <c r="E784" s="2"/>
      <c r="F784" s="2"/>
      <c r="G784" s="6">
        <f>G785+G792+G796+G800+G804+G808+G812</f>
        <v>175</v>
      </c>
      <c r="H784" s="6">
        <f>H785+H792+H796+H800+H804+H808+H812</f>
        <v>175</v>
      </c>
    </row>
    <row r="785" spans="1:8" ht="31.5">
      <c r="A785" s="25" t="s">
        <v>353</v>
      </c>
      <c r="B785" s="20" t="s">
        <v>1244</v>
      </c>
      <c r="C785" s="41" t="s">
        <v>135</v>
      </c>
      <c r="D785" s="41" t="s">
        <v>157</v>
      </c>
      <c r="E785" s="2"/>
      <c r="F785" s="2"/>
      <c r="G785" s="6">
        <f>G786+G789</f>
        <v>120</v>
      </c>
      <c r="H785" s="6">
        <f>H786+H789</f>
        <v>120</v>
      </c>
    </row>
    <row r="786" spans="1:8" ht="31.5">
      <c r="A786" s="25" t="s">
        <v>148</v>
      </c>
      <c r="B786" s="20" t="s">
        <v>1244</v>
      </c>
      <c r="C786" s="41" t="s">
        <v>135</v>
      </c>
      <c r="D786" s="41" t="s">
        <v>157</v>
      </c>
      <c r="E786" s="2">
        <v>200</v>
      </c>
      <c r="F786" s="2"/>
      <c r="G786" s="6">
        <f aca="true" t="shared" si="121" ref="G786:H786">G787</f>
        <v>50</v>
      </c>
      <c r="H786" s="6">
        <f t="shared" si="121"/>
        <v>50</v>
      </c>
    </row>
    <row r="787" spans="1:8" ht="47.25">
      <c r="A787" s="25" t="s">
        <v>150</v>
      </c>
      <c r="B787" s="20" t="s">
        <v>1244</v>
      </c>
      <c r="C787" s="41" t="s">
        <v>135</v>
      </c>
      <c r="D787" s="41" t="s">
        <v>157</v>
      </c>
      <c r="E787" s="2">
        <v>240</v>
      </c>
      <c r="F787" s="2"/>
      <c r="G787" s="6">
        <f>'пр.6.1.ведом.21-22'!G493</f>
        <v>50</v>
      </c>
      <c r="H787" s="6">
        <f>'пр.6.1.ведом.21-22'!H493</f>
        <v>50</v>
      </c>
    </row>
    <row r="788" spans="1:8" ht="31.5">
      <c r="A788" s="46" t="s">
        <v>420</v>
      </c>
      <c r="B788" s="20" t="s">
        <v>1244</v>
      </c>
      <c r="C788" s="41" t="s">
        <v>135</v>
      </c>
      <c r="D788" s="41" t="s">
        <v>157</v>
      </c>
      <c r="E788" s="2">
        <v>240</v>
      </c>
      <c r="F788" s="2">
        <v>906</v>
      </c>
      <c r="G788" s="6">
        <f>G787</f>
        <v>50</v>
      </c>
      <c r="H788" s="6">
        <f>H787</f>
        <v>50</v>
      </c>
    </row>
    <row r="789" spans="1:8" ht="31.5">
      <c r="A789" s="25" t="s">
        <v>148</v>
      </c>
      <c r="B789" s="20" t="s">
        <v>1244</v>
      </c>
      <c r="C789" s="41" t="s">
        <v>135</v>
      </c>
      <c r="D789" s="41" t="s">
        <v>157</v>
      </c>
      <c r="E789" s="2">
        <v>200</v>
      </c>
      <c r="F789" s="2"/>
      <c r="G789" s="6">
        <f aca="true" t="shared" si="122" ref="G789:H789">G790</f>
        <v>70</v>
      </c>
      <c r="H789" s="6">
        <f t="shared" si="122"/>
        <v>70</v>
      </c>
    </row>
    <row r="790" spans="1:8" ht="47.25">
      <c r="A790" s="25" t="s">
        <v>150</v>
      </c>
      <c r="B790" s="20" t="s">
        <v>1244</v>
      </c>
      <c r="C790" s="41" t="s">
        <v>135</v>
      </c>
      <c r="D790" s="41" t="s">
        <v>157</v>
      </c>
      <c r="E790" s="2">
        <v>240</v>
      </c>
      <c r="F790" s="2"/>
      <c r="G790" s="6">
        <f>'пр.6.1.ведом.21-22'!G712</f>
        <v>70</v>
      </c>
      <c r="H790" s="6">
        <f>'пр.6.1.ведом.21-22'!H712</f>
        <v>70</v>
      </c>
    </row>
    <row r="791" spans="1:8" ht="47.25">
      <c r="A791" s="46" t="s">
        <v>497</v>
      </c>
      <c r="B791" s="20" t="s">
        <v>1244</v>
      </c>
      <c r="C791" s="41" t="s">
        <v>135</v>
      </c>
      <c r="D791" s="41" t="s">
        <v>157</v>
      </c>
      <c r="E791" s="2">
        <v>240</v>
      </c>
      <c r="F791" s="2">
        <v>907</v>
      </c>
      <c r="G791" s="6">
        <f>G790</f>
        <v>70</v>
      </c>
      <c r="H791" s="6">
        <f>H790</f>
        <v>70</v>
      </c>
    </row>
    <row r="792" spans="1:8" ht="31.5" hidden="1">
      <c r="A792" s="25" t="s">
        <v>353</v>
      </c>
      <c r="B792" s="20" t="s">
        <v>1249</v>
      </c>
      <c r="C792" s="41" t="s">
        <v>135</v>
      </c>
      <c r="D792" s="41" t="s">
        <v>157</v>
      </c>
      <c r="E792" s="2"/>
      <c r="F792" s="2"/>
      <c r="G792" s="6">
        <f>G793</f>
        <v>0</v>
      </c>
      <c r="H792" s="6">
        <f>H793</f>
        <v>0</v>
      </c>
    </row>
    <row r="793" spans="1:8" ht="31.5" hidden="1">
      <c r="A793" s="25" t="s">
        <v>148</v>
      </c>
      <c r="B793" s="20" t="s">
        <v>1249</v>
      </c>
      <c r="C793" s="41" t="s">
        <v>135</v>
      </c>
      <c r="D793" s="41" t="s">
        <v>157</v>
      </c>
      <c r="E793" s="2">
        <v>200</v>
      </c>
      <c r="F793" s="2"/>
      <c r="G793" s="6">
        <f aca="true" t="shared" si="123" ref="G793:H793">G794</f>
        <v>0</v>
      </c>
      <c r="H793" s="6">
        <f t="shared" si="123"/>
        <v>0</v>
      </c>
    </row>
    <row r="794" spans="1:8" ht="47.25" hidden="1">
      <c r="A794" s="25" t="s">
        <v>150</v>
      </c>
      <c r="B794" s="20" t="s">
        <v>1249</v>
      </c>
      <c r="C794" s="41" t="s">
        <v>135</v>
      </c>
      <c r="D794" s="41" t="s">
        <v>157</v>
      </c>
      <c r="E794" s="2">
        <v>240</v>
      </c>
      <c r="F794" s="2"/>
      <c r="G794" s="6">
        <v>0</v>
      </c>
      <c r="H794" s="6">
        <v>0</v>
      </c>
    </row>
    <row r="795" spans="1:8" ht="31.5" hidden="1">
      <c r="A795" s="46" t="s">
        <v>420</v>
      </c>
      <c r="B795" s="20" t="s">
        <v>1249</v>
      </c>
      <c r="C795" s="41" t="s">
        <v>135</v>
      </c>
      <c r="D795" s="41" t="s">
        <v>157</v>
      </c>
      <c r="E795" s="2">
        <v>240</v>
      </c>
      <c r="F795" s="2">
        <v>906</v>
      </c>
      <c r="G795" s="6">
        <f>G794</f>
        <v>0</v>
      </c>
      <c r="H795" s="6">
        <f>H794</f>
        <v>0</v>
      </c>
    </row>
    <row r="796" spans="1:8" ht="31.5">
      <c r="A796" s="25" t="s">
        <v>355</v>
      </c>
      <c r="B796" s="20" t="s">
        <v>1245</v>
      </c>
      <c r="C796" s="41" t="s">
        <v>135</v>
      </c>
      <c r="D796" s="41" t="s">
        <v>157</v>
      </c>
      <c r="E796" s="2"/>
      <c r="F796" s="2"/>
      <c r="G796" s="6">
        <f aca="true" t="shared" si="124" ref="G796:H797">G797</f>
        <v>25</v>
      </c>
      <c r="H796" s="6">
        <f t="shared" si="124"/>
        <v>25</v>
      </c>
    </row>
    <row r="797" spans="1:8" ht="31.5">
      <c r="A797" s="25" t="s">
        <v>148</v>
      </c>
      <c r="B797" s="20" t="s">
        <v>1245</v>
      </c>
      <c r="C797" s="41" t="s">
        <v>135</v>
      </c>
      <c r="D797" s="41" t="s">
        <v>157</v>
      </c>
      <c r="E797" s="2">
        <v>200</v>
      </c>
      <c r="F797" s="2"/>
      <c r="G797" s="6">
        <f t="shared" si="124"/>
        <v>25</v>
      </c>
      <c r="H797" s="6">
        <f t="shared" si="124"/>
        <v>25</v>
      </c>
    </row>
    <row r="798" spans="1:8" ht="47.25">
      <c r="A798" s="25" t="s">
        <v>150</v>
      </c>
      <c r="B798" s="20" t="s">
        <v>1245</v>
      </c>
      <c r="C798" s="41" t="s">
        <v>135</v>
      </c>
      <c r="D798" s="41" t="s">
        <v>157</v>
      </c>
      <c r="E798" s="2">
        <v>240</v>
      </c>
      <c r="F798" s="2"/>
      <c r="G798" s="6">
        <f>'пр.6.1.ведом.21-22'!G217</f>
        <v>25</v>
      </c>
      <c r="H798" s="6">
        <f>'пр.6.1.ведом.21-22'!H217</f>
        <v>25</v>
      </c>
    </row>
    <row r="799" spans="1:8" ht="47.25">
      <c r="A799" s="46" t="s">
        <v>278</v>
      </c>
      <c r="B799" s="20" t="s">
        <v>1245</v>
      </c>
      <c r="C799" s="41" t="s">
        <v>135</v>
      </c>
      <c r="D799" s="41" t="s">
        <v>157</v>
      </c>
      <c r="E799" s="2">
        <v>240</v>
      </c>
      <c r="F799" s="2">
        <v>903</v>
      </c>
      <c r="G799" s="6">
        <f>G798</f>
        <v>25</v>
      </c>
      <c r="H799" s="6">
        <f>H798</f>
        <v>25</v>
      </c>
    </row>
    <row r="800" spans="1:8" ht="63">
      <c r="A800" s="32" t="s">
        <v>796</v>
      </c>
      <c r="B800" s="20" t="s">
        <v>1246</v>
      </c>
      <c r="C800" s="41" t="s">
        <v>135</v>
      </c>
      <c r="D800" s="41" t="s">
        <v>157</v>
      </c>
      <c r="E800" s="2"/>
      <c r="F800" s="2"/>
      <c r="G800" s="6">
        <f aca="true" t="shared" si="125" ref="G800:H801">G801</f>
        <v>10</v>
      </c>
      <c r="H800" s="6">
        <f t="shared" si="125"/>
        <v>10</v>
      </c>
    </row>
    <row r="801" spans="1:8" ht="31.5">
      <c r="A801" s="25" t="s">
        <v>148</v>
      </c>
      <c r="B801" s="20" t="s">
        <v>1246</v>
      </c>
      <c r="C801" s="20" t="s">
        <v>135</v>
      </c>
      <c r="D801" s="20" t="s">
        <v>157</v>
      </c>
      <c r="E801" s="20" t="s">
        <v>149</v>
      </c>
      <c r="F801" s="192"/>
      <c r="G801" s="6">
        <f t="shared" si="125"/>
        <v>10</v>
      </c>
      <c r="H801" s="6">
        <f t="shared" si="125"/>
        <v>10</v>
      </c>
    </row>
    <row r="802" spans="1:8" ht="47.25">
      <c r="A802" s="25" t="s">
        <v>150</v>
      </c>
      <c r="B802" s="20" t="s">
        <v>1246</v>
      </c>
      <c r="C802" s="20" t="s">
        <v>135</v>
      </c>
      <c r="D802" s="20" t="s">
        <v>157</v>
      </c>
      <c r="E802" s="20" t="s">
        <v>151</v>
      </c>
      <c r="F802" s="192"/>
      <c r="G802" s="6">
        <f>'пр.6.1.ведом.21-22'!G220</f>
        <v>10</v>
      </c>
      <c r="H802" s="6">
        <f>'пр.6.1.ведом.21-22'!H220</f>
        <v>10</v>
      </c>
    </row>
    <row r="803" spans="1:8" ht="47.25">
      <c r="A803" s="46" t="s">
        <v>278</v>
      </c>
      <c r="B803" s="20" t="s">
        <v>1246</v>
      </c>
      <c r="C803" s="41" t="s">
        <v>135</v>
      </c>
      <c r="D803" s="41" t="s">
        <v>157</v>
      </c>
      <c r="E803" s="2">
        <v>240</v>
      </c>
      <c r="F803" s="2">
        <v>903</v>
      </c>
      <c r="G803" s="6">
        <f>G802</f>
        <v>10</v>
      </c>
      <c r="H803" s="6">
        <f>H802</f>
        <v>10</v>
      </c>
    </row>
    <row r="804" spans="1:8" ht="47.25" hidden="1">
      <c r="A804" s="25" t="s">
        <v>697</v>
      </c>
      <c r="B804" s="20" t="s">
        <v>1247</v>
      </c>
      <c r="C804" s="41" t="s">
        <v>135</v>
      </c>
      <c r="D804" s="41" t="s">
        <v>157</v>
      </c>
      <c r="E804" s="2"/>
      <c r="F804" s="192"/>
      <c r="G804" s="6">
        <f aca="true" t="shared" si="126" ref="G804:H805">G805</f>
        <v>0</v>
      </c>
      <c r="H804" s="6">
        <f t="shared" si="126"/>
        <v>0</v>
      </c>
    </row>
    <row r="805" spans="1:8" ht="31.5" hidden="1">
      <c r="A805" s="25" t="s">
        <v>148</v>
      </c>
      <c r="B805" s="20" t="s">
        <v>1247</v>
      </c>
      <c r="C805" s="41" t="s">
        <v>135</v>
      </c>
      <c r="D805" s="41" t="s">
        <v>157</v>
      </c>
      <c r="E805" s="2">
        <v>200</v>
      </c>
      <c r="F805" s="192"/>
      <c r="G805" s="6">
        <f t="shared" si="126"/>
        <v>0</v>
      </c>
      <c r="H805" s="6">
        <f t="shared" si="126"/>
        <v>0</v>
      </c>
    </row>
    <row r="806" spans="1:8" ht="47.25" hidden="1">
      <c r="A806" s="25" t="s">
        <v>150</v>
      </c>
      <c r="B806" s="20" t="s">
        <v>1247</v>
      </c>
      <c r="C806" s="41" t="s">
        <v>135</v>
      </c>
      <c r="D806" s="41" t="s">
        <v>157</v>
      </c>
      <c r="E806" s="2">
        <v>240</v>
      </c>
      <c r="F806" s="192"/>
      <c r="G806" s="6">
        <f>'пр.6.1.ведом.21-22'!G223</f>
        <v>0</v>
      </c>
      <c r="H806" s="6">
        <f>'пр.6.1.ведом.21-22'!H223</f>
        <v>0</v>
      </c>
    </row>
    <row r="807" spans="1:8" ht="47.25" hidden="1">
      <c r="A807" s="46" t="s">
        <v>278</v>
      </c>
      <c r="B807" s="20" t="s">
        <v>1247</v>
      </c>
      <c r="C807" s="41" t="s">
        <v>135</v>
      </c>
      <c r="D807" s="41" t="s">
        <v>157</v>
      </c>
      <c r="E807" s="2">
        <v>240</v>
      </c>
      <c r="F807" s="2">
        <v>903</v>
      </c>
      <c r="G807" s="6">
        <f>G806</f>
        <v>0</v>
      </c>
      <c r="H807" s="6">
        <f>H806</f>
        <v>0</v>
      </c>
    </row>
    <row r="808" spans="1:8" ht="31.5" hidden="1">
      <c r="A808" s="32" t="s">
        <v>798</v>
      </c>
      <c r="B808" s="20" t="s">
        <v>1277</v>
      </c>
      <c r="C808" s="41" t="s">
        <v>135</v>
      </c>
      <c r="D808" s="41" t="s">
        <v>157</v>
      </c>
      <c r="E808" s="2"/>
      <c r="F808" s="2"/>
      <c r="G808" s="6">
        <f aca="true" t="shared" si="127" ref="G808:H809">G809</f>
        <v>0</v>
      </c>
      <c r="H808" s="6">
        <f t="shared" si="127"/>
        <v>0</v>
      </c>
    </row>
    <row r="809" spans="1:8" ht="31.5" hidden="1">
      <c r="A809" s="25" t="s">
        <v>148</v>
      </c>
      <c r="B809" s="20" t="s">
        <v>1277</v>
      </c>
      <c r="C809" s="41" t="s">
        <v>135</v>
      </c>
      <c r="D809" s="41" t="s">
        <v>157</v>
      </c>
      <c r="E809" s="2">
        <v>200</v>
      </c>
      <c r="F809" s="2"/>
      <c r="G809" s="6">
        <f t="shared" si="127"/>
        <v>0</v>
      </c>
      <c r="H809" s="6">
        <f t="shared" si="127"/>
        <v>0</v>
      </c>
    </row>
    <row r="810" spans="1:8" ht="47.25" hidden="1">
      <c r="A810" s="25" t="s">
        <v>150</v>
      </c>
      <c r="B810" s="20" t="s">
        <v>1277</v>
      </c>
      <c r="C810" s="41" t="s">
        <v>135</v>
      </c>
      <c r="D810" s="41" t="s">
        <v>157</v>
      </c>
      <c r="E810" s="2">
        <v>240</v>
      </c>
      <c r="F810" s="2"/>
      <c r="G810" s="6">
        <f>'пр.6.1.ведом.21-22'!G496</f>
        <v>0</v>
      </c>
      <c r="H810" s="6">
        <f>'пр.6.1.ведом.21-22'!H496</f>
        <v>0</v>
      </c>
    </row>
    <row r="811" spans="1:8" ht="31.5" hidden="1">
      <c r="A811" s="46" t="s">
        <v>420</v>
      </c>
      <c r="B811" s="20" t="s">
        <v>1277</v>
      </c>
      <c r="C811" s="41" t="s">
        <v>135</v>
      </c>
      <c r="D811" s="41" t="s">
        <v>157</v>
      </c>
      <c r="E811" s="2">
        <v>240</v>
      </c>
      <c r="F811" s="2">
        <v>906</v>
      </c>
      <c r="G811" s="6">
        <f>G810</f>
        <v>0</v>
      </c>
      <c r="H811" s="6">
        <f>H810</f>
        <v>0</v>
      </c>
    </row>
    <row r="812" spans="1:8" ht="31.5">
      <c r="A812" s="32" t="s">
        <v>797</v>
      </c>
      <c r="B812" s="20" t="s">
        <v>1248</v>
      </c>
      <c r="C812" s="20" t="s">
        <v>135</v>
      </c>
      <c r="D812" s="20" t="s">
        <v>157</v>
      </c>
      <c r="E812" s="20"/>
      <c r="F812" s="192"/>
      <c r="G812" s="6">
        <f aca="true" t="shared" si="128" ref="G812:H813">G813</f>
        <v>20</v>
      </c>
      <c r="H812" s="6">
        <f t="shared" si="128"/>
        <v>20</v>
      </c>
    </row>
    <row r="813" spans="1:8" ht="31.5">
      <c r="A813" s="25" t="s">
        <v>148</v>
      </c>
      <c r="B813" s="20" t="s">
        <v>1248</v>
      </c>
      <c r="C813" s="20" t="s">
        <v>135</v>
      </c>
      <c r="D813" s="20" t="s">
        <v>157</v>
      </c>
      <c r="E813" s="20" t="s">
        <v>149</v>
      </c>
      <c r="F813" s="192"/>
      <c r="G813" s="6">
        <f t="shared" si="128"/>
        <v>20</v>
      </c>
      <c r="H813" s="6">
        <f t="shared" si="128"/>
        <v>20</v>
      </c>
    </row>
    <row r="814" spans="1:8" ht="47.25">
      <c r="A814" s="25" t="s">
        <v>150</v>
      </c>
      <c r="B814" s="20" t="s">
        <v>1248</v>
      </c>
      <c r="C814" s="20" t="s">
        <v>135</v>
      </c>
      <c r="D814" s="20" t="s">
        <v>157</v>
      </c>
      <c r="E814" s="20" t="s">
        <v>151</v>
      </c>
      <c r="F814" s="192"/>
      <c r="G814" s="6">
        <f>'пр.6.1.ведом.21-22'!G226</f>
        <v>20</v>
      </c>
      <c r="H814" s="6">
        <f>'пр.6.1.ведом.21-22'!H226</f>
        <v>20</v>
      </c>
    </row>
    <row r="815" spans="1:8" ht="47.25">
      <c r="A815" s="46" t="s">
        <v>278</v>
      </c>
      <c r="B815" s="20" t="s">
        <v>1248</v>
      </c>
      <c r="C815" s="20" t="s">
        <v>135</v>
      </c>
      <c r="D815" s="20" t="s">
        <v>157</v>
      </c>
      <c r="E815" s="20" t="s">
        <v>151</v>
      </c>
      <c r="F815" s="2">
        <v>903</v>
      </c>
      <c r="G815" s="6">
        <f>G814</f>
        <v>20</v>
      </c>
      <c r="H815" s="6">
        <f>H814</f>
        <v>20</v>
      </c>
    </row>
    <row r="816" spans="1:8" ht="78.75">
      <c r="A816" s="42" t="s">
        <v>1188</v>
      </c>
      <c r="B816" s="24" t="s">
        <v>730</v>
      </c>
      <c r="C816" s="7"/>
      <c r="D816" s="7"/>
      <c r="E816" s="3"/>
      <c r="F816" s="3"/>
      <c r="G816" s="4">
        <f>G817+G828+G867</f>
        <v>3292.6</v>
      </c>
      <c r="H816" s="4">
        <f>H817+H828+H867</f>
        <v>3292.6</v>
      </c>
    </row>
    <row r="817" spans="1:8" ht="63">
      <c r="A817" s="311" t="s">
        <v>897</v>
      </c>
      <c r="B817" s="24" t="s">
        <v>903</v>
      </c>
      <c r="C817" s="7"/>
      <c r="D817" s="7"/>
      <c r="E817" s="3"/>
      <c r="F817" s="3"/>
      <c r="G817" s="4">
        <f>G818</f>
        <v>30</v>
      </c>
      <c r="H817" s="4">
        <f>H818</f>
        <v>30</v>
      </c>
    </row>
    <row r="818" spans="1:8" ht="15.75">
      <c r="A818" s="30" t="s">
        <v>134</v>
      </c>
      <c r="B818" s="20" t="s">
        <v>903</v>
      </c>
      <c r="C818" s="41" t="s">
        <v>135</v>
      </c>
      <c r="D818" s="41"/>
      <c r="E818" s="2"/>
      <c r="F818" s="2"/>
      <c r="G818" s="6">
        <f aca="true" t="shared" si="129" ref="G818:H818">G819</f>
        <v>30</v>
      </c>
      <c r="H818" s="6">
        <f t="shared" si="129"/>
        <v>30</v>
      </c>
    </row>
    <row r="819" spans="1:8" ht="15.75">
      <c r="A819" s="30" t="s">
        <v>156</v>
      </c>
      <c r="B819" s="20" t="s">
        <v>903</v>
      </c>
      <c r="C819" s="41" t="s">
        <v>135</v>
      </c>
      <c r="D819" s="41" t="s">
        <v>157</v>
      </c>
      <c r="E819" s="2"/>
      <c r="F819" s="2"/>
      <c r="G819" s="6">
        <f>G820+G824</f>
        <v>30</v>
      </c>
      <c r="H819" s="6">
        <f>H820+H824</f>
        <v>30</v>
      </c>
    </row>
    <row r="820" spans="1:8" ht="47.25">
      <c r="A820" s="107" t="s">
        <v>801</v>
      </c>
      <c r="B820" s="20" t="s">
        <v>898</v>
      </c>
      <c r="C820" s="41" t="s">
        <v>135</v>
      </c>
      <c r="D820" s="41" t="s">
        <v>157</v>
      </c>
      <c r="E820" s="2"/>
      <c r="F820" s="2"/>
      <c r="G820" s="6">
        <f aca="true" t="shared" si="130" ref="G820:H821">G821</f>
        <v>25</v>
      </c>
      <c r="H820" s="6">
        <f t="shared" si="130"/>
        <v>25</v>
      </c>
    </row>
    <row r="821" spans="1:8" ht="31.5">
      <c r="A821" s="25" t="s">
        <v>148</v>
      </c>
      <c r="B821" s="20" t="s">
        <v>898</v>
      </c>
      <c r="C821" s="41" t="s">
        <v>135</v>
      </c>
      <c r="D821" s="41" t="s">
        <v>157</v>
      </c>
      <c r="E821" s="2">
        <v>200</v>
      </c>
      <c r="F821" s="2"/>
      <c r="G821" s="6">
        <f t="shared" si="130"/>
        <v>25</v>
      </c>
      <c r="H821" s="6">
        <f t="shared" si="130"/>
        <v>25</v>
      </c>
    </row>
    <row r="822" spans="1:8" ht="47.25">
      <c r="A822" s="25" t="s">
        <v>150</v>
      </c>
      <c r="B822" s="20" t="s">
        <v>898</v>
      </c>
      <c r="C822" s="41" t="s">
        <v>135</v>
      </c>
      <c r="D822" s="41" t="s">
        <v>157</v>
      </c>
      <c r="E822" s="2">
        <v>240</v>
      </c>
      <c r="F822" s="2"/>
      <c r="G822" s="6">
        <f>'пр.6.1.ведом.21-22'!G106</f>
        <v>25</v>
      </c>
      <c r="H822" s="6">
        <f>'пр.6.1.ведом.21-22'!H106</f>
        <v>25</v>
      </c>
    </row>
    <row r="823" spans="1:8" ht="31.5">
      <c r="A823" s="30" t="s">
        <v>165</v>
      </c>
      <c r="B823" s="20" t="s">
        <v>898</v>
      </c>
      <c r="C823" s="41" t="s">
        <v>135</v>
      </c>
      <c r="D823" s="41" t="s">
        <v>157</v>
      </c>
      <c r="E823" s="2">
        <v>240</v>
      </c>
      <c r="F823" s="2">
        <v>902</v>
      </c>
      <c r="G823" s="6">
        <f>G822</f>
        <v>25</v>
      </c>
      <c r="H823" s="6">
        <f>H822</f>
        <v>25</v>
      </c>
    </row>
    <row r="824" spans="1:8" ht="47.25">
      <c r="A824" s="107" t="s">
        <v>801</v>
      </c>
      <c r="B824" s="20" t="s">
        <v>898</v>
      </c>
      <c r="C824" s="41" t="s">
        <v>135</v>
      </c>
      <c r="D824" s="41" t="s">
        <v>157</v>
      </c>
      <c r="E824" s="2"/>
      <c r="F824" s="2"/>
      <c r="G824" s="6">
        <f>G825</f>
        <v>5</v>
      </c>
      <c r="H824" s="6">
        <f>H825</f>
        <v>5</v>
      </c>
    </row>
    <row r="825" spans="1:8" ht="31.5">
      <c r="A825" s="25" t="s">
        <v>148</v>
      </c>
      <c r="B825" s="20" t="s">
        <v>898</v>
      </c>
      <c r="C825" s="41" t="s">
        <v>135</v>
      </c>
      <c r="D825" s="41" t="s">
        <v>157</v>
      </c>
      <c r="E825" s="2">
        <v>200</v>
      </c>
      <c r="F825" s="2"/>
      <c r="G825" s="6">
        <f>G826</f>
        <v>5</v>
      </c>
      <c r="H825" s="6">
        <f>H826</f>
        <v>5</v>
      </c>
    </row>
    <row r="826" spans="1:8" ht="47.25">
      <c r="A826" s="25" t="s">
        <v>150</v>
      </c>
      <c r="B826" s="20" t="s">
        <v>898</v>
      </c>
      <c r="C826" s="41" t="s">
        <v>135</v>
      </c>
      <c r="D826" s="41" t="s">
        <v>157</v>
      </c>
      <c r="E826" s="2">
        <v>240</v>
      </c>
      <c r="F826" s="2"/>
      <c r="G826" s="6">
        <f>'пр.6.1.ведом.21-22'!G231</f>
        <v>5</v>
      </c>
      <c r="H826" s="6">
        <f>'пр.6.1.ведом.21-22'!H231</f>
        <v>5</v>
      </c>
    </row>
    <row r="827" spans="1:8" ht="47.25">
      <c r="A827" s="25" t="s">
        <v>278</v>
      </c>
      <c r="B827" s="20" t="s">
        <v>898</v>
      </c>
      <c r="C827" s="41" t="s">
        <v>135</v>
      </c>
      <c r="D827" s="41" t="s">
        <v>157</v>
      </c>
      <c r="E827" s="2">
        <v>240</v>
      </c>
      <c r="F827" s="2">
        <v>903</v>
      </c>
      <c r="G827" s="6">
        <f>G826</f>
        <v>5</v>
      </c>
      <c r="H827" s="6">
        <f>H826</f>
        <v>5</v>
      </c>
    </row>
    <row r="828" spans="1:8" ht="63">
      <c r="A828" s="42" t="s">
        <v>954</v>
      </c>
      <c r="B828" s="24" t="s">
        <v>952</v>
      </c>
      <c r="C828" s="41"/>
      <c r="D828" s="41"/>
      <c r="E828" s="2"/>
      <c r="F828" s="2"/>
      <c r="G828" s="4">
        <f>G829+G849+G855+G861</f>
        <v>3247.6</v>
      </c>
      <c r="H828" s="4">
        <f>H829+H849+H855+H861</f>
        <v>3247.6</v>
      </c>
    </row>
    <row r="829" spans="1:8" ht="15.75">
      <c r="A829" s="30" t="s">
        <v>280</v>
      </c>
      <c r="B829" s="20" t="s">
        <v>952</v>
      </c>
      <c r="C829" s="41" t="s">
        <v>281</v>
      </c>
      <c r="D829" s="41"/>
      <c r="E829" s="2"/>
      <c r="F829" s="2"/>
      <c r="G829" s="6">
        <f>G830+G836+G840</f>
        <v>1709.3</v>
      </c>
      <c r="H829" s="6">
        <f>H830+H836+H840</f>
        <v>1709.3</v>
      </c>
    </row>
    <row r="830" spans="1:8" ht="15.75">
      <c r="A830" s="30" t="s">
        <v>421</v>
      </c>
      <c r="B830" s="20" t="s">
        <v>952</v>
      </c>
      <c r="C830" s="41" t="s">
        <v>281</v>
      </c>
      <c r="D830" s="41" t="s">
        <v>135</v>
      </c>
      <c r="E830" s="2"/>
      <c r="F830" s="2"/>
      <c r="G830" s="6">
        <f aca="true" t="shared" si="131" ref="G830:H832">G831</f>
        <v>464.3</v>
      </c>
      <c r="H830" s="6">
        <f t="shared" si="131"/>
        <v>464.3</v>
      </c>
    </row>
    <row r="831" spans="1:8" ht="47.25">
      <c r="A831" s="46" t="s">
        <v>805</v>
      </c>
      <c r="B831" s="20" t="s">
        <v>1035</v>
      </c>
      <c r="C831" s="41" t="s">
        <v>281</v>
      </c>
      <c r="D831" s="41" t="s">
        <v>135</v>
      </c>
      <c r="E831" s="2"/>
      <c r="F831" s="2"/>
      <c r="G831" s="6">
        <f t="shared" si="131"/>
        <v>464.3</v>
      </c>
      <c r="H831" s="6">
        <f t="shared" si="131"/>
        <v>464.3</v>
      </c>
    </row>
    <row r="832" spans="1:8" ht="47.25">
      <c r="A832" s="30" t="s">
        <v>289</v>
      </c>
      <c r="B832" s="20" t="s">
        <v>1035</v>
      </c>
      <c r="C832" s="41" t="s">
        <v>281</v>
      </c>
      <c r="D832" s="41" t="s">
        <v>135</v>
      </c>
      <c r="E832" s="2">
        <v>600</v>
      </c>
      <c r="F832" s="2"/>
      <c r="G832" s="6">
        <f t="shared" si="131"/>
        <v>464.3</v>
      </c>
      <c r="H832" s="6">
        <f t="shared" si="131"/>
        <v>464.3</v>
      </c>
    </row>
    <row r="833" spans="1:8" ht="15.75">
      <c r="A833" s="208" t="s">
        <v>291</v>
      </c>
      <c r="B833" s="20" t="s">
        <v>1035</v>
      </c>
      <c r="C833" s="41" t="s">
        <v>281</v>
      </c>
      <c r="D833" s="41" t="s">
        <v>135</v>
      </c>
      <c r="E833" s="2">
        <v>610</v>
      </c>
      <c r="F833" s="2"/>
      <c r="G833" s="6">
        <f>'пр.6.1.ведом.21-22'!G558</f>
        <v>464.3</v>
      </c>
      <c r="H833" s="6">
        <f>'пр.6.1.ведом.21-22'!H558</f>
        <v>464.3</v>
      </c>
    </row>
    <row r="834" spans="1:8" ht="31.5">
      <c r="A834" s="46" t="s">
        <v>420</v>
      </c>
      <c r="B834" s="20" t="s">
        <v>1035</v>
      </c>
      <c r="C834" s="41" t="s">
        <v>281</v>
      </c>
      <c r="D834" s="41" t="s">
        <v>135</v>
      </c>
      <c r="E834" s="2">
        <v>610</v>
      </c>
      <c r="F834" s="2">
        <v>906</v>
      </c>
      <c r="G834" s="6">
        <f>G833</f>
        <v>464.3</v>
      </c>
      <c r="H834" s="6">
        <f>H833</f>
        <v>464.3</v>
      </c>
    </row>
    <row r="835" spans="1:8" ht="15.75">
      <c r="A835" s="46" t="s">
        <v>442</v>
      </c>
      <c r="B835" s="20" t="s">
        <v>952</v>
      </c>
      <c r="C835" s="41" t="s">
        <v>281</v>
      </c>
      <c r="D835" s="41" t="s">
        <v>230</v>
      </c>
      <c r="E835" s="2"/>
      <c r="F835" s="2"/>
      <c r="G835" s="6">
        <f aca="true" t="shared" si="132" ref="G835:H837">G836</f>
        <v>723.3</v>
      </c>
      <c r="H835" s="6">
        <f t="shared" si="132"/>
        <v>723.3</v>
      </c>
    </row>
    <row r="836" spans="1:8" ht="47.25">
      <c r="A836" s="46" t="s">
        <v>805</v>
      </c>
      <c r="B836" s="20" t="s">
        <v>1035</v>
      </c>
      <c r="C836" s="41" t="s">
        <v>281</v>
      </c>
      <c r="D836" s="41" t="s">
        <v>230</v>
      </c>
      <c r="E836" s="2"/>
      <c r="F836" s="2"/>
      <c r="G836" s="6">
        <f t="shared" si="132"/>
        <v>723.3</v>
      </c>
      <c r="H836" s="6">
        <f t="shared" si="132"/>
        <v>723.3</v>
      </c>
    </row>
    <row r="837" spans="1:8" ht="47.25">
      <c r="A837" s="30" t="s">
        <v>289</v>
      </c>
      <c r="B837" s="20" t="s">
        <v>1035</v>
      </c>
      <c r="C837" s="41" t="s">
        <v>281</v>
      </c>
      <c r="D837" s="41" t="s">
        <v>230</v>
      </c>
      <c r="E837" s="2">
        <v>600</v>
      </c>
      <c r="F837" s="2"/>
      <c r="G837" s="6">
        <f t="shared" si="132"/>
        <v>723.3</v>
      </c>
      <c r="H837" s="6">
        <f t="shared" si="132"/>
        <v>723.3</v>
      </c>
    </row>
    <row r="838" spans="1:8" ht="15.75">
      <c r="A838" s="208" t="s">
        <v>291</v>
      </c>
      <c r="B838" s="20" t="s">
        <v>1035</v>
      </c>
      <c r="C838" s="41" t="s">
        <v>281</v>
      </c>
      <c r="D838" s="41" t="s">
        <v>230</v>
      </c>
      <c r="E838" s="2">
        <v>610</v>
      </c>
      <c r="F838" s="2"/>
      <c r="G838" s="6">
        <f>'пр.6.1.ведом.21-22'!G636</f>
        <v>723.3</v>
      </c>
      <c r="H838" s="6">
        <f>'пр.6.1.ведом.21-22'!H636</f>
        <v>723.3</v>
      </c>
    </row>
    <row r="839" spans="1:8" ht="31.5">
      <c r="A839" s="46" t="s">
        <v>420</v>
      </c>
      <c r="B839" s="20" t="s">
        <v>1035</v>
      </c>
      <c r="C839" s="41" t="s">
        <v>281</v>
      </c>
      <c r="D839" s="41" t="s">
        <v>230</v>
      </c>
      <c r="E839" s="2">
        <v>610</v>
      </c>
      <c r="F839" s="2">
        <v>906</v>
      </c>
      <c r="G839" s="6">
        <f>G838</f>
        <v>723.3</v>
      </c>
      <c r="H839" s="6">
        <f>H838</f>
        <v>723.3</v>
      </c>
    </row>
    <row r="840" spans="1:8" ht="15.75">
      <c r="A840" s="46" t="s">
        <v>282</v>
      </c>
      <c r="B840" s="20" t="s">
        <v>952</v>
      </c>
      <c r="C840" s="41" t="s">
        <v>281</v>
      </c>
      <c r="D840" s="41" t="s">
        <v>232</v>
      </c>
      <c r="E840" s="2"/>
      <c r="F840" s="2"/>
      <c r="G840" s="6">
        <f>G841+G845</f>
        <v>521.7</v>
      </c>
      <c r="H840" s="6">
        <f>H841+H845</f>
        <v>521.7</v>
      </c>
    </row>
    <row r="841" spans="1:8" ht="47.25">
      <c r="A841" s="46" t="s">
        <v>805</v>
      </c>
      <c r="B841" s="20" t="s">
        <v>1035</v>
      </c>
      <c r="C841" s="41" t="s">
        <v>281</v>
      </c>
      <c r="D841" s="41" t="s">
        <v>232</v>
      </c>
      <c r="E841" s="2"/>
      <c r="F841" s="2"/>
      <c r="G841" s="6">
        <f>G842</f>
        <v>300.7</v>
      </c>
      <c r="H841" s="6">
        <f>H842</f>
        <v>300.7</v>
      </c>
    </row>
    <row r="842" spans="1:8" ht="47.25">
      <c r="A842" s="30" t="s">
        <v>289</v>
      </c>
      <c r="B842" s="20" t="s">
        <v>1035</v>
      </c>
      <c r="C842" s="41" t="s">
        <v>281</v>
      </c>
      <c r="D842" s="41" t="s">
        <v>232</v>
      </c>
      <c r="E842" s="2">
        <v>600</v>
      </c>
      <c r="F842" s="2"/>
      <c r="G842" s="6">
        <f>G843</f>
        <v>300.7</v>
      </c>
      <c r="H842" s="6">
        <f>H843</f>
        <v>300.7</v>
      </c>
    </row>
    <row r="843" spans="1:8" ht="15.75">
      <c r="A843" s="208" t="s">
        <v>291</v>
      </c>
      <c r="B843" s="20" t="s">
        <v>1035</v>
      </c>
      <c r="C843" s="41" t="s">
        <v>281</v>
      </c>
      <c r="D843" s="41" t="s">
        <v>232</v>
      </c>
      <c r="E843" s="2">
        <v>610</v>
      </c>
      <c r="F843" s="2"/>
      <c r="G843" s="6">
        <f>'пр.6.1.ведом.21-22'!G667</f>
        <v>300.7</v>
      </c>
      <c r="H843" s="6">
        <f>'пр.6.1.ведом.21-22'!H667</f>
        <v>300.7</v>
      </c>
    </row>
    <row r="844" spans="1:8" ht="31.5">
      <c r="A844" s="46" t="s">
        <v>420</v>
      </c>
      <c r="B844" s="20" t="s">
        <v>1035</v>
      </c>
      <c r="C844" s="41" t="s">
        <v>281</v>
      </c>
      <c r="D844" s="41" t="s">
        <v>232</v>
      </c>
      <c r="E844" s="2">
        <v>610</v>
      </c>
      <c r="F844" s="2">
        <v>906</v>
      </c>
      <c r="G844" s="6">
        <f>G843</f>
        <v>300.7</v>
      </c>
      <c r="H844" s="6">
        <f>H843</f>
        <v>300.7</v>
      </c>
    </row>
    <row r="845" spans="1:8" ht="47.25">
      <c r="A845" s="107" t="s">
        <v>1166</v>
      </c>
      <c r="B845" s="20" t="s">
        <v>953</v>
      </c>
      <c r="C845" s="41" t="s">
        <v>281</v>
      </c>
      <c r="D845" s="41" t="s">
        <v>232</v>
      </c>
      <c r="E845" s="2"/>
      <c r="F845" s="2"/>
      <c r="G845" s="6">
        <f>G846</f>
        <v>221</v>
      </c>
      <c r="H845" s="6">
        <f>H846</f>
        <v>221</v>
      </c>
    </row>
    <row r="846" spans="1:8" ht="31.5">
      <c r="A846" s="25" t="s">
        <v>148</v>
      </c>
      <c r="B846" s="20" t="s">
        <v>953</v>
      </c>
      <c r="C846" s="41" t="s">
        <v>281</v>
      </c>
      <c r="D846" s="41" t="s">
        <v>232</v>
      </c>
      <c r="E846" s="2">
        <v>200</v>
      </c>
      <c r="F846" s="2"/>
      <c r="G846" s="6">
        <f>G847</f>
        <v>221</v>
      </c>
      <c r="H846" s="6">
        <f>H847</f>
        <v>221</v>
      </c>
    </row>
    <row r="847" spans="1:8" ht="47.25">
      <c r="A847" s="25" t="s">
        <v>150</v>
      </c>
      <c r="B847" s="20" t="s">
        <v>953</v>
      </c>
      <c r="C847" s="41" t="s">
        <v>281</v>
      </c>
      <c r="D847" s="41" t="s">
        <v>232</v>
      </c>
      <c r="E847" s="2">
        <v>240</v>
      </c>
      <c r="F847" s="2"/>
      <c r="G847" s="6">
        <f>'Пр.6 ведом.20'!G301</f>
        <v>221</v>
      </c>
      <c r="H847" s="6">
        <f>'Пр.6 ведом.20'!H301</f>
        <v>221</v>
      </c>
    </row>
    <row r="848" spans="1:8" ht="47.25">
      <c r="A848" s="25" t="s">
        <v>278</v>
      </c>
      <c r="B848" s="20" t="s">
        <v>953</v>
      </c>
      <c r="C848" s="41" t="s">
        <v>281</v>
      </c>
      <c r="D848" s="41" t="s">
        <v>232</v>
      </c>
      <c r="E848" s="2">
        <v>240</v>
      </c>
      <c r="F848" s="2">
        <v>903</v>
      </c>
      <c r="G848" s="6">
        <f>'пр.6.1.ведом.21-22'!G301</f>
        <v>221</v>
      </c>
      <c r="H848" s="6">
        <f>'пр.6.1.ведом.21-22'!H301</f>
        <v>221</v>
      </c>
    </row>
    <row r="849" spans="1:8" ht="15.75">
      <c r="A849" s="25" t="s">
        <v>315</v>
      </c>
      <c r="B849" s="20" t="s">
        <v>952</v>
      </c>
      <c r="C849" s="41" t="s">
        <v>316</v>
      </c>
      <c r="D849" s="41"/>
      <c r="E849" s="2"/>
      <c r="F849" s="2"/>
      <c r="G849" s="6">
        <f aca="true" t="shared" si="133" ref="G849:H852">G850</f>
        <v>793.2</v>
      </c>
      <c r="H849" s="6">
        <f t="shared" si="133"/>
        <v>793.2</v>
      </c>
    </row>
    <row r="850" spans="1:8" ht="15.75">
      <c r="A850" s="25" t="s">
        <v>317</v>
      </c>
      <c r="B850" s="20" t="s">
        <v>952</v>
      </c>
      <c r="C850" s="41" t="s">
        <v>316</v>
      </c>
      <c r="D850" s="41" t="s">
        <v>135</v>
      </c>
      <c r="E850" s="2"/>
      <c r="F850" s="2"/>
      <c r="G850" s="6">
        <f t="shared" si="133"/>
        <v>793.2</v>
      </c>
      <c r="H850" s="6">
        <f t="shared" si="133"/>
        <v>793.2</v>
      </c>
    </row>
    <row r="851" spans="1:8" ht="47.25">
      <c r="A851" s="46" t="s">
        <v>803</v>
      </c>
      <c r="B851" s="20" t="s">
        <v>953</v>
      </c>
      <c r="C851" s="41" t="s">
        <v>316</v>
      </c>
      <c r="D851" s="41" t="s">
        <v>135</v>
      </c>
      <c r="E851" s="2"/>
      <c r="F851" s="2"/>
      <c r="G851" s="6">
        <f t="shared" si="133"/>
        <v>793.2</v>
      </c>
      <c r="H851" s="6">
        <f t="shared" si="133"/>
        <v>793.2</v>
      </c>
    </row>
    <row r="852" spans="1:8" ht="31.5">
      <c r="A852" s="25" t="s">
        <v>148</v>
      </c>
      <c r="B852" s="20" t="s">
        <v>953</v>
      </c>
      <c r="C852" s="41" t="s">
        <v>316</v>
      </c>
      <c r="D852" s="41" t="s">
        <v>135</v>
      </c>
      <c r="E852" s="2">
        <v>200</v>
      </c>
      <c r="F852" s="2"/>
      <c r="G852" s="6">
        <f t="shared" si="133"/>
        <v>793.2</v>
      </c>
      <c r="H852" s="6">
        <f t="shared" si="133"/>
        <v>793.2</v>
      </c>
    </row>
    <row r="853" spans="1:8" ht="47.25">
      <c r="A853" s="25" t="s">
        <v>150</v>
      </c>
      <c r="B853" s="20" t="s">
        <v>953</v>
      </c>
      <c r="C853" s="41" t="s">
        <v>316</v>
      </c>
      <c r="D853" s="41" t="s">
        <v>135</v>
      </c>
      <c r="E853" s="2">
        <v>240</v>
      </c>
      <c r="F853" s="2"/>
      <c r="G853" s="6">
        <f>'пр.6.1.ведом.21-22'!G388</f>
        <v>793.2</v>
      </c>
      <c r="H853" s="6">
        <f>'пр.6.1.ведом.21-22'!H388</f>
        <v>793.2</v>
      </c>
    </row>
    <row r="854" spans="1:8" ht="47.25">
      <c r="A854" s="25" t="s">
        <v>278</v>
      </c>
      <c r="B854" s="20" t="s">
        <v>953</v>
      </c>
      <c r="C854" s="41" t="s">
        <v>316</v>
      </c>
      <c r="D854" s="41" t="s">
        <v>135</v>
      </c>
      <c r="E854" s="2">
        <v>240</v>
      </c>
      <c r="F854" s="2">
        <v>903</v>
      </c>
      <c r="G854" s="6">
        <f>G853</f>
        <v>793.2</v>
      </c>
      <c r="H854" s="6">
        <f>H853</f>
        <v>793.2</v>
      </c>
    </row>
    <row r="855" spans="1:8" ht="15.75">
      <c r="A855" s="25" t="s">
        <v>507</v>
      </c>
      <c r="B855" s="20" t="s">
        <v>952</v>
      </c>
      <c r="C855" s="41" t="s">
        <v>508</v>
      </c>
      <c r="D855" s="41"/>
      <c r="E855" s="2"/>
      <c r="F855" s="2"/>
      <c r="G855" s="6">
        <f aca="true" t="shared" si="134" ref="G855:H858">G856</f>
        <v>540.1</v>
      </c>
      <c r="H855" s="6">
        <f t="shared" si="134"/>
        <v>540.1</v>
      </c>
    </row>
    <row r="856" spans="1:8" ht="15.75">
      <c r="A856" s="25" t="s">
        <v>1288</v>
      </c>
      <c r="B856" s="20" t="s">
        <v>952</v>
      </c>
      <c r="C856" s="41" t="s">
        <v>508</v>
      </c>
      <c r="D856" s="41" t="s">
        <v>135</v>
      </c>
      <c r="E856" s="2"/>
      <c r="F856" s="2"/>
      <c r="G856" s="6">
        <f t="shared" si="134"/>
        <v>540.1</v>
      </c>
      <c r="H856" s="6">
        <f t="shared" si="134"/>
        <v>540.1</v>
      </c>
    </row>
    <row r="857" spans="1:8" ht="47.25">
      <c r="A857" s="46" t="s">
        <v>805</v>
      </c>
      <c r="B857" s="20" t="s">
        <v>1035</v>
      </c>
      <c r="C857" s="41" t="s">
        <v>508</v>
      </c>
      <c r="D857" s="41" t="s">
        <v>135</v>
      </c>
      <c r="E857" s="2"/>
      <c r="F857" s="2"/>
      <c r="G857" s="6">
        <f t="shared" si="134"/>
        <v>540.1</v>
      </c>
      <c r="H857" s="6">
        <f t="shared" si="134"/>
        <v>540.1</v>
      </c>
    </row>
    <row r="858" spans="1:8" ht="47.25">
      <c r="A858" s="30" t="s">
        <v>289</v>
      </c>
      <c r="B858" s="20" t="s">
        <v>1035</v>
      </c>
      <c r="C858" s="41" t="s">
        <v>508</v>
      </c>
      <c r="D858" s="41" t="s">
        <v>135</v>
      </c>
      <c r="E858" s="2">
        <v>600</v>
      </c>
      <c r="F858" s="2"/>
      <c r="G858" s="6">
        <f t="shared" si="134"/>
        <v>540.1</v>
      </c>
      <c r="H858" s="6">
        <f t="shared" si="134"/>
        <v>540.1</v>
      </c>
    </row>
    <row r="859" spans="1:8" ht="15.75">
      <c r="A859" s="208" t="s">
        <v>291</v>
      </c>
      <c r="B859" s="20" t="s">
        <v>1035</v>
      </c>
      <c r="C859" s="41" t="s">
        <v>508</v>
      </c>
      <c r="D859" s="41" t="s">
        <v>135</v>
      </c>
      <c r="E859" s="2">
        <v>610</v>
      </c>
      <c r="F859" s="2"/>
      <c r="G859" s="6">
        <f>'пр.6.1.ведом.21-22'!G752</f>
        <v>540.1</v>
      </c>
      <c r="H859" s="6">
        <f>'пр.6.1.ведом.21-22'!H752</f>
        <v>540.1</v>
      </c>
    </row>
    <row r="860" spans="1:8" ht="47.25">
      <c r="A860" s="46" t="s">
        <v>497</v>
      </c>
      <c r="B860" s="20" t="s">
        <v>1035</v>
      </c>
      <c r="C860" s="41" t="s">
        <v>508</v>
      </c>
      <c r="D860" s="41" t="s">
        <v>135</v>
      </c>
      <c r="E860" s="2">
        <v>610</v>
      </c>
      <c r="F860" s="2">
        <v>907</v>
      </c>
      <c r="G860" s="6">
        <f>G859</f>
        <v>540.1</v>
      </c>
      <c r="H860" s="6">
        <f>H859</f>
        <v>540.1</v>
      </c>
    </row>
    <row r="861" spans="1:8" ht="15.75">
      <c r="A861" s="30" t="s">
        <v>599</v>
      </c>
      <c r="B861" s="20" t="s">
        <v>952</v>
      </c>
      <c r="C861" s="41" t="s">
        <v>255</v>
      </c>
      <c r="D861" s="41"/>
      <c r="E861" s="2"/>
      <c r="F861" s="2"/>
      <c r="G861" s="6">
        <f aca="true" t="shared" si="135" ref="G861:H864">G862</f>
        <v>205</v>
      </c>
      <c r="H861" s="6">
        <f t="shared" si="135"/>
        <v>205</v>
      </c>
    </row>
    <row r="862" spans="1:8" ht="15.75">
      <c r="A862" s="30" t="s">
        <v>600</v>
      </c>
      <c r="B862" s="20" t="s">
        <v>952</v>
      </c>
      <c r="C862" s="41" t="s">
        <v>255</v>
      </c>
      <c r="D862" s="41" t="s">
        <v>230</v>
      </c>
      <c r="E862" s="2"/>
      <c r="F862" s="2"/>
      <c r="G862" s="6">
        <f t="shared" si="135"/>
        <v>205</v>
      </c>
      <c r="H862" s="6">
        <f t="shared" si="135"/>
        <v>205</v>
      </c>
    </row>
    <row r="863" spans="1:8" ht="47.25">
      <c r="A863" s="46" t="s">
        <v>803</v>
      </c>
      <c r="B863" s="20" t="s">
        <v>953</v>
      </c>
      <c r="C863" s="41" t="s">
        <v>255</v>
      </c>
      <c r="D863" s="41" t="s">
        <v>230</v>
      </c>
      <c r="E863" s="2"/>
      <c r="F863" s="2"/>
      <c r="G863" s="6">
        <f t="shared" si="135"/>
        <v>205</v>
      </c>
      <c r="H863" s="6">
        <f t="shared" si="135"/>
        <v>205</v>
      </c>
    </row>
    <row r="864" spans="1:8" ht="31.5">
      <c r="A864" s="25" t="s">
        <v>148</v>
      </c>
      <c r="B864" s="20" t="s">
        <v>953</v>
      </c>
      <c r="C864" s="41" t="s">
        <v>255</v>
      </c>
      <c r="D864" s="41" t="s">
        <v>230</v>
      </c>
      <c r="E864" s="2">
        <v>200</v>
      </c>
      <c r="F864" s="2"/>
      <c r="G864" s="6">
        <f t="shared" si="135"/>
        <v>205</v>
      </c>
      <c r="H864" s="6">
        <f t="shared" si="135"/>
        <v>205</v>
      </c>
    </row>
    <row r="865" spans="1:8" ht="47.25">
      <c r="A865" s="25" t="s">
        <v>150</v>
      </c>
      <c r="B865" s="20" t="s">
        <v>953</v>
      </c>
      <c r="C865" s="41" t="s">
        <v>255</v>
      </c>
      <c r="D865" s="41" t="s">
        <v>230</v>
      </c>
      <c r="E865" s="2">
        <v>240</v>
      </c>
      <c r="F865" s="2"/>
      <c r="G865" s="6">
        <f>'Пр.6 ведом.20'!G1051</f>
        <v>205</v>
      </c>
      <c r="H865" s="6">
        <f>'Пр.6 ведом.20'!H1051</f>
        <v>205</v>
      </c>
    </row>
    <row r="866" spans="1:8" ht="31.5">
      <c r="A866" s="46" t="s">
        <v>598</v>
      </c>
      <c r="B866" s="20" t="s">
        <v>953</v>
      </c>
      <c r="C866" s="41" t="s">
        <v>255</v>
      </c>
      <c r="D866" s="41" t="s">
        <v>230</v>
      </c>
      <c r="E866" s="2">
        <v>240</v>
      </c>
      <c r="F866" s="2">
        <v>913</v>
      </c>
      <c r="G866" s="6">
        <f>'пр.6.1.ведом.21-22'!G1051</f>
        <v>205</v>
      </c>
      <c r="H866" s="6">
        <f>'пр.6.1.ведом.21-22'!H1051</f>
        <v>205</v>
      </c>
    </row>
    <row r="867" spans="1:8" ht="47.25">
      <c r="A867" s="312" t="s">
        <v>1199</v>
      </c>
      <c r="B867" s="24" t="s">
        <v>904</v>
      </c>
      <c r="C867" s="7"/>
      <c r="D867" s="7"/>
      <c r="E867" s="3"/>
      <c r="F867" s="3"/>
      <c r="G867" s="4">
        <f aca="true" t="shared" si="136" ref="G867:H869">G868</f>
        <v>15</v>
      </c>
      <c r="H867" s="4">
        <f t="shared" si="136"/>
        <v>15</v>
      </c>
    </row>
    <row r="868" spans="1:8" ht="15.75">
      <c r="A868" s="329" t="s">
        <v>134</v>
      </c>
      <c r="B868" s="20" t="s">
        <v>904</v>
      </c>
      <c r="C868" s="41" t="s">
        <v>135</v>
      </c>
      <c r="D868" s="41"/>
      <c r="E868" s="2"/>
      <c r="F868" s="2"/>
      <c r="G868" s="6">
        <f t="shared" si="136"/>
        <v>15</v>
      </c>
      <c r="H868" s="6">
        <f t="shared" si="136"/>
        <v>15</v>
      </c>
    </row>
    <row r="869" spans="1:8" ht="15.75">
      <c r="A869" s="329" t="s">
        <v>156</v>
      </c>
      <c r="B869" s="20" t="s">
        <v>904</v>
      </c>
      <c r="C869" s="41" t="s">
        <v>135</v>
      </c>
      <c r="D869" s="41" t="s">
        <v>157</v>
      </c>
      <c r="E869" s="2"/>
      <c r="F869" s="2"/>
      <c r="G869" s="6">
        <f t="shared" si="136"/>
        <v>15</v>
      </c>
      <c r="H869" s="6">
        <f t="shared" si="136"/>
        <v>15</v>
      </c>
    </row>
    <row r="870" spans="1:8" ht="56.25" customHeight="1">
      <c r="A870" s="391" t="s">
        <v>1167</v>
      </c>
      <c r="B870" s="20" t="s">
        <v>899</v>
      </c>
      <c r="C870" s="41" t="s">
        <v>135</v>
      </c>
      <c r="D870" s="41" t="s">
        <v>157</v>
      </c>
      <c r="E870" s="2"/>
      <c r="F870" s="2"/>
      <c r="G870" s="6">
        <f aca="true" t="shared" si="137" ref="G870:H871">G871</f>
        <v>15</v>
      </c>
      <c r="H870" s="6">
        <f t="shared" si="137"/>
        <v>15</v>
      </c>
    </row>
    <row r="871" spans="1:8" ht="31.5">
      <c r="A871" s="25" t="s">
        <v>148</v>
      </c>
      <c r="B871" s="20" t="s">
        <v>899</v>
      </c>
      <c r="C871" s="41" t="s">
        <v>135</v>
      </c>
      <c r="D871" s="41" t="s">
        <v>157</v>
      </c>
      <c r="E871" s="2">
        <v>200</v>
      </c>
      <c r="F871" s="2"/>
      <c r="G871" s="6">
        <f t="shared" si="137"/>
        <v>15</v>
      </c>
      <c r="H871" s="6">
        <f t="shared" si="137"/>
        <v>15</v>
      </c>
    </row>
    <row r="872" spans="1:8" ht="47.25">
      <c r="A872" s="25" t="s">
        <v>150</v>
      </c>
      <c r="B872" s="20" t="s">
        <v>899</v>
      </c>
      <c r="C872" s="41" t="s">
        <v>135</v>
      </c>
      <c r="D872" s="41" t="s">
        <v>157</v>
      </c>
      <c r="E872" s="2">
        <v>240</v>
      </c>
      <c r="F872" s="2"/>
      <c r="G872" s="6">
        <f>'пр.6.1.ведом.21-22'!G110</f>
        <v>15</v>
      </c>
      <c r="H872" s="6">
        <f>'пр.6.1.ведом.21-22'!H110</f>
        <v>15</v>
      </c>
    </row>
    <row r="873" spans="1:8" ht="31.5">
      <c r="A873" s="30" t="s">
        <v>165</v>
      </c>
      <c r="B873" s="20" t="s">
        <v>899</v>
      </c>
      <c r="C873" s="41" t="s">
        <v>135</v>
      </c>
      <c r="D873" s="41" t="s">
        <v>157</v>
      </c>
      <c r="E873" s="2">
        <v>240</v>
      </c>
      <c r="F873" s="2">
        <v>902</v>
      </c>
      <c r="G873" s="6">
        <f>G872</f>
        <v>15</v>
      </c>
      <c r="H873" s="6">
        <f>H872</f>
        <v>15</v>
      </c>
    </row>
    <row r="874" spans="1:8" ht="78.75">
      <c r="A874" s="23" t="s">
        <v>824</v>
      </c>
      <c r="B874" s="24" t="s">
        <v>736</v>
      </c>
      <c r="C874" s="7"/>
      <c r="D874" s="7"/>
      <c r="E874" s="3"/>
      <c r="F874" s="3"/>
      <c r="G874" s="4">
        <f>G875</f>
        <v>500</v>
      </c>
      <c r="H874" s="4">
        <f>H875</f>
        <v>500</v>
      </c>
    </row>
    <row r="875" spans="1:8" ht="31.5">
      <c r="A875" s="23" t="s">
        <v>1262</v>
      </c>
      <c r="B875" s="24" t="s">
        <v>1311</v>
      </c>
      <c r="C875" s="7"/>
      <c r="D875" s="7"/>
      <c r="E875" s="3"/>
      <c r="F875" s="3"/>
      <c r="G875" s="4">
        <f>G876</f>
        <v>500</v>
      </c>
      <c r="H875" s="4">
        <f>H876</f>
        <v>500</v>
      </c>
    </row>
    <row r="876" spans="1:8" ht="15.75">
      <c r="A876" s="25" t="s">
        <v>407</v>
      </c>
      <c r="B876" s="20" t="s">
        <v>885</v>
      </c>
      <c r="C876" s="41" t="s">
        <v>251</v>
      </c>
      <c r="D876" s="41"/>
      <c r="E876" s="2"/>
      <c r="F876" s="2"/>
      <c r="G876" s="6">
        <f aca="true" t="shared" si="138" ref="G876:H879">G877</f>
        <v>500</v>
      </c>
      <c r="H876" s="6">
        <f t="shared" si="138"/>
        <v>500</v>
      </c>
    </row>
    <row r="877" spans="1:8" ht="15.75">
      <c r="A877" s="25" t="s">
        <v>558</v>
      </c>
      <c r="B877" s="20" t="s">
        <v>885</v>
      </c>
      <c r="C877" s="41" t="s">
        <v>251</v>
      </c>
      <c r="D877" s="41" t="s">
        <v>232</v>
      </c>
      <c r="E877" s="2"/>
      <c r="F877" s="2"/>
      <c r="G877" s="6">
        <f t="shared" si="138"/>
        <v>500</v>
      </c>
      <c r="H877" s="6">
        <f t="shared" si="138"/>
        <v>500</v>
      </c>
    </row>
    <row r="878" spans="1:8" ht="63">
      <c r="A878" s="86" t="s">
        <v>711</v>
      </c>
      <c r="B878" s="20" t="s">
        <v>885</v>
      </c>
      <c r="C878" s="41" t="s">
        <v>251</v>
      </c>
      <c r="D878" s="41" t="s">
        <v>232</v>
      </c>
      <c r="E878" s="2"/>
      <c r="F878" s="2"/>
      <c r="G878" s="6">
        <f t="shared" si="138"/>
        <v>500</v>
      </c>
      <c r="H878" s="6">
        <f t="shared" si="138"/>
        <v>500</v>
      </c>
    </row>
    <row r="879" spans="1:8" ht="31.5">
      <c r="A879" s="25" t="s">
        <v>148</v>
      </c>
      <c r="B879" s="20" t="s">
        <v>885</v>
      </c>
      <c r="C879" s="41" t="s">
        <v>251</v>
      </c>
      <c r="D879" s="41" t="s">
        <v>232</v>
      </c>
      <c r="E879" s="2">
        <v>200</v>
      </c>
      <c r="F879" s="2"/>
      <c r="G879" s="6">
        <f t="shared" si="138"/>
        <v>500</v>
      </c>
      <c r="H879" s="6">
        <f t="shared" si="138"/>
        <v>500</v>
      </c>
    </row>
    <row r="880" spans="1:8" ht="47.25">
      <c r="A880" s="25" t="s">
        <v>150</v>
      </c>
      <c r="B880" s="20" t="s">
        <v>885</v>
      </c>
      <c r="C880" s="41" t="s">
        <v>251</v>
      </c>
      <c r="D880" s="41" t="s">
        <v>232</v>
      </c>
      <c r="E880" s="2">
        <v>240</v>
      </c>
      <c r="F880" s="2"/>
      <c r="G880" s="6">
        <f>'пр.6.1.ведом.21-22'!G945</f>
        <v>500</v>
      </c>
      <c r="H880" s="6">
        <f>'пр.6.1.ведом.21-22'!H945</f>
        <v>500</v>
      </c>
    </row>
    <row r="881" spans="1:8" ht="47.25">
      <c r="A881" s="46" t="s">
        <v>641</v>
      </c>
      <c r="B881" s="20" t="s">
        <v>885</v>
      </c>
      <c r="C881" s="41" t="s">
        <v>251</v>
      </c>
      <c r="D881" s="41" t="s">
        <v>232</v>
      </c>
      <c r="E881" s="2">
        <v>240</v>
      </c>
      <c r="F881" s="2">
        <v>908</v>
      </c>
      <c r="G881" s="6">
        <f>G880</f>
        <v>500</v>
      </c>
      <c r="H881" s="6">
        <f>H880</f>
        <v>500</v>
      </c>
    </row>
    <row r="882" spans="1:8" ht="78.75">
      <c r="A882" s="60" t="s">
        <v>1191</v>
      </c>
      <c r="B882" s="24" t="s">
        <v>808</v>
      </c>
      <c r="C882" s="7"/>
      <c r="D882" s="7"/>
      <c r="E882" s="3"/>
      <c r="F882" s="3"/>
      <c r="G882" s="4">
        <f>G884</f>
        <v>239.82</v>
      </c>
      <c r="H882" s="4">
        <f>H884</f>
        <v>239.82</v>
      </c>
    </row>
    <row r="883" spans="1:8" ht="31.5">
      <c r="A883" s="23" t="s">
        <v>1010</v>
      </c>
      <c r="B883" s="24" t="s">
        <v>1193</v>
      </c>
      <c r="C883" s="7"/>
      <c r="D883" s="7"/>
      <c r="E883" s="3"/>
      <c r="F883" s="3"/>
      <c r="G883" s="4">
        <f aca="true" t="shared" si="139" ref="G883:H887">G884</f>
        <v>239.82</v>
      </c>
      <c r="H883" s="4">
        <f t="shared" si="139"/>
        <v>239.82</v>
      </c>
    </row>
    <row r="884" spans="1:8" ht="15.75">
      <c r="A884" s="46" t="s">
        <v>134</v>
      </c>
      <c r="B884" s="20" t="s">
        <v>1193</v>
      </c>
      <c r="C884" s="41" t="s">
        <v>135</v>
      </c>
      <c r="D884" s="41"/>
      <c r="E884" s="2"/>
      <c r="F884" s="2"/>
      <c r="G884" s="6">
        <f t="shared" si="139"/>
        <v>239.82</v>
      </c>
      <c r="H884" s="6">
        <f t="shared" si="139"/>
        <v>239.82</v>
      </c>
    </row>
    <row r="885" spans="1:8" ht="15.75">
      <c r="A885" s="46" t="s">
        <v>156</v>
      </c>
      <c r="B885" s="20" t="s">
        <v>1193</v>
      </c>
      <c r="C885" s="41" t="s">
        <v>135</v>
      </c>
      <c r="D885" s="41" t="s">
        <v>157</v>
      </c>
      <c r="E885" s="2"/>
      <c r="F885" s="2"/>
      <c r="G885" s="6">
        <f t="shared" si="139"/>
        <v>239.82</v>
      </c>
      <c r="H885" s="6">
        <f t="shared" si="139"/>
        <v>239.82</v>
      </c>
    </row>
    <row r="886" spans="1:8" ht="31.5">
      <c r="A886" s="46" t="s">
        <v>818</v>
      </c>
      <c r="B886" s="20" t="s">
        <v>1194</v>
      </c>
      <c r="C886" s="41" t="s">
        <v>135</v>
      </c>
      <c r="D886" s="41" t="s">
        <v>157</v>
      </c>
      <c r="E886" s="2"/>
      <c r="F886" s="2"/>
      <c r="G886" s="6">
        <f t="shared" si="139"/>
        <v>239.82</v>
      </c>
      <c r="H886" s="6">
        <f t="shared" si="139"/>
        <v>239.82</v>
      </c>
    </row>
    <row r="887" spans="1:8" ht="31.5">
      <c r="A887" s="46" t="s">
        <v>148</v>
      </c>
      <c r="B887" s="20" t="s">
        <v>1194</v>
      </c>
      <c r="C887" s="41" t="s">
        <v>135</v>
      </c>
      <c r="D887" s="41" t="s">
        <v>157</v>
      </c>
      <c r="E887" s="2">
        <v>200</v>
      </c>
      <c r="F887" s="2"/>
      <c r="G887" s="6">
        <f t="shared" si="139"/>
        <v>239.82</v>
      </c>
      <c r="H887" s="6">
        <f t="shared" si="139"/>
        <v>239.82</v>
      </c>
    </row>
    <row r="888" spans="1:8" ht="47.25">
      <c r="A888" s="46" t="s">
        <v>150</v>
      </c>
      <c r="B888" s="20" t="s">
        <v>1194</v>
      </c>
      <c r="C888" s="41" t="s">
        <v>135</v>
      </c>
      <c r="D888" s="41" t="s">
        <v>157</v>
      </c>
      <c r="E888" s="2">
        <v>240</v>
      </c>
      <c r="F888" s="2"/>
      <c r="G888" s="6">
        <f>'пр.6.1.ведом.21-22'!G475</f>
        <v>239.82</v>
      </c>
      <c r="H888" s="6">
        <f>'пр.6.1.ведом.21-22'!H475</f>
        <v>239.82</v>
      </c>
    </row>
    <row r="889" spans="1:8" ht="47.25">
      <c r="A889" s="46" t="s">
        <v>404</v>
      </c>
      <c r="B889" s="20" t="s">
        <v>1194</v>
      </c>
      <c r="C889" s="41" t="s">
        <v>135</v>
      </c>
      <c r="D889" s="41" t="s">
        <v>157</v>
      </c>
      <c r="E889" s="2">
        <v>240</v>
      </c>
      <c r="F889" s="2">
        <v>905</v>
      </c>
      <c r="G889" s="6">
        <f>G888</f>
        <v>239.82</v>
      </c>
      <c r="H889" s="6">
        <f>H888</f>
        <v>239.82</v>
      </c>
    </row>
    <row r="890" spans="1:8" ht="94.5">
      <c r="A890" s="42" t="s">
        <v>1195</v>
      </c>
      <c r="B890" s="24" t="s">
        <v>865</v>
      </c>
      <c r="C890" s="7"/>
      <c r="D890" s="7"/>
      <c r="E890" s="3"/>
      <c r="F890" s="3"/>
      <c r="G890" s="4">
        <f>G892</f>
        <v>40</v>
      </c>
      <c r="H890" s="4">
        <f>H892</f>
        <v>40</v>
      </c>
    </row>
    <row r="891" spans="1:8" ht="47.25">
      <c r="A891" s="313" t="s">
        <v>905</v>
      </c>
      <c r="B891" s="24" t="s">
        <v>1279</v>
      </c>
      <c r="C891" s="7"/>
      <c r="D891" s="7"/>
      <c r="E891" s="3"/>
      <c r="F891" s="3"/>
      <c r="G891" s="4">
        <f aca="true" t="shared" si="140" ref="G891:H895">G892</f>
        <v>40</v>
      </c>
      <c r="H891" s="4">
        <f t="shared" si="140"/>
        <v>40</v>
      </c>
    </row>
    <row r="892" spans="1:8" ht="15.75">
      <c r="A892" s="46" t="s">
        <v>134</v>
      </c>
      <c r="B892" s="20" t="s">
        <v>1279</v>
      </c>
      <c r="C892" s="41" t="s">
        <v>135</v>
      </c>
      <c r="D892" s="41"/>
      <c r="E892" s="2"/>
      <c r="F892" s="2"/>
      <c r="G892" s="6">
        <f t="shared" si="140"/>
        <v>40</v>
      </c>
      <c r="H892" s="6">
        <f t="shared" si="140"/>
        <v>40</v>
      </c>
    </row>
    <row r="893" spans="1:8" ht="15.75">
      <c r="A893" s="46" t="s">
        <v>156</v>
      </c>
      <c r="B893" s="20" t="s">
        <v>1279</v>
      </c>
      <c r="C893" s="41" t="s">
        <v>135</v>
      </c>
      <c r="D893" s="41" t="s">
        <v>157</v>
      </c>
      <c r="E893" s="2"/>
      <c r="F893" s="2"/>
      <c r="G893" s="6">
        <f t="shared" si="140"/>
        <v>40</v>
      </c>
      <c r="H893" s="6">
        <f t="shared" si="140"/>
        <v>40</v>
      </c>
    </row>
    <row r="894" spans="1:8" ht="47.25">
      <c r="A894" s="105" t="s">
        <v>188</v>
      </c>
      <c r="B894" s="20" t="s">
        <v>906</v>
      </c>
      <c r="C894" s="41" t="s">
        <v>135</v>
      </c>
      <c r="D894" s="41" t="s">
        <v>157</v>
      </c>
      <c r="E894" s="2"/>
      <c r="F894" s="2"/>
      <c r="G894" s="6">
        <f t="shared" si="140"/>
        <v>40</v>
      </c>
      <c r="H894" s="6">
        <f t="shared" si="140"/>
        <v>40</v>
      </c>
    </row>
    <row r="895" spans="1:8" ht="31.5">
      <c r="A895" s="46" t="s">
        <v>148</v>
      </c>
      <c r="B895" s="20" t="s">
        <v>906</v>
      </c>
      <c r="C895" s="41" t="s">
        <v>135</v>
      </c>
      <c r="D895" s="41" t="s">
        <v>157</v>
      </c>
      <c r="E895" s="2">
        <v>200</v>
      </c>
      <c r="F895" s="2"/>
      <c r="G895" s="6">
        <f t="shared" si="140"/>
        <v>40</v>
      </c>
      <c r="H895" s="6">
        <f t="shared" si="140"/>
        <v>40</v>
      </c>
    </row>
    <row r="896" spans="1:8" ht="47.25">
      <c r="A896" s="46" t="s">
        <v>150</v>
      </c>
      <c r="B896" s="20" t="s">
        <v>906</v>
      </c>
      <c r="C896" s="41" t="s">
        <v>135</v>
      </c>
      <c r="D896" s="41" t="s">
        <v>157</v>
      </c>
      <c r="E896" s="2">
        <v>240</v>
      </c>
      <c r="F896" s="2"/>
      <c r="G896" s="6">
        <f>'пр.6.1.ведом.21-22'!G115</f>
        <v>40</v>
      </c>
      <c r="H896" s="6">
        <f>'пр.6.1.ведом.21-22'!H115</f>
        <v>40</v>
      </c>
    </row>
    <row r="897" spans="1:10" ht="31.5">
      <c r="A897" s="30" t="s">
        <v>165</v>
      </c>
      <c r="B897" s="20" t="s">
        <v>906</v>
      </c>
      <c r="C897" s="41" t="s">
        <v>135</v>
      </c>
      <c r="D897" s="41" t="s">
        <v>157</v>
      </c>
      <c r="E897" s="2">
        <v>240</v>
      </c>
      <c r="F897" s="2">
        <v>902</v>
      </c>
      <c r="G897" s="6">
        <f>G890</f>
        <v>40</v>
      </c>
      <c r="H897" s="6">
        <f>H890</f>
        <v>40</v>
      </c>
      <c r="J897" s="22"/>
    </row>
    <row r="898" spans="1:8" ht="78.75">
      <c r="A898" s="42" t="s">
        <v>1197</v>
      </c>
      <c r="B898" s="24" t="s">
        <v>866</v>
      </c>
      <c r="C898" s="7"/>
      <c r="D898" s="7"/>
      <c r="E898" s="3"/>
      <c r="F898" s="3"/>
      <c r="G898" s="4">
        <f>G900</f>
        <v>100</v>
      </c>
      <c r="H898" s="4">
        <f>H900</f>
        <v>100</v>
      </c>
    </row>
    <row r="899" spans="1:8" ht="31.5">
      <c r="A899" s="60" t="s">
        <v>907</v>
      </c>
      <c r="B899" s="24" t="s">
        <v>915</v>
      </c>
      <c r="C899" s="7"/>
      <c r="D899" s="7"/>
      <c r="E899" s="3"/>
      <c r="F899" s="3"/>
      <c r="G899" s="4">
        <f aca="true" t="shared" si="141" ref="G899:H903">G900</f>
        <v>100</v>
      </c>
      <c r="H899" s="4">
        <f t="shared" si="141"/>
        <v>100</v>
      </c>
    </row>
    <row r="900" spans="1:8" ht="15.75">
      <c r="A900" s="46" t="s">
        <v>134</v>
      </c>
      <c r="B900" s="20" t="s">
        <v>915</v>
      </c>
      <c r="C900" s="41" t="s">
        <v>135</v>
      </c>
      <c r="D900" s="41"/>
      <c r="E900" s="2"/>
      <c r="F900" s="2"/>
      <c r="G900" s="6">
        <f t="shared" si="141"/>
        <v>100</v>
      </c>
      <c r="H900" s="6">
        <f t="shared" si="141"/>
        <v>100</v>
      </c>
    </row>
    <row r="901" spans="1:8" ht="15.75">
      <c r="A901" s="46" t="s">
        <v>156</v>
      </c>
      <c r="B901" s="20" t="s">
        <v>915</v>
      </c>
      <c r="C901" s="41" t="s">
        <v>135</v>
      </c>
      <c r="D901" s="41" t="s">
        <v>157</v>
      </c>
      <c r="E901" s="2"/>
      <c r="F901" s="2"/>
      <c r="G901" s="6">
        <f t="shared" si="141"/>
        <v>100</v>
      </c>
      <c r="H901" s="6">
        <f t="shared" si="141"/>
        <v>100</v>
      </c>
    </row>
    <row r="902" spans="1:8" ht="31.5">
      <c r="A902" s="46" t="s">
        <v>192</v>
      </c>
      <c r="B902" s="20" t="s">
        <v>908</v>
      </c>
      <c r="C902" s="41" t="s">
        <v>135</v>
      </c>
      <c r="D902" s="41" t="s">
        <v>157</v>
      </c>
      <c r="E902" s="2"/>
      <c r="F902" s="2"/>
      <c r="G902" s="6">
        <f t="shared" si="141"/>
        <v>100</v>
      </c>
      <c r="H902" s="6">
        <f t="shared" si="141"/>
        <v>100</v>
      </c>
    </row>
    <row r="903" spans="1:8" ht="31.5">
      <c r="A903" s="46" t="s">
        <v>148</v>
      </c>
      <c r="B903" s="20" t="s">
        <v>908</v>
      </c>
      <c r="C903" s="41" t="s">
        <v>135</v>
      </c>
      <c r="D903" s="41" t="s">
        <v>157</v>
      </c>
      <c r="E903" s="2">
        <v>200</v>
      </c>
      <c r="F903" s="2"/>
      <c r="G903" s="6">
        <f t="shared" si="141"/>
        <v>100</v>
      </c>
      <c r="H903" s="6">
        <f t="shared" si="141"/>
        <v>100</v>
      </c>
    </row>
    <row r="904" spans="1:8" ht="47.25">
      <c r="A904" s="46" t="s">
        <v>150</v>
      </c>
      <c r="B904" s="20" t="s">
        <v>908</v>
      </c>
      <c r="C904" s="41" t="s">
        <v>135</v>
      </c>
      <c r="D904" s="41" t="s">
        <v>157</v>
      </c>
      <c r="E904" s="2">
        <v>240</v>
      </c>
      <c r="F904" s="2"/>
      <c r="G904" s="6">
        <f>'пр.6.1.ведом.21-22'!G120</f>
        <v>100</v>
      </c>
      <c r="H904" s="6">
        <f>'пр.6.1.ведом.21-22'!H120</f>
        <v>100</v>
      </c>
    </row>
    <row r="905" spans="1:8" ht="31.5">
      <c r="A905" s="30" t="s">
        <v>165</v>
      </c>
      <c r="B905" s="20" t="s">
        <v>908</v>
      </c>
      <c r="C905" s="41" t="s">
        <v>135</v>
      </c>
      <c r="D905" s="41" t="s">
        <v>157</v>
      </c>
      <c r="E905" s="2">
        <v>240</v>
      </c>
      <c r="F905" s="2">
        <v>902</v>
      </c>
      <c r="G905" s="6">
        <f>G898</f>
        <v>100</v>
      </c>
      <c r="H905" s="6">
        <f>H898</f>
        <v>100</v>
      </c>
    </row>
    <row r="906" spans="1:8" ht="15.75">
      <c r="A906" s="76" t="s">
        <v>675</v>
      </c>
      <c r="B906" s="76"/>
      <c r="C906" s="76"/>
      <c r="D906" s="76"/>
      <c r="E906" s="76"/>
      <c r="F906" s="76"/>
      <c r="G906" s="331">
        <f>G898+G890+G882+G874+G816+G781+G712+G655+G624+G482+G421+G413+G377+G365+G159+G26+G8+G731</f>
        <v>410730.39</v>
      </c>
      <c r="H906" s="331">
        <f>H898+H890+H882+H874+H816+H781+H712+H655+H624+H482+H421+H413+H377+H365+H159+H26+H8+H731</f>
        <v>410730.39</v>
      </c>
    </row>
  </sheetData>
  <mergeCells count="1"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 topLeftCell="A31">
      <selection activeCell="K9" sqref="K9"/>
    </sheetView>
  </sheetViews>
  <sheetFormatPr defaultColWidth="9.140625" defaultRowHeight="15"/>
  <cols>
    <col min="1" max="1" width="33.28125" style="0" customWidth="1"/>
    <col min="2" max="2" width="15.57421875" style="252" customWidth="1"/>
    <col min="4" max="4" width="8.00390625" style="0" customWidth="1"/>
    <col min="5" max="5" width="8.8515625" style="252" customWidth="1"/>
    <col min="6" max="6" width="13.7109375" style="0" customWidth="1"/>
    <col min="7" max="7" width="15.140625" style="0" customWidth="1"/>
  </cols>
  <sheetData>
    <row r="1" spans="1:7" ht="18.75" customHeight="1">
      <c r="A1" s="415"/>
      <c r="B1" s="415"/>
      <c r="C1" s="415"/>
      <c r="D1" s="12"/>
      <c r="E1" s="12"/>
      <c r="G1" s="236" t="s">
        <v>1300</v>
      </c>
    </row>
    <row r="2" spans="1:7" ht="18.75" customHeight="1">
      <c r="A2" s="415"/>
      <c r="B2" s="415"/>
      <c r="C2" s="415"/>
      <c r="D2" s="12"/>
      <c r="E2" s="12"/>
      <c r="G2" s="236" t="s">
        <v>1</v>
      </c>
    </row>
    <row r="3" spans="1:7" ht="15.75">
      <c r="A3" s="12"/>
      <c r="B3" s="12"/>
      <c r="C3" s="12"/>
      <c r="D3" s="12"/>
      <c r="E3" s="12"/>
      <c r="F3" s="12"/>
      <c r="G3" s="65"/>
    </row>
    <row r="4" spans="1:7" ht="15">
      <c r="A4" s="414" t="s">
        <v>1392</v>
      </c>
      <c r="B4" s="414"/>
      <c r="C4" s="414"/>
      <c r="D4" s="414"/>
      <c r="E4" s="414"/>
      <c r="F4" s="414"/>
      <c r="G4" s="414"/>
    </row>
    <row r="5" spans="1:7" ht="15">
      <c r="A5" s="414"/>
      <c r="B5" s="414"/>
      <c r="C5" s="414"/>
      <c r="D5" s="414"/>
      <c r="E5" s="414"/>
      <c r="F5" s="414"/>
      <c r="G5" s="414"/>
    </row>
    <row r="6" spans="1:7" ht="16.5">
      <c r="A6" s="210"/>
      <c r="B6" s="340"/>
      <c r="C6" s="210"/>
      <c r="D6" s="210"/>
      <c r="E6" s="340"/>
      <c r="F6" s="210"/>
      <c r="G6" s="210"/>
    </row>
    <row r="7" spans="1:7" ht="15.75">
      <c r="A7" s="12"/>
      <c r="B7" s="12"/>
      <c r="C7" s="12"/>
      <c r="D7" s="12"/>
      <c r="E7" s="12"/>
      <c r="F7" s="83"/>
      <c r="G7" s="69" t="s">
        <v>2</v>
      </c>
    </row>
    <row r="8" spans="1:7" ht="31.5">
      <c r="A8" s="84" t="s">
        <v>610</v>
      </c>
      <c r="B8" s="84" t="s">
        <v>1317</v>
      </c>
      <c r="C8" s="84" t="s">
        <v>1315</v>
      </c>
      <c r="D8" s="84" t="s">
        <v>130</v>
      </c>
      <c r="E8" s="84" t="s">
        <v>1316</v>
      </c>
      <c r="F8" s="84" t="s">
        <v>128</v>
      </c>
      <c r="G8" s="70" t="s">
        <v>1207</v>
      </c>
    </row>
    <row r="9" spans="1:7" s="252" customFormat="1" ht="78.75">
      <c r="A9" s="352" t="s">
        <v>1218</v>
      </c>
      <c r="B9" s="20" t="s">
        <v>1239</v>
      </c>
      <c r="C9" s="41"/>
      <c r="D9" s="41"/>
      <c r="E9" s="41"/>
      <c r="F9" s="5"/>
      <c r="G9" s="85">
        <f>G10</f>
        <v>50</v>
      </c>
    </row>
    <row r="10" spans="1:7" s="252" customFormat="1" ht="15.75">
      <c r="A10" s="46" t="s">
        <v>280</v>
      </c>
      <c r="B10" s="20" t="s">
        <v>1239</v>
      </c>
      <c r="C10" s="41" t="s">
        <v>281</v>
      </c>
      <c r="D10" s="41"/>
      <c r="E10" s="232"/>
      <c r="F10" s="5"/>
      <c r="G10" s="85">
        <f>G11</f>
        <v>50</v>
      </c>
    </row>
    <row r="11" spans="1:7" s="252" customFormat="1" ht="31.5">
      <c r="A11" s="46" t="s">
        <v>483</v>
      </c>
      <c r="B11" s="20" t="s">
        <v>1239</v>
      </c>
      <c r="C11" s="41" t="s">
        <v>281</v>
      </c>
      <c r="D11" s="41" t="s">
        <v>281</v>
      </c>
      <c r="E11" s="232"/>
      <c r="F11" s="5"/>
      <c r="G11" s="85">
        <f>G12</f>
        <v>50</v>
      </c>
    </row>
    <row r="12" spans="1:7" ht="31.5">
      <c r="A12" s="30" t="s">
        <v>265</v>
      </c>
      <c r="B12" s="20" t="s">
        <v>1239</v>
      </c>
      <c r="C12" s="41" t="s">
        <v>281</v>
      </c>
      <c r="D12" s="41" t="s">
        <v>281</v>
      </c>
      <c r="E12" s="41" t="s">
        <v>266</v>
      </c>
      <c r="F12" s="5"/>
      <c r="G12" s="85">
        <f>G13</f>
        <v>50</v>
      </c>
    </row>
    <row r="13" spans="1:7" ht="39" customHeight="1">
      <c r="A13" s="30" t="s">
        <v>365</v>
      </c>
      <c r="B13" s="20" t="s">
        <v>1239</v>
      </c>
      <c r="C13" s="41" t="s">
        <v>281</v>
      </c>
      <c r="D13" s="41" t="s">
        <v>281</v>
      </c>
      <c r="E13" s="41" t="s">
        <v>366</v>
      </c>
      <c r="F13" s="5"/>
      <c r="G13" s="85">
        <f>G14</f>
        <v>50</v>
      </c>
    </row>
    <row r="14" spans="1:7" s="252" customFormat="1" ht="66" customHeight="1">
      <c r="A14" s="46" t="s">
        <v>676</v>
      </c>
      <c r="B14" s="20" t="s">
        <v>1239</v>
      </c>
      <c r="C14" s="41" t="s">
        <v>281</v>
      </c>
      <c r="D14" s="41" t="s">
        <v>281</v>
      </c>
      <c r="E14" s="41" t="s">
        <v>366</v>
      </c>
      <c r="F14" s="5">
        <v>903</v>
      </c>
      <c r="G14" s="85">
        <f>'Пр.6 ведом.20'!G321</f>
        <v>50</v>
      </c>
    </row>
    <row r="15" spans="1:7" s="252" customFormat="1" ht="42.75" customHeight="1">
      <c r="A15" s="25" t="s">
        <v>1220</v>
      </c>
      <c r="B15" s="20" t="s">
        <v>984</v>
      </c>
      <c r="C15" s="41"/>
      <c r="D15" s="41"/>
      <c r="E15" s="41"/>
      <c r="F15" s="5"/>
      <c r="G15" s="85">
        <f>G16</f>
        <v>420</v>
      </c>
    </row>
    <row r="16" spans="1:7" s="252" customFormat="1" ht="20.25" customHeight="1">
      <c r="A16" s="25" t="s">
        <v>1302</v>
      </c>
      <c r="B16" s="20" t="s">
        <v>984</v>
      </c>
      <c r="C16" s="41" t="s">
        <v>261</v>
      </c>
      <c r="D16" s="41"/>
      <c r="E16" s="41"/>
      <c r="F16" s="5"/>
      <c r="G16" s="85">
        <f>G17</f>
        <v>420</v>
      </c>
    </row>
    <row r="17" spans="1:7" s="252" customFormat="1" ht="37.5" customHeight="1">
      <c r="A17" s="30" t="s">
        <v>269</v>
      </c>
      <c r="B17" s="20" t="s">
        <v>984</v>
      </c>
      <c r="C17" s="41" t="s">
        <v>261</v>
      </c>
      <c r="D17" s="41" t="s">
        <v>232</v>
      </c>
      <c r="E17" s="41"/>
      <c r="F17" s="5"/>
      <c r="G17" s="85">
        <f>G18</f>
        <v>420</v>
      </c>
    </row>
    <row r="18" spans="1:7" s="252" customFormat="1" ht="33.75" customHeight="1">
      <c r="A18" s="25" t="s">
        <v>265</v>
      </c>
      <c r="B18" s="20" t="s">
        <v>984</v>
      </c>
      <c r="C18" s="41" t="s">
        <v>261</v>
      </c>
      <c r="D18" s="41" t="s">
        <v>232</v>
      </c>
      <c r="E18" s="41" t="s">
        <v>266</v>
      </c>
      <c r="F18" s="5"/>
      <c r="G18" s="85">
        <f>G19</f>
        <v>420</v>
      </c>
    </row>
    <row r="19" spans="1:7" s="252" customFormat="1" ht="37.5" customHeight="1">
      <c r="A19" s="25" t="s">
        <v>365</v>
      </c>
      <c r="B19" s="20" t="s">
        <v>984</v>
      </c>
      <c r="C19" s="41" t="s">
        <v>261</v>
      </c>
      <c r="D19" s="41" t="s">
        <v>232</v>
      </c>
      <c r="E19" s="41" t="s">
        <v>366</v>
      </c>
      <c r="F19" s="5"/>
      <c r="G19" s="85">
        <f>G20</f>
        <v>420</v>
      </c>
    </row>
    <row r="20" spans="1:7" s="252" customFormat="1" ht="66" customHeight="1">
      <c r="A20" s="46" t="s">
        <v>676</v>
      </c>
      <c r="B20" s="20" t="s">
        <v>984</v>
      </c>
      <c r="C20" s="41" t="s">
        <v>261</v>
      </c>
      <c r="D20" s="41" t="s">
        <v>232</v>
      </c>
      <c r="E20" s="41" t="s">
        <v>366</v>
      </c>
      <c r="F20" s="5">
        <v>903</v>
      </c>
      <c r="G20" s="85">
        <f>'Пр.6 ведом.20'!G430</f>
        <v>420</v>
      </c>
    </row>
    <row r="21" spans="1:7" s="252" customFormat="1" ht="91.5" customHeight="1">
      <c r="A21" s="107" t="s">
        <v>1223</v>
      </c>
      <c r="B21" s="20" t="s">
        <v>987</v>
      </c>
      <c r="C21" s="41"/>
      <c r="D21" s="41"/>
      <c r="E21" s="41"/>
      <c r="F21" s="5"/>
      <c r="G21" s="85">
        <f>G22</f>
        <v>920</v>
      </c>
    </row>
    <row r="22" spans="1:7" ht="15.75">
      <c r="A22" s="86" t="s">
        <v>260</v>
      </c>
      <c r="B22" s="20" t="s">
        <v>987</v>
      </c>
      <c r="C22" s="9" t="s">
        <v>261</v>
      </c>
      <c r="D22" s="9"/>
      <c r="E22" s="9"/>
      <c r="F22" s="9"/>
      <c r="G22" s="341">
        <f>G23</f>
        <v>920</v>
      </c>
    </row>
    <row r="23" spans="1:7" ht="31.5">
      <c r="A23" s="30" t="s">
        <v>269</v>
      </c>
      <c r="B23" s="20" t="s">
        <v>987</v>
      </c>
      <c r="C23" s="41" t="s">
        <v>261</v>
      </c>
      <c r="D23" s="41" t="s">
        <v>232</v>
      </c>
      <c r="E23" s="41"/>
      <c r="F23" s="5"/>
      <c r="G23" s="85">
        <f>G24</f>
        <v>920</v>
      </c>
    </row>
    <row r="24" spans="1:7" ht="31.5">
      <c r="A24" s="30" t="s">
        <v>265</v>
      </c>
      <c r="B24" s="20" t="s">
        <v>987</v>
      </c>
      <c r="C24" s="41" t="s">
        <v>261</v>
      </c>
      <c r="D24" s="41" t="s">
        <v>232</v>
      </c>
      <c r="E24" s="41" t="s">
        <v>266</v>
      </c>
      <c r="F24" s="5"/>
      <c r="G24" s="85">
        <f>G25</f>
        <v>920</v>
      </c>
    </row>
    <row r="25" spans="1:7" ht="47.25">
      <c r="A25" s="30" t="s">
        <v>365</v>
      </c>
      <c r="B25" s="20" t="s">
        <v>987</v>
      </c>
      <c r="C25" s="41" t="s">
        <v>261</v>
      </c>
      <c r="D25" s="41" t="s">
        <v>232</v>
      </c>
      <c r="E25" s="87" t="s">
        <v>366</v>
      </c>
      <c r="F25" s="5"/>
      <c r="G25" s="85">
        <f>G26</f>
        <v>920</v>
      </c>
    </row>
    <row r="26" spans="1:7" s="252" customFormat="1" ht="78.75">
      <c r="A26" s="46" t="s">
        <v>676</v>
      </c>
      <c r="B26" s="20" t="s">
        <v>987</v>
      </c>
      <c r="C26" s="41" t="s">
        <v>261</v>
      </c>
      <c r="D26" s="41" t="s">
        <v>232</v>
      </c>
      <c r="E26" s="87" t="s">
        <v>366</v>
      </c>
      <c r="F26" s="5">
        <v>903</v>
      </c>
      <c r="G26" s="85">
        <f>'Пр.6 ведом.20'!G435</f>
        <v>920</v>
      </c>
    </row>
    <row r="27" spans="1:7" ht="31.5">
      <c r="A27" s="25" t="s">
        <v>1157</v>
      </c>
      <c r="B27" s="20" t="s">
        <v>989</v>
      </c>
      <c r="C27" s="41"/>
      <c r="D27" s="41"/>
      <c r="E27" s="41"/>
      <c r="F27" s="5"/>
      <c r="G27" s="78">
        <f>G28</f>
        <v>210</v>
      </c>
    </row>
    <row r="28" spans="1:7" s="252" customFormat="1" ht="15.75">
      <c r="A28" s="86" t="s">
        <v>260</v>
      </c>
      <c r="B28" s="20" t="s">
        <v>989</v>
      </c>
      <c r="C28" s="41" t="s">
        <v>261</v>
      </c>
      <c r="D28" s="41"/>
      <c r="E28" s="41"/>
      <c r="F28" s="5"/>
      <c r="G28" s="78">
        <f>G29</f>
        <v>210</v>
      </c>
    </row>
    <row r="29" spans="1:7" ht="31.5">
      <c r="A29" s="30" t="s">
        <v>269</v>
      </c>
      <c r="B29" s="20" t="s">
        <v>989</v>
      </c>
      <c r="C29" s="41" t="s">
        <v>261</v>
      </c>
      <c r="D29" s="41" t="s">
        <v>232</v>
      </c>
      <c r="E29" s="41"/>
      <c r="F29" s="5"/>
      <c r="G29" s="78">
        <f>G30</f>
        <v>210</v>
      </c>
    </row>
    <row r="30" spans="1:7" ht="31.5">
      <c r="A30" s="30" t="s">
        <v>265</v>
      </c>
      <c r="B30" s="20" t="s">
        <v>989</v>
      </c>
      <c r="C30" s="41" t="s">
        <v>261</v>
      </c>
      <c r="D30" s="41" t="s">
        <v>232</v>
      </c>
      <c r="E30" s="41" t="s">
        <v>266</v>
      </c>
      <c r="F30" s="5"/>
      <c r="G30" s="78">
        <f>G31</f>
        <v>210</v>
      </c>
    </row>
    <row r="31" spans="1:7" ht="47.25">
      <c r="A31" s="30" t="s">
        <v>365</v>
      </c>
      <c r="B31" s="20" t="s">
        <v>989</v>
      </c>
      <c r="C31" s="41" t="s">
        <v>261</v>
      </c>
      <c r="D31" s="41" t="s">
        <v>232</v>
      </c>
      <c r="E31" s="41" t="s">
        <v>366</v>
      </c>
      <c r="F31" s="5"/>
      <c r="G31" s="78">
        <f>G32</f>
        <v>210</v>
      </c>
    </row>
    <row r="32" spans="1:7" s="252" customFormat="1" ht="78.75">
      <c r="A32" s="46" t="s">
        <v>676</v>
      </c>
      <c r="B32" s="20" t="s">
        <v>989</v>
      </c>
      <c r="C32" s="41" t="s">
        <v>261</v>
      </c>
      <c r="D32" s="41" t="s">
        <v>232</v>
      </c>
      <c r="E32" s="41" t="s">
        <v>366</v>
      </c>
      <c r="F32" s="5">
        <v>903</v>
      </c>
      <c r="G32" s="78">
        <f>'Пр.6 ведом.20'!G441</f>
        <v>210</v>
      </c>
    </row>
    <row r="33" spans="1:7" s="252" customFormat="1" ht="63">
      <c r="A33" s="25" t="s">
        <v>1224</v>
      </c>
      <c r="B33" s="20" t="s">
        <v>990</v>
      </c>
      <c r="C33" s="41"/>
      <c r="D33" s="41"/>
      <c r="E33" s="41"/>
      <c r="F33" s="5"/>
      <c r="G33" s="78">
        <f>G34</f>
        <v>250</v>
      </c>
    </row>
    <row r="34" spans="1:7" s="252" customFormat="1" ht="15.75">
      <c r="A34" s="86" t="s">
        <v>260</v>
      </c>
      <c r="B34" s="20" t="s">
        <v>990</v>
      </c>
      <c r="C34" s="41" t="s">
        <v>261</v>
      </c>
      <c r="D34" s="41"/>
      <c r="E34" s="41"/>
      <c r="F34" s="5"/>
      <c r="G34" s="85">
        <f>G35</f>
        <v>250</v>
      </c>
    </row>
    <row r="35" spans="1:7" ht="31.5">
      <c r="A35" s="30" t="s">
        <v>269</v>
      </c>
      <c r="B35" s="20" t="s">
        <v>990</v>
      </c>
      <c r="C35" s="41" t="s">
        <v>261</v>
      </c>
      <c r="D35" s="41" t="s">
        <v>232</v>
      </c>
      <c r="E35" s="41"/>
      <c r="F35" s="5">
        <v>903</v>
      </c>
      <c r="G35" s="85">
        <f>G36</f>
        <v>250</v>
      </c>
    </row>
    <row r="36" spans="1:7" ht="31.5">
      <c r="A36" s="30" t="s">
        <v>265</v>
      </c>
      <c r="B36" s="20" t="s">
        <v>990</v>
      </c>
      <c r="C36" s="41" t="s">
        <v>261</v>
      </c>
      <c r="D36" s="41" t="s">
        <v>232</v>
      </c>
      <c r="E36" s="41" t="s">
        <v>266</v>
      </c>
      <c r="F36" s="5">
        <v>903</v>
      </c>
      <c r="G36" s="85">
        <f>G37</f>
        <v>250</v>
      </c>
    </row>
    <row r="37" spans="1:7" ht="47.25">
      <c r="A37" s="30" t="s">
        <v>365</v>
      </c>
      <c r="B37" s="20" t="s">
        <v>990</v>
      </c>
      <c r="C37" s="41" t="s">
        <v>261</v>
      </c>
      <c r="D37" s="41" t="s">
        <v>232</v>
      </c>
      <c r="E37" s="41" t="s">
        <v>366</v>
      </c>
      <c r="F37" s="5">
        <v>903</v>
      </c>
      <c r="G37" s="78">
        <f>'Пр.6 ведом.20'!G446</f>
        <v>250</v>
      </c>
    </row>
    <row r="38" spans="1:7" s="252" customFormat="1" ht="78.75">
      <c r="A38" s="46" t="s">
        <v>676</v>
      </c>
      <c r="B38" s="20" t="s">
        <v>990</v>
      </c>
      <c r="C38" s="41" t="s">
        <v>261</v>
      </c>
      <c r="D38" s="41" t="s">
        <v>232</v>
      </c>
      <c r="E38" s="41" t="s">
        <v>366</v>
      </c>
      <c r="F38" s="5">
        <v>903</v>
      </c>
      <c r="G38" s="78">
        <f>'Пр.6 ведом.20'!G446</f>
        <v>250</v>
      </c>
    </row>
    <row r="39" spans="1:7" ht="15.75">
      <c r="A39" s="42" t="s">
        <v>675</v>
      </c>
      <c r="B39" s="392"/>
      <c r="C39" s="392"/>
      <c r="D39" s="392"/>
      <c r="E39" s="392"/>
      <c r="F39" s="42"/>
      <c r="G39" s="88">
        <f>G9+G15+G21+G27+G33</f>
        <v>1850</v>
      </c>
    </row>
  </sheetData>
  <mergeCells count="2">
    <mergeCell ref="A4:G5"/>
    <mergeCell ref="A1:C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 topLeftCell="A1">
      <selection activeCell="I4" sqref="I4"/>
    </sheetView>
  </sheetViews>
  <sheetFormatPr defaultColWidth="9.140625" defaultRowHeight="15"/>
  <cols>
    <col min="1" max="1" width="40.7109375" style="0" customWidth="1"/>
    <col min="2" max="2" width="16.8515625" style="0" customWidth="1"/>
    <col min="3" max="3" width="7.28125" style="0" customWidth="1"/>
    <col min="4" max="4" width="7.7109375" style="0" customWidth="1"/>
    <col min="6" max="6" width="8.28125" style="0" customWidth="1"/>
    <col min="7" max="7" width="9.28125" style="0" bestFit="1" customWidth="1"/>
    <col min="8" max="8" width="11.00390625" style="0" customWidth="1"/>
  </cols>
  <sheetData>
    <row r="1" spans="1:8" ht="15.75">
      <c r="A1" s="415"/>
      <c r="B1" s="415"/>
      <c r="C1" s="415"/>
      <c r="D1" s="12"/>
      <c r="E1" s="12"/>
      <c r="F1" s="252"/>
      <c r="H1" s="346" t="s">
        <v>1303</v>
      </c>
    </row>
    <row r="2" spans="1:8" ht="15.75">
      <c r="A2" s="415"/>
      <c r="B2" s="415"/>
      <c r="C2" s="415"/>
      <c r="D2" s="12"/>
      <c r="E2" s="12"/>
      <c r="F2" s="252"/>
      <c r="H2" s="346" t="s">
        <v>1</v>
      </c>
    </row>
    <row r="3" spans="1:7" ht="15.75">
      <c r="A3" s="12"/>
      <c r="B3" s="12"/>
      <c r="C3" s="12"/>
      <c r="D3" s="12"/>
      <c r="E3" s="12"/>
      <c r="F3" s="12"/>
      <c r="G3" s="65"/>
    </row>
    <row r="4" spans="1:8" ht="39" customHeight="1">
      <c r="A4" s="414" t="s">
        <v>1393</v>
      </c>
      <c r="B4" s="414"/>
      <c r="C4" s="414"/>
      <c r="D4" s="414"/>
      <c r="E4" s="414"/>
      <c r="F4" s="414"/>
      <c r="G4" s="414"/>
      <c r="H4" s="414"/>
    </row>
    <row r="5" spans="1:7" ht="16.5">
      <c r="A5" s="340"/>
      <c r="B5" s="340"/>
      <c r="C5" s="340"/>
      <c r="D5" s="340"/>
      <c r="E5" s="340"/>
      <c r="F5" s="340"/>
      <c r="G5" s="340"/>
    </row>
    <row r="6" spans="1:8" ht="15.75">
      <c r="A6" s="12"/>
      <c r="B6" s="12"/>
      <c r="C6" s="12"/>
      <c r="D6" s="12"/>
      <c r="E6" s="12"/>
      <c r="F6" s="83"/>
      <c r="H6" s="69" t="s">
        <v>2</v>
      </c>
    </row>
    <row r="7" spans="1:8" ht="47.25">
      <c r="A7" s="70" t="s">
        <v>610</v>
      </c>
      <c r="B7" s="70" t="s">
        <v>1317</v>
      </c>
      <c r="C7" s="70" t="s">
        <v>1315</v>
      </c>
      <c r="D7" s="70" t="s">
        <v>130</v>
      </c>
      <c r="E7" s="70" t="s">
        <v>1316</v>
      </c>
      <c r="F7" s="70" t="s">
        <v>128</v>
      </c>
      <c r="G7" s="70" t="s">
        <v>1208</v>
      </c>
      <c r="H7" s="70" t="s">
        <v>1209</v>
      </c>
    </row>
    <row r="8" spans="1:8" ht="68.25" customHeight="1">
      <c r="A8" s="352" t="s">
        <v>1218</v>
      </c>
      <c r="B8" s="20" t="s">
        <v>1239</v>
      </c>
      <c r="C8" s="41"/>
      <c r="D8" s="41"/>
      <c r="E8" s="41"/>
      <c r="F8" s="5"/>
      <c r="G8" s="85">
        <f aca="true" t="shared" si="0" ref="G8:H12">G9</f>
        <v>50</v>
      </c>
      <c r="H8" s="85">
        <f t="shared" si="0"/>
        <v>50</v>
      </c>
    </row>
    <row r="9" spans="1:8" ht="15.75">
      <c r="A9" s="46" t="s">
        <v>280</v>
      </c>
      <c r="B9" s="20" t="s">
        <v>1239</v>
      </c>
      <c r="C9" s="41" t="s">
        <v>281</v>
      </c>
      <c r="D9" s="41"/>
      <c r="E9" s="232"/>
      <c r="F9" s="5"/>
      <c r="G9" s="85">
        <f t="shared" si="0"/>
        <v>50</v>
      </c>
      <c r="H9" s="85">
        <f t="shared" si="0"/>
        <v>50</v>
      </c>
    </row>
    <row r="10" spans="1:8" ht="31.5">
      <c r="A10" s="46" t="s">
        <v>483</v>
      </c>
      <c r="B10" s="20" t="s">
        <v>1239</v>
      </c>
      <c r="C10" s="41" t="s">
        <v>281</v>
      </c>
      <c r="D10" s="41" t="s">
        <v>281</v>
      </c>
      <c r="E10" s="232"/>
      <c r="F10" s="5"/>
      <c r="G10" s="85">
        <f t="shared" si="0"/>
        <v>50</v>
      </c>
      <c r="H10" s="85">
        <f t="shared" si="0"/>
        <v>50</v>
      </c>
    </row>
    <row r="11" spans="1:8" ht="31.5">
      <c r="A11" s="30" t="s">
        <v>265</v>
      </c>
      <c r="B11" s="20" t="s">
        <v>1239</v>
      </c>
      <c r="C11" s="41" t="s">
        <v>281</v>
      </c>
      <c r="D11" s="41" t="s">
        <v>281</v>
      </c>
      <c r="E11" s="41" t="s">
        <v>266</v>
      </c>
      <c r="F11" s="5"/>
      <c r="G11" s="85">
        <f t="shared" si="0"/>
        <v>50</v>
      </c>
      <c r="H11" s="85">
        <f t="shared" si="0"/>
        <v>50</v>
      </c>
    </row>
    <row r="12" spans="1:8" ht="31.5">
      <c r="A12" s="30" t="s">
        <v>365</v>
      </c>
      <c r="B12" s="20" t="s">
        <v>1239</v>
      </c>
      <c r="C12" s="41" t="s">
        <v>281</v>
      </c>
      <c r="D12" s="41" t="s">
        <v>281</v>
      </c>
      <c r="E12" s="41" t="s">
        <v>366</v>
      </c>
      <c r="F12" s="5"/>
      <c r="G12" s="85">
        <f t="shared" si="0"/>
        <v>50</v>
      </c>
      <c r="H12" s="85">
        <f t="shared" si="0"/>
        <v>50</v>
      </c>
    </row>
    <row r="13" spans="1:8" ht="47.25">
      <c r="A13" s="46" t="s">
        <v>676</v>
      </c>
      <c r="B13" s="20" t="s">
        <v>1239</v>
      </c>
      <c r="C13" s="41" t="s">
        <v>281</v>
      </c>
      <c r="D13" s="41" t="s">
        <v>281</v>
      </c>
      <c r="E13" s="41" t="s">
        <v>366</v>
      </c>
      <c r="F13" s="5">
        <v>903</v>
      </c>
      <c r="G13" s="85">
        <f>'пр.6.1.ведом.21-22'!G321</f>
        <v>50</v>
      </c>
      <c r="H13" s="85">
        <f>'пр.6.1.ведом.21-22'!H321</f>
        <v>50</v>
      </c>
    </row>
    <row r="14" spans="1:8" ht="31.5">
      <c r="A14" s="25" t="s">
        <v>1220</v>
      </c>
      <c r="B14" s="20" t="s">
        <v>984</v>
      </c>
      <c r="C14" s="41"/>
      <c r="D14" s="41"/>
      <c r="E14" s="41"/>
      <c r="F14" s="5"/>
      <c r="G14" s="85">
        <f aca="true" t="shared" si="1" ref="G14:H18">G15</f>
        <v>420</v>
      </c>
      <c r="H14" s="85">
        <f t="shared" si="1"/>
        <v>420</v>
      </c>
    </row>
    <row r="15" spans="1:8" ht="15.75">
      <c r="A15" s="25" t="s">
        <v>1302</v>
      </c>
      <c r="B15" s="20" t="s">
        <v>984</v>
      </c>
      <c r="C15" s="41" t="s">
        <v>261</v>
      </c>
      <c r="D15" s="41"/>
      <c r="E15" s="41"/>
      <c r="F15" s="5"/>
      <c r="G15" s="85">
        <f t="shared" si="1"/>
        <v>420</v>
      </c>
      <c r="H15" s="85">
        <f t="shared" si="1"/>
        <v>420</v>
      </c>
    </row>
    <row r="16" spans="1:8" ht="15.75">
      <c r="A16" s="30" t="s">
        <v>269</v>
      </c>
      <c r="B16" s="20" t="s">
        <v>984</v>
      </c>
      <c r="C16" s="41" t="s">
        <v>261</v>
      </c>
      <c r="D16" s="41" t="s">
        <v>232</v>
      </c>
      <c r="E16" s="41"/>
      <c r="F16" s="5"/>
      <c r="G16" s="85">
        <f t="shared" si="1"/>
        <v>420</v>
      </c>
      <c r="H16" s="85">
        <f t="shared" si="1"/>
        <v>420</v>
      </c>
    </row>
    <row r="17" spans="1:8" ht="31.5">
      <c r="A17" s="25" t="s">
        <v>265</v>
      </c>
      <c r="B17" s="20" t="s">
        <v>984</v>
      </c>
      <c r="C17" s="41" t="s">
        <v>261</v>
      </c>
      <c r="D17" s="41" t="s">
        <v>232</v>
      </c>
      <c r="E17" s="41" t="s">
        <v>266</v>
      </c>
      <c r="F17" s="5"/>
      <c r="G17" s="85">
        <f t="shared" si="1"/>
        <v>420</v>
      </c>
      <c r="H17" s="85">
        <f t="shared" si="1"/>
        <v>420</v>
      </c>
    </row>
    <row r="18" spans="1:8" ht="31.5">
      <c r="A18" s="25" t="s">
        <v>365</v>
      </c>
      <c r="B18" s="20" t="s">
        <v>984</v>
      </c>
      <c r="C18" s="41" t="s">
        <v>261</v>
      </c>
      <c r="D18" s="41" t="s">
        <v>232</v>
      </c>
      <c r="E18" s="41" t="s">
        <v>366</v>
      </c>
      <c r="F18" s="5"/>
      <c r="G18" s="85">
        <f t="shared" si="1"/>
        <v>420</v>
      </c>
      <c r="H18" s="85">
        <f t="shared" si="1"/>
        <v>420</v>
      </c>
    </row>
    <row r="19" spans="1:8" ht="47.25">
      <c r="A19" s="46" t="s">
        <v>676</v>
      </c>
      <c r="B19" s="20" t="s">
        <v>984</v>
      </c>
      <c r="C19" s="41" t="s">
        <v>261</v>
      </c>
      <c r="D19" s="41" t="s">
        <v>232</v>
      </c>
      <c r="E19" s="41" t="s">
        <v>366</v>
      </c>
      <c r="F19" s="5">
        <v>903</v>
      </c>
      <c r="G19" s="85">
        <f>'пр.6.1.ведом.21-22'!G430</f>
        <v>420</v>
      </c>
      <c r="H19" s="85">
        <f>'пр.6.1.ведом.21-22'!H430</f>
        <v>420</v>
      </c>
    </row>
    <row r="20" spans="1:8" ht="63">
      <c r="A20" s="107" t="s">
        <v>1223</v>
      </c>
      <c r="B20" s="20" t="s">
        <v>987</v>
      </c>
      <c r="C20" s="41"/>
      <c r="D20" s="41"/>
      <c r="E20" s="41"/>
      <c r="F20" s="5"/>
      <c r="G20" s="85">
        <f aca="true" t="shared" si="2" ref="G20:H24">G21</f>
        <v>920</v>
      </c>
      <c r="H20" s="85">
        <f t="shared" si="2"/>
        <v>920</v>
      </c>
    </row>
    <row r="21" spans="1:8" ht="15.75">
      <c r="A21" s="86" t="s">
        <v>260</v>
      </c>
      <c r="B21" s="20" t="s">
        <v>987</v>
      </c>
      <c r="C21" s="9" t="s">
        <v>261</v>
      </c>
      <c r="D21" s="9"/>
      <c r="E21" s="9"/>
      <c r="F21" s="9"/>
      <c r="G21" s="341">
        <f t="shared" si="2"/>
        <v>920</v>
      </c>
      <c r="H21" s="341">
        <f t="shared" si="2"/>
        <v>920</v>
      </c>
    </row>
    <row r="22" spans="1:8" ht="15.75">
      <c r="A22" s="30" t="s">
        <v>269</v>
      </c>
      <c r="B22" s="20" t="s">
        <v>987</v>
      </c>
      <c r="C22" s="41" t="s">
        <v>261</v>
      </c>
      <c r="D22" s="41" t="s">
        <v>232</v>
      </c>
      <c r="E22" s="41"/>
      <c r="F22" s="5"/>
      <c r="G22" s="85">
        <f t="shared" si="2"/>
        <v>920</v>
      </c>
      <c r="H22" s="85">
        <f t="shared" si="2"/>
        <v>920</v>
      </c>
    </row>
    <row r="23" spans="1:8" ht="31.5">
      <c r="A23" s="30" t="s">
        <v>265</v>
      </c>
      <c r="B23" s="20" t="s">
        <v>987</v>
      </c>
      <c r="C23" s="41" t="s">
        <v>261</v>
      </c>
      <c r="D23" s="41" t="s">
        <v>232</v>
      </c>
      <c r="E23" s="41" t="s">
        <v>266</v>
      </c>
      <c r="F23" s="5"/>
      <c r="G23" s="85">
        <f t="shared" si="2"/>
        <v>920</v>
      </c>
      <c r="H23" s="85">
        <f t="shared" si="2"/>
        <v>920</v>
      </c>
    </row>
    <row r="24" spans="1:8" ht="31.5">
      <c r="A24" s="30" t="s">
        <v>365</v>
      </c>
      <c r="B24" s="20" t="s">
        <v>987</v>
      </c>
      <c r="C24" s="41" t="s">
        <v>261</v>
      </c>
      <c r="D24" s="41" t="s">
        <v>232</v>
      </c>
      <c r="E24" s="87" t="s">
        <v>366</v>
      </c>
      <c r="F24" s="5"/>
      <c r="G24" s="85">
        <f t="shared" si="2"/>
        <v>920</v>
      </c>
      <c r="H24" s="85">
        <f t="shared" si="2"/>
        <v>920</v>
      </c>
    </row>
    <row r="25" spans="1:8" ht="47.25">
      <c r="A25" s="46" t="s">
        <v>676</v>
      </c>
      <c r="B25" s="20" t="s">
        <v>987</v>
      </c>
      <c r="C25" s="41" t="s">
        <v>261</v>
      </c>
      <c r="D25" s="41" t="s">
        <v>232</v>
      </c>
      <c r="E25" s="87" t="s">
        <v>366</v>
      </c>
      <c r="F25" s="5">
        <v>903</v>
      </c>
      <c r="G25" s="85">
        <f>'пр.6.1.ведом.21-22'!G435</f>
        <v>920</v>
      </c>
      <c r="H25" s="85">
        <f>'пр.6.1.ведом.21-22'!H435</f>
        <v>920</v>
      </c>
    </row>
    <row r="26" spans="1:8" ht="31.5">
      <c r="A26" s="25" t="s">
        <v>1157</v>
      </c>
      <c r="B26" s="20" t="s">
        <v>989</v>
      </c>
      <c r="C26" s="41"/>
      <c r="D26" s="41"/>
      <c r="E26" s="41"/>
      <c r="F26" s="5"/>
      <c r="G26" s="78">
        <f aca="true" t="shared" si="3" ref="G26:H30">G27</f>
        <v>210</v>
      </c>
      <c r="H26" s="78">
        <f t="shared" si="3"/>
        <v>210</v>
      </c>
    </row>
    <row r="27" spans="1:8" ht="15.75">
      <c r="A27" s="86" t="s">
        <v>260</v>
      </c>
      <c r="B27" s="20" t="s">
        <v>989</v>
      </c>
      <c r="C27" s="41" t="s">
        <v>261</v>
      </c>
      <c r="D27" s="41"/>
      <c r="E27" s="41"/>
      <c r="F27" s="5"/>
      <c r="G27" s="78">
        <f t="shared" si="3"/>
        <v>210</v>
      </c>
      <c r="H27" s="78">
        <f t="shared" si="3"/>
        <v>210</v>
      </c>
    </row>
    <row r="28" spans="1:8" ht="15.75">
      <c r="A28" s="30" t="s">
        <v>269</v>
      </c>
      <c r="B28" s="20" t="s">
        <v>989</v>
      </c>
      <c r="C28" s="41" t="s">
        <v>261</v>
      </c>
      <c r="D28" s="41" t="s">
        <v>232</v>
      </c>
      <c r="E28" s="41"/>
      <c r="F28" s="5"/>
      <c r="G28" s="78">
        <f t="shared" si="3"/>
        <v>210</v>
      </c>
      <c r="H28" s="78">
        <f t="shared" si="3"/>
        <v>210</v>
      </c>
    </row>
    <row r="29" spans="1:8" ht="31.5">
      <c r="A29" s="30" t="s">
        <v>265</v>
      </c>
      <c r="B29" s="20" t="s">
        <v>989</v>
      </c>
      <c r="C29" s="41" t="s">
        <v>261</v>
      </c>
      <c r="D29" s="41" t="s">
        <v>232</v>
      </c>
      <c r="E29" s="41" t="s">
        <v>266</v>
      </c>
      <c r="F29" s="5"/>
      <c r="G29" s="78">
        <f t="shared" si="3"/>
        <v>210</v>
      </c>
      <c r="H29" s="78">
        <f t="shared" si="3"/>
        <v>210</v>
      </c>
    </row>
    <row r="30" spans="1:8" ht="31.5">
      <c r="A30" s="30" t="s">
        <v>365</v>
      </c>
      <c r="B30" s="20" t="s">
        <v>989</v>
      </c>
      <c r="C30" s="41" t="s">
        <v>261</v>
      </c>
      <c r="D30" s="41" t="s">
        <v>232</v>
      </c>
      <c r="E30" s="41" t="s">
        <v>366</v>
      </c>
      <c r="F30" s="5"/>
      <c r="G30" s="78">
        <f t="shared" si="3"/>
        <v>210</v>
      </c>
      <c r="H30" s="78">
        <f t="shared" si="3"/>
        <v>210</v>
      </c>
    </row>
    <row r="31" spans="1:8" ht="47.25">
      <c r="A31" s="46" t="s">
        <v>676</v>
      </c>
      <c r="B31" s="20" t="s">
        <v>989</v>
      </c>
      <c r="C31" s="41" t="s">
        <v>261</v>
      </c>
      <c r="D31" s="41" t="s">
        <v>232</v>
      </c>
      <c r="E31" s="41" t="s">
        <v>366</v>
      </c>
      <c r="F31" s="5">
        <v>903</v>
      </c>
      <c r="G31" s="78">
        <f>'пр.6.1.ведом.21-22'!G441</f>
        <v>210</v>
      </c>
      <c r="H31" s="78">
        <f>'пр.6.1.ведом.21-22'!H441</f>
        <v>210</v>
      </c>
    </row>
    <row r="32" spans="1:8" ht="63">
      <c r="A32" s="25" t="s">
        <v>1224</v>
      </c>
      <c r="B32" s="20" t="s">
        <v>990</v>
      </c>
      <c r="C32" s="41"/>
      <c r="D32" s="41"/>
      <c r="E32" s="41"/>
      <c r="F32" s="5"/>
      <c r="G32" s="78">
        <f aca="true" t="shared" si="4" ref="G32:H35">G33</f>
        <v>250</v>
      </c>
      <c r="H32" s="78">
        <f t="shared" si="4"/>
        <v>250</v>
      </c>
    </row>
    <row r="33" spans="1:8" ht="15.75">
      <c r="A33" s="86" t="s">
        <v>260</v>
      </c>
      <c r="B33" s="20" t="s">
        <v>990</v>
      </c>
      <c r="C33" s="41" t="s">
        <v>261</v>
      </c>
      <c r="D33" s="41"/>
      <c r="E33" s="41"/>
      <c r="F33" s="5"/>
      <c r="G33" s="85">
        <f t="shared" si="4"/>
        <v>250</v>
      </c>
      <c r="H33" s="85">
        <f t="shared" si="4"/>
        <v>250</v>
      </c>
    </row>
    <row r="34" spans="1:8" ht="15.75">
      <c r="A34" s="30" t="s">
        <v>269</v>
      </c>
      <c r="B34" s="20" t="s">
        <v>990</v>
      </c>
      <c r="C34" s="41" t="s">
        <v>261</v>
      </c>
      <c r="D34" s="41" t="s">
        <v>232</v>
      </c>
      <c r="E34" s="41"/>
      <c r="F34" s="5">
        <v>903</v>
      </c>
      <c r="G34" s="85">
        <f t="shared" si="4"/>
        <v>250</v>
      </c>
      <c r="H34" s="85">
        <f t="shared" si="4"/>
        <v>250</v>
      </c>
    </row>
    <row r="35" spans="1:8" ht="31.5">
      <c r="A35" s="30" t="s">
        <v>265</v>
      </c>
      <c r="B35" s="20" t="s">
        <v>990</v>
      </c>
      <c r="C35" s="41" t="s">
        <v>261</v>
      </c>
      <c r="D35" s="41" t="s">
        <v>232</v>
      </c>
      <c r="E35" s="41" t="s">
        <v>266</v>
      </c>
      <c r="F35" s="5">
        <v>903</v>
      </c>
      <c r="G35" s="85">
        <f t="shared" si="4"/>
        <v>250</v>
      </c>
      <c r="H35" s="85">
        <f t="shared" si="4"/>
        <v>250</v>
      </c>
    </row>
    <row r="36" spans="1:8" ht="31.5">
      <c r="A36" s="30" t="s">
        <v>365</v>
      </c>
      <c r="B36" s="20" t="s">
        <v>990</v>
      </c>
      <c r="C36" s="41" t="s">
        <v>261</v>
      </c>
      <c r="D36" s="41" t="s">
        <v>232</v>
      </c>
      <c r="E36" s="41" t="s">
        <v>366</v>
      </c>
      <c r="F36" s="5">
        <v>903</v>
      </c>
      <c r="G36" s="78">
        <f>'Пр.6 ведом.20'!H446</f>
        <v>250</v>
      </c>
      <c r="H36" s="78">
        <f>'Пр.6 ведом.20'!I446</f>
        <v>250</v>
      </c>
    </row>
    <row r="37" spans="1:8" ht="47.25">
      <c r="A37" s="46" t="s">
        <v>676</v>
      </c>
      <c r="B37" s="20" t="s">
        <v>990</v>
      </c>
      <c r="C37" s="41" t="s">
        <v>261</v>
      </c>
      <c r="D37" s="41" t="s">
        <v>232</v>
      </c>
      <c r="E37" s="41" t="s">
        <v>366</v>
      </c>
      <c r="F37" s="5">
        <v>903</v>
      </c>
      <c r="G37" s="78">
        <f>'пр.6.1.ведом.21-22'!G446</f>
        <v>250</v>
      </c>
      <c r="H37" s="78">
        <f>'пр.6.1.ведом.21-22'!H446</f>
        <v>250</v>
      </c>
    </row>
    <row r="38" spans="1:8" ht="15.75">
      <c r="A38" s="42" t="s">
        <v>675</v>
      </c>
      <c r="B38" s="392"/>
      <c r="C38" s="392"/>
      <c r="D38" s="392"/>
      <c r="E38" s="392"/>
      <c r="F38" s="42"/>
      <c r="G38" s="88">
        <f>G8+G14+G20+G26+G32</f>
        <v>1850</v>
      </c>
      <c r="H38" s="88">
        <f>H8+H14+H20+H26+H32</f>
        <v>1850</v>
      </c>
    </row>
  </sheetData>
  <mergeCells count="2">
    <mergeCell ref="A1:C2"/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view="pageBreakPreview" zoomScale="93" zoomScaleSheetLayoutView="93" workbookViewId="0" topLeftCell="A1">
      <selection activeCell="C18" sqref="C18"/>
    </sheetView>
  </sheetViews>
  <sheetFormatPr defaultColWidth="9.140625" defaultRowHeight="15"/>
  <cols>
    <col min="1" max="1" width="34.00390625" style="0" customWidth="1"/>
    <col min="2" max="2" width="51.7109375" style="0" customWidth="1"/>
    <col min="3" max="3" width="17.140625" style="0" customWidth="1"/>
  </cols>
  <sheetData>
    <row r="1" spans="1:3" ht="15.75">
      <c r="A1" s="12"/>
      <c r="C1" s="237" t="s">
        <v>1307</v>
      </c>
    </row>
    <row r="2" spans="1:3" ht="15.75">
      <c r="A2" s="12"/>
      <c r="B2" s="12"/>
      <c r="C2" s="237" t="s">
        <v>1</v>
      </c>
    </row>
    <row r="3" spans="1:2" ht="15.75">
      <c r="A3" s="12"/>
      <c r="B3" s="12"/>
    </row>
    <row r="4" spans="1:3" ht="16.5">
      <c r="A4" s="416" t="s">
        <v>677</v>
      </c>
      <c r="B4" s="416"/>
      <c r="C4" s="416"/>
    </row>
    <row r="5" spans="1:3" ht="16.5">
      <c r="A5" s="416" t="s">
        <v>1304</v>
      </c>
      <c r="B5" s="416"/>
      <c r="C5" s="416"/>
    </row>
    <row r="6" spans="1:2" ht="15.75">
      <c r="A6" s="89"/>
      <c r="B6" s="89"/>
    </row>
    <row r="7" spans="1:3" ht="15.75">
      <c r="A7" s="12"/>
      <c r="B7" s="12"/>
      <c r="C7" s="90" t="s">
        <v>2</v>
      </c>
    </row>
    <row r="8" spans="1:3" ht="28.5" customHeight="1">
      <c r="A8" s="84" t="s">
        <v>678</v>
      </c>
      <c r="B8" s="84" t="s">
        <v>679</v>
      </c>
      <c r="C8" s="190" t="s">
        <v>1207</v>
      </c>
    </row>
    <row r="9" spans="1:3" ht="33">
      <c r="A9" s="91" t="s">
        <v>680</v>
      </c>
      <c r="B9" s="92" t="s">
        <v>681</v>
      </c>
      <c r="C9" s="356">
        <f>C10-C12</f>
        <v>0.003000000142492354</v>
      </c>
    </row>
    <row r="10" spans="1:3" ht="31.5">
      <c r="A10" s="93" t="s">
        <v>682</v>
      </c>
      <c r="B10" s="94" t="s">
        <v>683</v>
      </c>
      <c r="C10" s="357">
        <f>C11</f>
        <v>0.003000000142492354</v>
      </c>
    </row>
    <row r="11" spans="1:3" ht="31.5">
      <c r="A11" s="95" t="s">
        <v>684</v>
      </c>
      <c r="B11" s="96" t="s">
        <v>685</v>
      </c>
      <c r="C11" s="358">
        <f>C19*(-1)</f>
        <v>0.003000000142492354</v>
      </c>
    </row>
    <row r="12" spans="1:3" ht="31.5">
      <c r="A12" s="93" t="s">
        <v>686</v>
      </c>
      <c r="B12" s="94" t="s">
        <v>687</v>
      </c>
      <c r="C12" s="356">
        <f>C13</f>
        <v>0</v>
      </c>
    </row>
    <row r="13" spans="1:3" ht="31.5">
      <c r="A13" s="95" t="s">
        <v>688</v>
      </c>
      <c r="B13" s="96" t="s">
        <v>689</v>
      </c>
      <c r="C13" s="358">
        <f>C11+C19</f>
        <v>0</v>
      </c>
    </row>
    <row r="14" spans="1:3" ht="16.5">
      <c r="A14" s="93" t="s">
        <v>675</v>
      </c>
      <c r="B14" s="96"/>
      <c r="C14" s="359">
        <f>C11-C13</f>
        <v>0.003000000142492354</v>
      </c>
    </row>
    <row r="17" spans="2:3" ht="15">
      <c r="B17" t="s">
        <v>690</v>
      </c>
      <c r="C17">
        <f>'пр.дох.20'!C133</f>
        <v>678671.1199999999</v>
      </c>
    </row>
    <row r="18" spans="2:3" ht="15">
      <c r="B18" t="s">
        <v>691</v>
      </c>
      <c r="C18">
        <f>'пр.4 Рд,пр 20'!D48</f>
        <v>678671.123</v>
      </c>
    </row>
    <row r="19" spans="2:3" ht="15">
      <c r="B19" t="s">
        <v>692</v>
      </c>
      <c r="C19">
        <f aca="true" t="shared" si="0" ref="C19">C17-C18</f>
        <v>-0.003000000142492354</v>
      </c>
    </row>
    <row r="21" ht="15">
      <c r="D21" s="22"/>
    </row>
  </sheetData>
  <mergeCells count="2">
    <mergeCell ref="A4:C4"/>
    <mergeCell ref="A5:C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 topLeftCell="A1">
      <selection activeCell="G19" sqref="G19:G20"/>
    </sheetView>
  </sheetViews>
  <sheetFormatPr defaultColWidth="9.140625" defaultRowHeight="15"/>
  <cols>
    <col min="1" max="1" width="38.7109375" style="0" customWidth="1"/>
    <col min="2" max="2" width="41.421875" style="0" customWidth="1"/>
    <col min="3" max="3" width="13.00390625" style="0" customWidth="1"/>
    <col min="4" max="4" width="14.8515625" style="0" customWidth="1"/>
  </cols>
  <sheetData>
    <row r="1" spans="1:4" ht="15.75">
      <c r="A1" s="12"/>
      <c r="B1" s="252"/>
      <c r="D1" s="237" t="s">
        <v>1309</v>
      </c>
    </row>
    <row r="2" spans="1:4" ht="15.75">
      <c r="A2" s="12"/>
      <c r="B2" s="12"/>
      <c r="D2" s="237" t="s">
        <v>1</v>
      </c>
    </row>
    <row r="3" spans="1:3" ht="15.75">
      <c r="A3" s="12"/>
      <c r="B3" s="12"/>
      <c r="C3" s="252"/>
    </row>
    <row r="4" spans="1:4" ht="16.5">
      <c r="A4" s="416" t="s">
        <v>677</v>
      </c>
      <c r="B4" s="416"/>
      <c r="C4" s="416"/>
      <c r="D4" s="416"/>
    </row>
    <row r="5" spans="1:4" ht="16.5">
      <c r="A5" s="416" t="s">
        <v>1308</v>
      </c>
      <c r="B5" s="416"/>
      <c r="C5" s="416"/>
      <c r="D5" s="416"/>
    </row>
    <row r="6" spans="1:3" ht="15.75">
      <c r="A6" s="89"/>
      <c r="B6" s="89"/>
      <c r="C6" s="252"/>
    </row>
    <row r="7" spans="1:4" ht="15.75">
      <c r="A7" s="12"/>
      <c r="B7" s="12"/>
      <c r="D7" s="90" t="s">
        <v>2</v>
      </c>
    </row>
    <row r="8" spans="1:4" ht="30">
      <c r="A8" s="84" t="s">
        <v>678</v>
      </c>
      <c r="B8" s="84" t="s">
        <v>679</v>
      </c>
      <c r="C8" s="190" t="s">
        <v>1208</v>
      </c>
      <c r="D8" s="190" t="s">
        <v>1209</v>
      </c>
    </row>
    <row r="9" spans="1:4" ht="44.25" customHeight="1">
      <c r="A9" s="91" t="s">
        <v>680</v>
      </c>
      <c r="B9" s="92" t="s">
        <v>681</v>
      </c>
      <c r="C9" s="356">
        <f>'пр.9 ист-ки 20'!C9</f>
        <v>0.003000000142492354</v>
      </c>
      <c r="D9" s="356">
        <f>C9</f>
        <v>0.003000000142492354</v>
      </c>
    </row>
    <row r="10" spans="1:4" ht="33.75" customHeight="1">
      <c r="A10" s="93" t="s">
        <v>682</v>
      </c>
      <c r="B10" s="94" t="s">
        <v>683</v>
      </c>
      <c r="C10" s="356">
        <f>'пр.9 ист-ки 20'!C10</f>
        <v>0.003000000142492354</v>
      </c>
      <c r="D10" s="356">
        <f aca="true" t="shared" si="0" ref="D10:D14">C10</f>
        <v>0.003000000142492354</v>
      </c>
    </row>
    <row r="11" spans="1:4" ht="36.75" customHeight="1">
      <c r="A11" s="95" t="s">
        <v>684</v>
      </c>
      <c r="B11" s="96" t="s">
        <v>685</v>
      </c>
      <c r="C11" s="360">
        <f>C19*(-1)</f>
        <v>0.0029999999096617103</v>
      </c>
      <c r="D11" s="360">
        <f>D19*(-1)</f>
        <v>0.0029999999096617103</v>
      </c>
    </row>
    <row r="12" spans="1:4" ht="33" customHeight="1">
      <c r="A12" s="93" t="s">
        <v>686</v>
      </c>
      <c r="B12" s="94" t="s">
        <v>687</v>
      </c>
      <c r="C12" s="356">
        <f>'пр.9 ист-ки 20'!C12</f>
        <v>0</v>
      </c>
      <c r="D12" s="356">
        <f t="shared" si="0"/>
        <v>0</v>
      </c>
    </row>
    <row r="13" spans="1:4" ht="30.75" customHeight="1">
      <c r="A13" s="95" t="s">
        <v>688</v>
      </c>
      <c r="B13" s="96" t="s">
        <v>689</v>
      </c>
      <c r="C13" s="360">
        <f>'пр.9 ист-ки 20'!C13</f>
        <v>0</v>
      </c>
      <c r="D13" s="360">
        <f t="shared" si="0"/>
        <v>0</v>
      </c>
    </row>
    <row r="14" spans="1:4" ht="16.5">
      <c r="A14" s="93" t="s">
        <v>675</v>
      </c>
      <c r="B14" s="96"/>
      <c r="C14" s="359">
        <f>C11-C13</f>
        <v>0.0029999999096617103</v>
      </c>
      <c r="D14" s="356">
        <f t="shared" si="0"/>
        <v>0.0029999999096617103</v>
      </c>
    </row>
    <row r="15" spans="1:3" ht="15">
      <c r="A15" s="252"/>
      <c r="B15" s="252"/>
      <c r="C15" s="252"/>
    </row>
    <row r="16" spans="1:3" ht="15">
      <c r="A16" s="252"/>
      <c r="B16" s="252"/>
      <c r="C16" s="252"/>
    </row>
    <row r="17" spans="1:4" ht="15">
      <c r="A17" s="252"/>
      <c r="B17" s="252" t="s">
        <v>690</v>
      </c>
      <c r="C17" s="252">
        <f>'Пр.1.1. дох.21-22'!C132</f>
        <v>679225.02</v>
      </c>
      <c r="D17" s="252">
        <f>'Пр.1.1. дох.21-22'!D132</f>
        <v>679225.02</v>
      </c>
    </row>
    <row r="18" spans="1:4" ht="15">
      <c r="A18" s="252"/>
      <c r="B18" s="252" t="s">
        <v>691</v>
      </c>
      <c r="C18" s="355">
        <f>'пр.6.1.ведом.21-22'!G1052</f>
        <v>679225.0229999999</v>
      </c>
      <c r="D18" s="355">
        <f>'пр.6.1.ведом.21-22'!H1052</f>
        <v>679225.0229999999</v>
      </c>
    </row>
    <row r="19" spans="1:4" ht="15">
      <c r="A19" s="252"/>
      <c r="B19" s="252" t="s">
        <v>692</v>
      </c>
      <c r="C19" s="252">
        <f aca="true" t="shared" si="1" ref="C19:D19">C17-C18</f>
        <v>-0.0029999999096617103</v>
      </c>
      <c r="D19" s="252">
        <f t="shared" si="1"/>
        <v>-0.0029999999096617103</v>
      </c>
    </row>
  </sheetData>
  <mergeCells count="2">
    <mergeCell ref="A4:D4"/>
    <mergeCell ref="A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workbookViewId="0" topLeftCell="A100">
      <selection activeCell="B125" sqref="B125"/>
    </sheetView>
  </sheetViews>
  <sheetFormatPr defaultColWidth="9.140625" defaultRowHeight="15"/>
  <cols>
    <col min="1" max="1" width="25.00390625" style="0" customWidth="1"/>
    <col min="2" max="2" width="71.7109375" style="0" customWidth="1"/>
    <col min="3" max="3" width="16.00390625" style="252" customWidth="1"/>
    <col min="4" max="4" width="17.28125" style="252" customWidth="1"/>
    <col min="5" max="6" width="9.140625" style="0" hidden="1" customWidth="1"/>
  </cols>
  <sheetData>
    <row r="1" spans="1:4" ht="15.75">
      <c r="A1" s="138"/>
      <c r="B1" s="138"/>
      <c r="C1" s="138"/>
      <c r="D1" s="139" t="s">
        <v>1292</v>
      </c>
    </row>
    <row r="2" spans="1:4" ht="15.75">
      <c r="A2" s="138"/>
      <c r="B2" s="138"/>
      <c r="C2" s="138"/>
      <c r="D2" s="139" t="s">
        <v>1</v>
      </c>
    </row>
    <row r="3" spans="1:4" ht="15.75">
      <c r="A3" s="138"/>
      <c r="B3" s="140"/>
      <c r="C3" s="140"/>
      <c r="D3" s="140"/>
    </row>
    <row r="4" spans="1:4" ht="15.75">
      <c r="A4" s="395" t="s">
        <v>1378</v>
      </c>
      <c r="B4" s="395"/>
      <c r="C4" s="395"/>
      <c r="D4" s="395"/>
    </row>
    <row r="5" spans="1:4" ht="15.75">
      <c r="A5" s="395" t="s">
        <v>1380</v>
      </c>
      <c r="B5" s="395"/>
      <c r="C5" s="395"/>
      <c r="D5" s="395"/>
    </row>
    <row r="6" spans="1:4" ht="15.75">
      <c r="A6" s="395" t="s">
        <v>1381</v>
      </c>
      <c r="B6" s="395"/>
      <c r="C6" s="395"/>
      <c r="D6" s="395"/>
    </row>
    <row r="7" spans="1:4" ht="15.75">
      <c r="A7" s="141"/>
      <c r="B7" s="141"/>
      <c r="C7" s="194"/>
      <c r="D7" s="139" t="s">
        <v>716</v>
      </c>
    </row>
    <row r="8" spans="1:4" ht="33" customHeight="1">
      <c r="A8" s="142" t="s">
        <v>3</v>
      </c>
      <c r="B8" s="143" t="s">
        <v>4</v>
      </c>
      <c r="C8" s="195" t="s">
        <v>1208</v>
      </c>
      <c r="D8" s="247" t="s">
        <v>1209</v>
      </c>
    </row>
    <row r="9" spans="1:6" ht="18.75">
      <c r="A9" s="144" t="s">
        <v>6</v>
      </c>
      <c r="B9" s="145" t="s">
        <v>7</v>
      </c>
      <c r="C9" s="200">
        <f>C10+C16+C21+C31+C39+C42+C48+C54+C57+C62+C70</f>
        <v>322770</v>
      </c>
      <c r="D9" s="200">
        <f>D10+D16+D21+D31+D39+D42+D48+D54+D57+D62+D70</f>
        <v>338774</v>
      </c>
      <c r="E9" s="22">
        <f>C10+C16+C21+C31+C39</f>
        <v>276991.2</v>
      </c>
      <c r="F9" s="22">
        <f>D10+D16+D21+D31+D39</f>
        <v>292995.2</v>
      </c>
    </row>
    <row r="10" spans="1:4" ht="18.75">
      <c r="A10" s="146" t="s">
        <v>8</v>
      </c>
      <c r="B10" s="145" t="s">
        <v>9</v>
      </c>
      <c r="C10" s="200">
        <f aca="true" t="shared" si="0" ref="C10:D10">C11</f>
        <v>251147</v>
      </c>
      <c r="D10" s="200">
        <f t="shared" si="0"/>
        <v>268517</v>
      </c>
    </row>
    <row r="11" spans="1:4" ht="18.75">
      <c r="A11" s="147" t="s">
        <v>10</v>
      </c>
      <c r="B11" s="148" t="s">
        <v>11</v>
      </c>
      <c r="C11" s="200">
        <f aca="true" t="shared" si="1" ref="C11:D11">SUM(C12:C15)</f>
        <v>251147</v>
      </c>
      <c r="D11" s="200">
        <f t="shared" si="1"/>
        <v>268517</v>
      </c>
    </row>
    <row r="12" spans="1:4" ht="64.5" customHeight="1">
      <c r="A12" s="247" t="s">
        <v>12</v>
      </c>
      <c r="B12" s="149" t="s">
        <v>13</v>
      </c>
      <c r="C12" s="201">
        <v>250465</v>
      </c>
      <c r="D12" s="201">
        <v>267788</v>
      </c>
    </row>
    <row r="13" spans="1:4" ht="110.25">
      <c r="A13" s="247" t="s">
        <v>14</v>
      </c>
      <c r="B13" s="150" t="s">
        <v>15</v>
      </c>
      <c r="C13" s="201">
        <v>20</v>
      </c>
      <c r="D13" s="201">
        <v>21</v>
      </c>
    </row>
    <row r="14" spans="1:4" ht="47.25">
      <c r="A14" s="247" t="s">
        <v>16</v>
      </c>
      <c r="B14" s="150" t="s">
        <v>17</v>
      </c>
      <c r="C14" s="201">
        <v>638</v>
      </c>
      <c r="D14" s="201">
        <v>682</v>
      </c>
    </row>
    <row r="15" spans="1:4" ht="78.75">
      <c r="A15" s="247" t="s">
        <v>18</v>
      </c>
      <c r="B15" s="150" t="s">
        <v>19</v>
      </c>
      <c r="C15" s="201">
        <v>24</v>
      </c>
      <c r="D15" s="201">
        <v>26</v>
      </c>
    </row>
    <row r="16" spans="1:4" ht="31.5">
      <c r="A16" s="151" t="s">
        <v>20</v>
      </c>
      <c r="B16" s="152" t="s">
        <v>21</v>
      </c>
      <c r="C16" s="200">
        <f aca="true" t="shared" si="2" ref="C16:D16">C17</f>
        <v>4546.2</v>
      </c>
      <c r="D16" s="200">
        <f t="shared" si="2"/>
        <v>4546.2</v>
      </c>
    </row>
    <row r="17" spans="1:4" ht="31.5">
      <c r="A17" s="198" t="s">
        <v>22</v>
      </c>
      <c r="B17" s="199" t="s">
        <v>23</v>
      </c>
      <c r="C17" s="200">
        <f aca="true" t="shared" si="3" ref="C17:D17">SUM(C18:C20)</f>
        <v>4546.2</v>
      </c>
      <c r="D17" s="200">
        <f t="shared" si="3"/>
        <v>4546.2</v>
      </c>
    </row>
    <row r="18" spans="1:4" ht="63">
      <c r="A18" s="153" t="s">
        <v>24</v>
      </c>
      <c r="B18" s="150" t="s">
        <v>25</v>
      </c>
      <c r="C18" s="201">
        <v>1543.1</v>
      </c>
      <c r="D18" s="201">
        <v>1543.1</v>
      </c>
    </row>
    <row r="19" spans="1:4" ht="78.75">
      <c r="A19" s="327" t="s">
        <v>26</v>
      </c>
      <c r="B19" s="150" t="s">
        <v>27</v>
      </c>
      <c r="C19" s="201">
        <v>9.9</v>
      </c>
      <c r="D19" s="201">
        <v>9.9</v>
      </c>
    </row>
    <row r="20" spans="1:4" ht="63">
      <c r="A20" s="327" t="s">
        <v>28</v>
      </c>
      <c r="B20" s="150" t="s">
        <v>29</v>
      </c>
      <c r="C20" s="201">
        <v>2993.2</v>
      </c>
      <c r="D20" s="201">
        <f aca="true" t="shared" si="4" ref="D20">C20</f>
        <v>2993.2</v>
      </c>
    </row>
    <row r="21" spans="1:4" ht="18.75">
      <c r="A21" s="147" t="s">
        <v>30</v>
      </c>
      <c r="B21" s="148" t="s">
        <v>31</v>
      </c>
      <c r="C21" s="200">
        <f>SUM(C22+C27+C29)</f>
        <v>18527</v>
      </c>
      <c r="D21" s="200">
        <f>SUM(D22+D27+D29)</f>
        <v>16997</v>
      </c>
    </row>
    <row r="22" spans="1:4" ht="31.5">
      <c r="A22" s="144" t="s">
        <v>32</v>
      </c>
      <c r="B22" s="148" t="s">
        <v>33</v>
      </c>
      <c r="C22" s="200">
        <f>C23+C25</f>
        <v>15455</v>
      </c>
      <c r="D22" s="200">
        <f>D23+D25</f>
        <v>16622</v>
      </c>
    </row>
    <row r="23" spans="1:4" s="252" customFormat="1" ht="31.5">
      <c r="A23" s="144" t="s">
        <v>1351</v>
      </c>
      <c r="B23" s="311" t="s">
        <v>35</v>
      </c>
      <c r="C23" s="200">
        <f>C24</f>
        <v>7727.5</v>
      </c>
      <c r="D23" s="200">
        <f>D24</f>
        <v>8311</v>
      </c>
    </row>
    <row r="24" spans="1:4" ht="31.5">
      <c r="A24" s="142" t="s">
        <v>34</v>
      </c>
      <c r="B24" s="154" t="s">
        <v>35</v>
      </c>
      <c r="C24" s="201">
        <f>15455/2</f>
        <v>7727.5</v>
      </c>
      <c r="D24" s="201">
        <f>16622/2</f>
        <v>8311</v>
      </c>
    </row>
    <row r="25" spans="1:4" s="252" customFormat="1" ht="47.25">
      <c r="A25" s="144" t="s">
        <v>1350</v>
      </c>
      <c r="B25" s="373" t="s">
        <v>1349</v>
      </c>
      <c r="C25" s="200">
        <f>C26</f>
        <v>7727.5</v>
      </c>
      <c r="D25" s="200">
        <f>D26</f>
        <v>8311</v>
      </c>
    </row>
    <row r="26" spans="1:4" ht="63">
      <c r="A26" s="142" t="s">
        <v>36</v>
      </c>
      <c r="B26" s="154" t="s">
        <v>37</v>
      </c>
      <c r="C26" s="201">
        <f>C24</f>
        <v>7727.5</v>
      </c>
      <c r="D26" s="201">
        <f>D24</f>
        <v>8311</v>
      </c>
    </row>
    <row r="27" spans="1:4" ht="31.5">
      <c r="A27" s="144" t="s">
        <v>38</v>
      </c>
      <c r="B27" s="148" t="s">
        <v>39</v>
      </c>
      <c r="C27" s="200">
        <f aca="true" t="shared" si="5" ref="C27:D27">SUM(C28:C28)</f>
        <v>2711</v>
      </c>
      <c r="D27" s="200">
        <f t="shared" si="5"/>
        <v>0</v>
      </c>
    </row>
    <row r="28" spans="1:4" ht="21.75" customHeight="1">
      <c r="A28" s="247" t="s">
        <v>40</v>
      </c>
      <c r="B28" s="338" t="s">
        <v>39</v>
      </c>
      <c r="C28" s="201">
        <v>2711</v>
      </c>
      <c r="D28" s="201">
        <v>0</v>
      </c>
    </row>
    <row r="29" spans="1:4" s="252" customFormat="1" ht="36" customHeight="1">
      <c r="A29" s="144" t="s">
        <v>1365</v>
      </c>
      <c r="B29" s="155" t="s">
        <v>1352</v>
      </c>
      <c r="C29" s="200">
        <f>C30</f>
        <v>361</v>
      </c>
      <c r="D29" s="201">
        <f>D30</f>
        <v>375</v>
      </c>
    </row>
    <row r="30" spans="1:4" ht="31.5">
      <c r="A30" s="142" t="s">
        <v>41</v>
      </c>
      <c r="B30" s="374" t="s">
        <v>42</v>
      </c>
      <c r="C30" s="201">
        <v>361</v>
      </c>
      <c r="D30" s="201">
        <v>375</v>
      </c>
    </row>
    <row r="31" spans="1:4" ht="18.75">
      <c r="A31" s="147" t="s">
        <v>43</v>
      </c>
      <c r="B31" s="148" t="s">
        <v>44</v>
      </c>
      <c r="C31" s="200">
        <f>C32+C34</f>
        <v>1238</v>
      </c>
      <c r="D31" s="200">
        <f aca="true" t="shared" si="6" ref="D31">D32+D34</f>
        <v>1341</v>
      </c>
    </row>
    <row r="32" spans="1:4" ht="18.75">
      <c r="A32" s="147" t="s">
        <v>45</v>
      </c>
      <c r="B32" s="148" t="s">
        <v>46</v>
      </c>
      <c r="C32" s="200">
        <f aca="true" t="shared" si="7" ref="C32:D32">C33</f>
        <v>892</v>
      </c>
      <c r="D32" s="200">
        <f t="shared" si="7"/>
        <v>981</v>
      </c>
    </row>
    <row r="33" spans="1:4" ht="47.25">
      <c r="A33" s="247" t="s">
        <v>47</v>
      </c>
      <c r="B33" s="154" t="s">
        <v>48</v>
      </c>
      <c r="C33" s="201">
        <v>892</v>
      </c>
      <c r="D33" s="201">
        <v>981</v>
      </c>
    </row>
    <row r="34" spans="1:4" ht="18.75">
      <c r="A34" s="147" t="s">
        <v>49</v>
      </c>
      <c r="B34" s="148" t="s">
        <v>50</v>
      </c>
      <c r="C34" s="200">
        <f>C35+C37</f>
        <v>346</v>
      </c>
      <c r="D34" s="200">
        <f>D35+D37</f>
        <v>360</v>
      </c>
    </row>
    <row r="35" spans="1:4" s="252" customFormat="1" ht="18.75">
      <c r="A35" s="147" t="s">
        <v>1367</v>
      </c>
      <c r="B35" s="148" t="s">
        <v>1366</v>
      </c>
      <c r="C35" s="200">
        <f>C36</f>
        <v>185</v>
      </c>
      <c r="D35" s="200">
        <f>D36</f>
        <v>193</v>
      </c>
    </row>
    <row r="36" spans="1:4" ht="31.5">
      <c r="A36" s="247" t="s">
        <v>51</v>
      </c>
      <c r="B36" s="154" t="s">
        <v>52</v>
      </c>
      <c r="C36" s="201">
        <v>185</v>
      </c>
      <c r="D36" s="201">
        <v>193</v>
      </c>
    </row>
    <row r="37" spans="1:4" s="252" customFormat="1" ht="18.75">
      <c r="A37" s="147" t="s">
        <v>1369</v>
      </c>
      <c r="B37" s="148" t="s">
        <v>1368</v>
      </c>
      <c r="C37" s="200">
        <f>C38</f>
        <v>161</v>
      </c>
      <c r="D37" s="200">
        <f>D38</f>
        <v>167</v>
      </c>
    </row>
    <row r="38" spans="1:4" ht="31.5">
      <c r="A38" s="247" t="s">
        <v>53</v>
      </c>
      <c r="B38" s="154" t="s">
        <v>54</v>
      </c>
      <c r="C38" s="201">
        <v>161</v>
      </c>
      <c r="D38" s="201">
        <v>167</v>
      </c>
    </row>
    <row r="39" spans="1:4" ht="18.75">
      <c r="A39" s="147" t="s">
        <v>55</v>
      </c>
      <c r="B39" s="148" t="s">
        <v>56</v>
      </c>
      <c r="C39" s="200">
        <f aca="true" t="shared" si="8" ref="C39:D40">C40</f>
        <v>1533</v>
      </c>
      <c r="D39" s="200">
        <f t="shared" si="8"/>
        <v>1594</v>
      </c>
    </row>
    <row r="40" spans="1:4" ht="31.5">
      <c r="A40" s="147" t="s">
        <v>57</v>
      </c>
      <c r="B40" s="148" t="s">
        <v>58</v>
      </c>
      <c r="C40" s="200">
        <f t="shared" si="8"/>
        <v>1533</v>
      </c>
      <c r="D40" s="200">
        <f t="shared" si="8"/>
        <v>1594</v>
      </c>
    </row>
    <row r="41" spans="1:4" ht="47.25">
      <c r="A41" s="247" t="s">
        <v>59</v>
      </c>
      <c r="B41" s="149" t="s">
        <v>60</v>
      </c>
      <c r="C41" s="201">
        <v>1533</v>
      </c>
      <c r="D41" s="201">
        <v>1594</v>
      </c>
    </row>
    <row r="42" spans="1:6" ht="47.25">
      <c r="A42" s="147" t="s">
        <v>61</v>
      </c>
      <c r="B42" s="156" t="s">
        <v>62</v>
      </c>
      <c r="C42" s="200">
        <f aca="true" t="shared" si="9" ref="C42:D42">C43</f>
        <v>43000</v>
      </c>
      <c r="D42" s="200">
        <f t="shared" si="9"/>
        <v>43000</v>
      </c>
      <c r="E42" s="22">
        <f>C42+C48+C54+C57+C62</f>
        <v>45778.8</v>
      </c>
      <c r="F42" s="22">
        <f>D42+D48+D54+D57+D62</f>
        <v>45778.8</v>
      </c>
    </row>
    <row r="43" spans="1:4" ht="78.75">
      <c r="A43" s="147" t="s">
        <v>63</v>
      </c>
      <c r="B43" s="156" t="s">
        <v>64</v>
      </c>
      <c r="C43" s="200">
        <f aca="true" t="shared" si="10" ref="C43:D43">C44+C46</f>
        <v>43000</v>
      </c>
      <c r="D43" s="200">
        <f t="shared" si="10"/>
        <v>43000</v>
      </c>
    </row>
    <row r="44" spans="1:4" ht="63">
      <c r="A44" s="147" t="s">
        <v>65</v>
      </c>
      <c r="B44" s="148" t="s">
        <v>66</v>
      </c>
      <c r="C44" s="200">
        <f aca="true" t="shared" si="11" ref="C44:D44">C45</f>
        <v>38000</v>
      </c>
      <c r="D44" s="200">
        <f t="shared" si="11"/>
        <v>38000</v>
      </c>
    </row>
    <row r="45" spans="1:4" ht="78.75">
      <c r="A45" s="247" t="s">
        <v>67</v>
      </c>
      <c r="B45" s="154" t="s">
        <v>68</v>
      </c>
      <c r="C45" s="201">
        <v>38000</v>
      </c>
      <c r="D45" s="201">
        <v>38000</v>
      </c>
    </row>
    <row r="46" spans="1:4" ht="47.25">
      <c r="A46" s="147" t="s">
        <v>69</v>
      </c>
      <c r="B46" s="148" t="s">
        <v>70</v>
      </c>
      <c r="C46" s="200">
        <f aca="true" t="shared" si="12" ref="C46:D46">C47</f>
        <v>5000</v>
      </c>
      <c r="D46" s="200">
        <f t="shared" si="12"/>
        <v>5000</v>
      </c>
    </row>
    <row r="47" spans="1:4" ht="31.5">
      <c r="A47" s="247" t="s">
        <v>71</v>
      </c>
      <c r="B47" s="154" t="s">
        <v>72</v>
      </c>
      <c r="C47" s="201">
        <v>5000</v>
      </c>
      <c r="D47" s="201">
        <v>5000</v>
      </c>
    </row>
    <row r="48" spans="1:4" ht="18.75">
      <c r="A48" s="147" t="s">
        <v>73</v>
      </c>
      <c r="B48" s="156" t="s">
        <v>74</v>
      </c>
      <c r="C48" s="200">
        <f aca="true" t="shared" si="13" ref="C48:D48">SUM(C49)</f>
        <v>1735.8</v>
      </c>
      <c r="D48" s="200">
        <f t="shared" si="13"/>
        <v>1735.8</v>
      </c>
    </row>
    <row r="49" spans="1:4" ht="18.75">
      <c r="A49" s="147" t="s">
        <v>75</v>
      </c>
      <c r="B49" s="156" t="s">
        <v>76</v>
      </c>
      <c r="C49" s="200">
        <f>SUM(C50:C53)</f>
        <v>1735.8</v>
      </c>
      <c r="D49" s="200">
        <f>SUM(D50:D53)</f>
        <v>1735.8</v>
      </c>
    </row>
    <row r="50" spans="1:4" ht="31.5">
      <c r="A50" s="247" t="s">
        <v>77</v>
      </c>
      <c r="B50" s="149" t="s">
        <v>78</v>
      </c>
      <c r="C50" s="201">
        <v>517.9</v>
      </c>
      <c r="D50" s="201">
        <v>517.9</v>
      </c>
    </row>
    <row r="51" spans="1:4" ht="18.75">
      <c r="A51" s="247" t="s">
        <v>79</v>
      </c>
      <c r="B51" s="149" t="s">
        <v>80</v>
      </c>
      <c r="C51" s="201">
        <v>1.1</v>
      </c>
      <c r="D51" s="201">
        <v>1.1</v>
      </c>
    </row>
    <row r="52" spans="1:4" ht="18.75">
      <c r="A52" s="247" t="s">
        <v>828</v>
      </c>
      <c r="B52" s="149" t="s">
        <v>829</v>
      </c>
      <c r="C52" s="201">
        <v>1060.8</v>
      </c>
      <c r="D52" s="201">
        <v>1060.8</v>
      </c>
    </row>
    <row r="53" spans="1:4" ht="18.75">
      <c r="A53" s="247" t="s">
        <v>830</v>
      </c>
      <c r="B53" s="149" t="s">
        <v>831</v>
      </c>
      <c r="C53" s="201">
        <v>156</v>
      </c>
      <c r="D53" s="201">
        <v>156</v>
      </c>
    </row>
    <row r="54" spans="1:4" ht="31.5">
      <c r="A54" s="147" t="s">
        <v>81</v>
      </c>
      <c r="B54" s="156" t="s">
        <v>82</v>
      </c>
      <c r="C54" s="200">
        <f>C56</f>
        <v>792</v>
      </c>
      <c r="D54" s="200">
        <f>D56</f>
        <v>792</v>
      </c>
    </row>
    <row r="55" spans="1:4" ht="18.75">
      <c r="A55" s="147" t="s">
        <v>83</v>
      </c>
      <c r="B55" s="156" t="s">
        <v>84</v>
      </c>
      <c r="C55" s="200">
        <f>C56</f>
        <v>792</v>
      </c>
      <c r="D55" s="200">
        <f>D56</f>
        <v>792</v>
      </c>
    </row>
    <row r="56" spans="1:4" ht="31.5">
      <c r="A56" s="247" t="s">
        <v>85</v>
      </c>
      <c r="B56" s="149" t="s">
        <v>86</v>
      </c>
      <c r="C56" s="201">
        <v>792</v>
      </c>
      <c r="D56" s="201">
        <f aca="true" t="shared" si="14" ref="D56">C56</f>
        <v>792</v>
      </c>
    </row>
    <row r="57" spans="1:4" ht="31.5">
      <c r="A57" s="147" t="s">
        <v>87</v>
      </c>
      <c r="B57" s="156" t="s">
        <v>88</v>
      </c>
      <c r="C57" s="200">
        <f aca="true" t="shared" si="15" ref="C57:D57">SUM(C58+C60)</f>
        <v>236</v>
      </c>
      <c r="D57" s="200">
        <f t="shared" si="15"/>
        <v>236</v>
      </c>
    </row>
    <row r="58" spans="1:4" ht="78.75">
      <c r="A58" s="147" t="s">
        <v>89</v>
      </c>
      <c r="B58" s="156" t="s">
        <v>90</v>
      </c>
      <c r="C58" s="200">
        <f aca="true" t="shared" si="16" ref="C58:D58">C59</f>
        <v>235</v>
      </c>
      <c r="D58" s="200">
        <f t="shared" si="16"/>
        <v>235</v>
      </c>
    </row>
    <row r="59" spans="1:4" ht="94.5">
      <c r="A59" s="247" t="s">
        <v>91</v>
      </c>
      <c r="B59" s="149" t="s">
        <v>717</v>
      </c>
      <c r="C59" s="201">
        <v>235</v>
      </c>
      <c r="D59" s="201">
        <v>235</v>
      </c>
    </row>
    <row r="60" spans="1:4" ht="31.5">
      <c r="A60" s="147" t="s">
        <v>92</v>
      </c>
      <c r="B60" s="156" t="s">
        <v>93</v>
      </c>
      <c r="C60" s="200">
        <f aca="true" t="shared" si="17" ref="C60:D60">SUM(C61)</f>
        <v>1</v>
      </c>
      <c r="D60" s="200">
        <f t="shared" si="17"/>
        <v>1</v>
      </c>
    </row>
    <row r="61" spans="1:4" ht="47.25">
      <c r="A61" s="247" t="s">
        <v>94</v>
      </c>
      <c r="B61" s="149" t="s">
        <v>95</v>
      </c>
      <c r="C61" s="201">
        <v>1</v>
      </c>
      <c r="D61" s="201">
        <v>1</v>
      </c>
    </row>
    <row r="62" spans="1:4" ht="18.75">
      <c r="A62" s="147" t="s">
        <v>96</v>
      </c>
      <c r="B62" s="156" t="s">
        <v>97</v>
      </c>
      <c r="C62" s="200">
        <f>C63</f>
        <v>15</v>
      </c>
      <c r="D62" s="200">
        <f>D63</f>
        <v>15</v>
      </c>
    </row>
    <row r="63" spans="1:4" ht="31.5">
      <c r="A63" s="147" t="s">
        <v>1325</v>
      </c>
      <c r="B63" s="368" t="s">
        <v>98</v>
      </c>
      <c r="C63" s="62">
        <f>C64+C66+C68</f>
        <v>15</v>
      </c>
      <c r="D63" s="62">
        <f>D64+D66+D68</f>
        <v>15</v>
      </c>
    </row>
    <row r="64" spans="1:4" s="252" customFormat="1" ht="63">
      <c r="A64" s="147" t="s">
        <v>1346</v>
      </c>
      <c r="B64" s="369" t="s">
        <v>1345</v>
      </c>
      <c r="C64" s="62">
        <f>C65</f>
        <v>5</v>
      </c>
      <c r="D64" s="62">
        <f>D65</f>
        <v>5</v>
      </c>
    </row>
    <row r="65" spans="1:4" s="252" customFormat="1" ht="78.75">
      <c r="A65" s="247" t="s">
        <v>1327</v>
      </c>
      <c r="B65" s="367" t="s">
        <v>1340</v>
      </c>
      <c r="C65" s="10">
        <v>5</v>
      </c>
      <c r="D65" s="10">
        <v>5</v>
      </c>
    </row>
    <row r="66" spans="1:4" s="252" customFormat="1" ht="78.75">
      <c r="A66" s="147" t="s">
        <v>1348</v>
      </c>
      <c r="B66" s="369" t="s">
        <v>1347</v>
      </c>
      <c r="C66" s="62">
        <f>C67</f>
        <v>5</v>
      </c>
      <c r="D66" s="62">
        <f>D67</f>
        <v>5</v>
      </c>
    </row>
    <row r="67" spans="1:4" ht="96" customHeight="1">
      <c r="A67" s="247" t="s">
        <v>1326</v>
      </c>
      <c r="B67" s="367" t="s">
        <v>1341</v>
      </c>
      <c r="C67" s="10">
        <v>5</v>
      </c>
      <c r="D67" s="10">
        <v>5</v>
      </c>
    </row>
    <row r="68" spans="1:4" s="252" customFormat="1" ht="75" customHeight="1">
      <c r="A68" s="147" t="s">
        <v>1344</v>
      </c>
      <c r="B68" s="370" t="s">
        <v>1343</v>
      </c>
      <c r="C68" s="62">
        <f>C69</f>
        <v>5</v>
      </c>
      <c r="D68" s="62">
        <f>D69</f>
        <v>5</v>
      </c>
    </row>
    <row r="69" spans="1:4" ht="87.75" customHeight="1">
      <c r="A69" s="247" t="s">
        <v>1330</v>
      </c>
      <c r="B69" s="366" t="s">
        <v>1342</v>
      </c>
      <c r="C69" s="201">
        <v>5</v>
      </c>
      <c r="D69" s="201">
        <v>5</v>
      </c>
    </row>
    <row r="70" spans="1:4" ht="18.75">
      <c r="A70" s="3" t="s">
        <v>1328</v>
      </c>
      <c r="B70" s="197" t="s">
        <v>792</v>
      </c>
      <c r="C70" s="200">
        <f>C71</f>
        <v>0</v>
      </c>
      <c r="D70" s="200">
        <f>D71</f>
        <v>0</v>
      </c>
    </row>
    <row r="71" spans="1:4" ht="18.75">
      <c r="A71" s="3" t="s">
        <v>1329</v>
      </c>
      <c r="B71" s="197" t="s">
        <v>793</v>
      </c>
      <c r="C71" s="200">
        <f aca="true" t="shared" si="18" ref="C71:D71">SUM(C72)</f>
        <v>0</v>
      </c>
      <c r="D71" s="200">
        <f t="shared" si="18"/>
        <v>0</v>
      </c>
    </row>
    <row r="72" spans="1:4" ht="18.75">
      <c r="A72" s="2" t="s">
        <v>794</v>
      </c>
      <c r="B72" s="196" t="s">
        <v>795</v>
      </c>
      <c r="C72" s="201">
        <v>0</v>
      </c>
      <c r="D72" s="201">
        <v>0</v>
      </c>
    </row>
    <row r="73" spans="1:5" ht="18.75">
      <c r="A73" s="147" t="s">
        <v>99</v>
      </c>
      <c r="B73" s="148" t="s">
        <v>100</v>
      </c>
      <c r="C73" s="381">
        <f>SUM(C74+C126)</f>
        <v>356455.01999999996</v>
      </c>
      <c r="D73" s="381">
        <f>SUM(D74+D126)</f>
        <v>340451.01999999996</v>
      </c>
      <c r="E73" s="22"/>
    </row>
    <row r="74" spans="1:4" ht="31.5">
      <c r="A74" s="147" t="s">
        <v>101</v>
      </c>
      <c r="B74" s="148" t="s">
        <v>102</v>
      </c>
      <c r="C74" s="381">
        <f>SUM(C75+C82+C101+C120)</f>
        <v>356455.01999999996</v>
      </c>
      <c r="D74" s="381">
        <f>SUM(D75+D82+D101+D120)</f>
        <v>340451.01999999996</v>
      </c>
    </row>
    <row r="75" spans="1:4" ht="18.75">
      <c r="A75" s="147" t="s">
        <v>860</v>
      </c>
      <c r="B75" s="157" t="s">
        <v>103</v>
      </c>
      <c r="C75" s="200">
        <f>C77+C80</f>
        <v>163094.72</v>
      </c>
      <c r="D75" s="200">
        <f>D77+D80</f>
        <v>147090.72</v>
      </c>
    </row>
    <row r="76" spans="1:4" s="252" customFormat="1" ht="19.5" customHeight="1">
      <c r="A76" s="147" t="s">
        <v>1373</v>
      </c>
      <c r="B76" s="157" t="s">
        <v>1370</v>
      </c>
      <c r="C76" s="200">
        <f>C77</f>
        <v>163094.72</v>
      </c>
      <c r="D76" s="200">
        <f>D77</f>
        <v>147090.72</v>
      </c>
    </row>
    <row r="77" spans="1:4" ht="31.5">
      <c r="A77" s="147" t="s">
        <v>859</v>
      </c>
      <c r="B77" s="148" t="s">
        <v>104</v>
      </c>
      <c r="C77" s="200">
        <f aca="true" t="shared" si="19" ref="C77:D77">SUM(C78+C79)</f>
        <v>163094.72</v>
      </c>
      <c r="D77" s="200">
        <f t="shared" si="19"/>
        <v>147090.72</v>
      </c>
    </row>
    <row r="78" spans="1:4" ht="110.25">
      <c r="A78" s="142" t="s">
        <v>859</v>
      </c>
      <c r="B78" s="154" t="s">
        <v>105</v>
      </c>
      <c r="C78" s="201">
        <f>134322+16668.62+7289.1+4114</f>
        <v>162393.72</v>
      </c>
      <c r="D78" s="201">
        <f>134322+664.62+7289.1+4114</f>
        <v>146389.72</v>
      </c>
    </row>
    <row r="79" spans="1:4" ht="94.5" customHeight="1">
      <c r="A79" s="142" t="s">
        <v>859</v>
      </c>
      <c r="B79" s="154" t="s">
        <v>106</v>
      </c>
      <c r="C79" s="201">
        <v>701</v>
      </c>
      <c r="D79" s="201">
        <v>701</v>
      </c>
    </row>
    <row r="80" spans="1:4" s="252" customFormat="1" ht="31.5" hidden="1">
      <c r="A80" s="144" t="s">
        <v>1371</v>
      </c>
      <c r="B80" s="148" t="s">
        <v>1306</v>
      </c>
      <c r="C80" s="200">
        <f>C81</f>
        <v>0</v>
      </c>
      <c r="D80" s="200">
        <f>D81</f>
        <v>0</v>
      </c>
    </row>
    <row r="81" spans="1:4" s="252" customFormat="1" ht="31.5" hidden="1">
      <c r="A81" s="142" t="s">
        <v>1305</v>
      </c>
      <c r="B81" s="154" t="s">
        <v>1306</v>
      </c>
      <c r="C81" s="201">
        <v>0</v>
      </c>
      <c r="D81" s="201">
        <v>0</v>
      </c>
    </row>
    <row r="82" spans="1:4" ht="31.5">
      <c r="A82" s="147" t="s">
        <v>858</v>
      </c>
      <c r="B82" s="148" t="s">
        <v>107</v>
      </c>
      <c r="C82" s="200">
        <f>C84+C87+C90+C85</f>
        <v>5972.599999999999</v>
      </c>
      <c r="D82" s="200">
        <f>D84+D87+D90+D85</f>
        <v>5972.599999999999</v>
      </c>
    </row>
    <row r="83" spans="1:4" ht="31.5" hidden="1">
      <c r="A83" s="158" t="s">
        <v>1355</v>
      </c>
      <c r="B83" s="148" t="s">
        <v>1374</v>
      </c>
      <c r="C83" s="200">
        <f>C84</f>
        <v>0</v>
      </c>
      <c r="D83" s="200">
        <f>D84</f>
        <v>0</v>
      </c>
    </row>
    <row r="84" spans="1:4" s="252" customFormat="1" ht="31.5" hidden="1">
      <c r="A84" s="364" t="s">
        <v>820</v>
      </c>
      <c r="B84" s="154" t="s">
        <v>827</v>
      </c>
      <c r="C84" s="201">
        <v>0</v>
      </c>
      <c r="D84" s="201">
        <v>0</v>
      </c>
    </row>
    <row r="85" spans="1:4" ht="40.5" customHeight="1" hidden="1">
      <c r="A85" s="158" t="s">
        <v>1357</v>
      </c>
      <c r="B85" s="157" t="s">
        <v>875</v>
      </c>
      <c r="C85" s="200">
        <f>C86</f>
        <v>0</v>
      </c>
      <c r="D85" s="200">
        <f>D86</f>
        <v>0</v>
      </c>
    </row>
    <row r="86" spans="1:4" ht="39.75" customHeight="1" hidden="1">
      <c r="A86" s="327" t="s">
        <v>874</v>
      </c>
      <c r="B86" s="375" t="s">
        <v>875</v>
      </c>
      <c r="C86" s="201">
        <v>0</v>
      </c>
      <c r="D86" s="201">
        <v>0</v>
      </c>
    </row>
    <row r="87" spans="1:4" ht="31.5" hidden="1">
      <c r="A87" s="158" t="s">
        <v>1359</v>
      </c>
      <c r="B87" s="148" t="s">
        <v>1360</v>
      </c>
      <c r="C87" s="200">
        <f aca="true" t="shared" si="20" ref="C87:D89">SUM(C88)</f>
        <v>0</v>
      </c>
      <c r="D87" s="200">
        <f t="shared" si="20"/>
        <v>0</v>
      </c>
    </row>
    <row r="88" spans="1:4" ht="31.5" hidden="1">
      <c r="A88" s="327" t="s">
        <v>857</v>
      </c>
      <c r="B88" s="154" t="s">
        <v>1375</v>
      </c>
      <c r="C88" s="201">
        <v>0</v>
      </c>
      <c r="D88" s="201">
        <v>0</v>
      </c>
    </row>
    <row r="89" spans="1:4" ht="18.75">
      <c r="A89" s="365" t="s">
        <v>1363</v>
      </c>
      <c r="B89" s="148" t="s">
        <v>1362</v>
      </c>
      <c r="C89" s="200">
        <f t="shared" si="20"/>
        <v>5972.599999999999</v>
      </c>
      <c r="D89" s="200">
        <f t="shared" si="20"/>
        <v>5972.599999999999</v>
      </c>
    </row>
    <row r="90" spans="1:4" ht="18.75">
      <c r="A90" s="247" t="s">
        <v>856</v>
      </c>
      <c r="B90" s="154" t="s">
        <v>108</v>
      </c>
      <c r="C90" s="225">
        <f>SUM(C91+C92+C93+C94+C97+C98+C99+C100)</f>
        <v>5972.599999999999</v>
      </c>
      <c r="D90" s="225">
        <f>SUM(D91+D92+D93+D94+D97+D98+D99+D100)</f>
        <v>5972.599999999999</v>
      </c>
    </row>
    <row r="91" spans="1:4" ht="157.5" hidden="1">
      <c r="A91" s="402"/>
      <c r="B91" s="154" t="s">
        <v>843</v>
      </c>
      <c r="C91" s="201">
        <v>0</v>
      </c>
      <c r="D91" s="201">
        <v>0</v>
      </c>
    </row>
    <row r="92" spans="1:4" ht="78.75">
      <c r="A92" s="396"/>
      <c r="B92" s="149" t="s">
        <v>844</v>
      </c>
      <c r="C92" s="201">
        <v>69.1</v>
      </c>
      <c r="D92" s="201">
        <v>69.1</v>
      </c>
    </row>
    <row r="93" spans="1:4" ht="94.5">
      <c r="A93" s="396"/>
      <c r="B93" s="160" t="s">
        <v>727</v>
      </c>
      <c r="C93" s="203">
        <f>2124.9+1127.4</f>
        <v>3252.3</v>
      </c>
      <c r="D93" s="203">
        <f>2124.9+1127.4</f>
        <v>3252.3</v>
      </c>
    </row>
    <row r="94" spans="1:4" ht="67.5" customHeight="1">
      <c r="A94" s="396"/>
      <c r="B94" s="161" t="s">
        <v>845</v>
      </c>
      <c r="C94" s="204">
        <f aca="true" t="shared" si="21" ref="C94:D94">SUM(C95:C96)</f>
        <v>65</v>
      </c>
      <c r="D94" s="204">
        <f t="shared" si="21"/>
        <v>65</v>
      </c>
    </row>
    <row r="95" spans="1:4" ht="116.25" customHeight="1">
      <c r="A95" s="396"/>
      <c r="B95" s="328" t="s">
        <v>842</v>
      </c>
      <c r="C95" s="205">
        <v>40</v>
      </c>
      <c r="D95" s="205">
        <v>40</v>
      </c>
    </row>
    <row r="96" spans="1:4" ht="110.25">
      <c r="A96" s="396"/>
      <c r="B96" s="178" t="s">
        <v>876</v>
      </c>
      <c r="C96" s="206">
        <v>25</v>
      </c>
      <c r="D96" s="206">
        <v>25</v>
      </c>
    </row>
    <row r="97" spans="1:4" ht="94.5">
      <c r="A97" s="396"/>
      <c r="B97" s="149" t="s">
        <v>110</v>
      </c>
      <c r="C97" s="201">
        <f>1317.5+351.1</f>
        <v>1668.6</v>
      </c>
      <c r="D97" s="201">
        <f>1317.5+351.1</f>
        <v>1668.6</v>
      </c>
    </row>
    <row r="98" spans="1:4" ht="87.75" customHeight="1">
      <c r="A98" s="396"/>
      <c r="B98" s="149" t="s">
        <v>846</v>
      </c>
      <c r="C98" s="201">
        <v>255</v>
      </c>
      <c r="D98" s="201">
        <v>255</v>
      </c>
    </row>
    <row r="99" spans="1:4" ht="94.5">
      <c r="A99" s="396"/>
      <c r="B99" s="149" t="s">
        <v>847</v>
      </c>
      <c r="C99" s="201">
        <f>488.7+8</f>
        <v>496.7</v>
      </c>
      <c r="D99" s="201">
        <f>488.7+8</f>
        <v>496.7</v>
      </c>
    </row>
    <row r="100" spans="1:4" ht="157.5">
      <c r="A100" s="397"/>
      <c r="B100" s="217" t="s">
        <v>832</v>
      </c>
      <c r="C100" s="225">
        <v>165.9</v>
      </c>
      <c r="D100" s="225">
        <v>165.9</v>
      </c>
    </row>
    <row r="101" spans="1:4" ht="24.75" customHeight="1">
      <c r="A101" s="147" t="s">
        <v>855</v>
      </c>
      <c r="B101" s="368" t="s">
        <v>111</v>
      </c>
      <c r="C101" s="200">
        <f>C118+C102</f>
        <v>176061.09999999998</v>
      </c>
      <c r="D101" s="200">
        <f>D118+D102</f>
        <v>176061.09999999998</v>
      </c>
    </row>
    <row r="102" spans="1:4" ht="31.5">
      <c r="A102" s="147" t="s">
        <v>854</v>
      </c>
      <c r="B102" s="156" t="s">
        <v>112</v>
      </c>
      <c r="C102" s="200">
        <f aca="true" t="shared" si="22" ref="C102:D102">C103</f>
        <v>175319.69999999998</v>
      </c>
      <c r="D102" s="200">
        <f t="shared" si="22"/>
        <v>175319.69999999998</v>
      </c>
    </row>
    <row r="103" spans="1:4" ht="31.5">
      <c r="A103" s="247" t="s">
        <v>853</v>
      </c>
      <c r="B103" s="149" t="s">
        <v>113</v>
      </c>
      <c r="C103" s="201">
        <f>SUM(C104+C105+C106+C107+C108+C109+C110+C113+C114+C115+C116+C117)</f>
        <v>175319.69999999998</v>
      </c>
      <c r="D103" s="201">
        <f>SUM(D104+D105+D106+D107+D108+D109+D110+D113+D114+D115+D116+D117)</f>
        <v>175319.69999999998</v>
      </c>
    </row>
    <row r="104" spans="1:4" ht="110.25">
      <c r="A104" s="402"/>
      <c r="B104" s="160" t="s">
        <v>728</v>
      </c>
      <c r="C104" s="204">
        <f>'пр.дох.20'!C105</f>
        <v>91447.9</v>
      </c>
      <c r="D104" s="204">
        <f>C104</f>
        <v>91447.9</v>
      </c>
    </row>
    <row r="105" spans="1:4" ht="82.5" customHeight="1">
      <c r="A105" s="396"/>
      <c r="B105" s="149" t="s">
        <v>114</v>
      </c>
      <c r="C105" s="204">
        <f>'пр.дох.20'!C106</f>
        <v>68207.5</v>
      </c>
      <c r="D105" s="204">
        <f aca="true" t="shared" si="23" ref="D105:D117">C105</f>
        <v>68207.5</v>
      </c>
    </row>
    <row r="106" spans="1:4" ht="112.5" customHeight="1">
      <c r="A106" s="396"/>
      <c r="B106" s="149" t="s">
        <v>718</v>
      </c>
      <c r="C106" s="204">
        <f>'пр.дох.20'!C107</f>
        <v>5112</v>
      </c>
      <c r="D106" s="204">
        <f t="shared" si="23"/>
        <v>5112</v>
      </c>
    </row>
    <row r="107" spans="1:4" ht="110.25">
      <c r="A107" s="396"/>
      <c r="B107" s="149" t="s">
        <v>719</v>
      </c>
      <c r="C107" s="204">
        <f>'пр.дох.20'!C108</f>
        <v>1348.6</v>
      </c>
      <c r="D107" s="204">
        <f t="shared" si="23"/>
        <v>1348.6</v>
      </c>
    </row>
    <row r="108" spans="1:4" ht="110.25">
      <c r="A108" s="396"/>
      <c r="B108" s="149" t="s">
        <v>115</v>
      </c>
      <c r="C108" s="204">
        <f>'пр.дох.20'!C109</f>
        <v>1333.1</v>
      </c>
      <c r="D108" s="204">
        <f t="shared" si="23"/>
        <v>1333.1</v>
      </c>
    </row>
    <row r="109" spans="1:4" ht="110.25">
      <c r="A109" s="396"/>
      <c r="B109" s="149" t="s">
        <v>116</v>
      </c>
      <c r="C109" s="204">
        <f>'пр.дох.20'!C110</f>
        <v>605</v>
      </c>
      <c r="D109" s="204">
        <f t="shared" si="23"/>
        <v>605</v>
      </c>
    </row>
    <row r="110" spans="1:4" ht="47.25">
      <c r="A110" s="396"/>
      <c r="B110" s="149" t="s">
        <v>117</v>
      </c>
      <c r="C110" s="204">
        <f>'пр.дох.20'!C111</f>
        <v>3263.9</v>
      </c>
      <c r="D110" s="204">
        <f t="shared" si="23"/>
        <v>3263.9</v>
      </c>
    </row>
    <row r="111" spans="1:4" ht="31.5">
      <c r="A111" s="396"/>
      <c r="B111" s="163" t="s">
        <v>720</v>
      </c>
      <c r="C111" s="204">
        <f>'пр.дох.20'!C112</f>
        <v>2545.3</v>
      </c>
      <c r="D111" s="204">
        <f t="shared" si="23"/>
        <v>2545.3</v>
      </c>
    </row>
    <row r="112" spans="1:4" ht="31.5">
      <c r="A112" s="396"/>
      <c r="B112" s="163" t="s">
        <v>721</v>
      </c>
      <c r="C112" s="204">
        <f>'пр.дох.20'!C113</f>
        <v>718.6</v>
      </c>
      <c r="D112" s="204">
        <f t="shared" si="23"/>
        <v>718.6</v>
      </c>
    </row>
    <row r="113" spans="1:4" ht="126">
      <c r="A113" s="396"/>
      <c r="B113" s="149" t="s">
        <v>848</v>
      </c>
      <c r="C113" s="204">
        <f>'пр.дох.20'!C114</f>
        <v>273.7</v>
      </c>
      <c r="D113" s="204">
        <f t="shared" si="23"/>
        <v>273.7</v>
      </c>
    </row>
    <row r="114" spans="1:4" ht="126">
      <c r="A114" s="396"/>
      <c r="B114" s="149" t="s">
        <v>118</v>
      </c>
      <c r="C114" s="204">
        <f>'пр.дох.20'!C115</f>
        <v>946.8</v>
      </c>
      <c r="D114" s="204">
        <f t="shared" si="23"/>
        <v>946.8</v>
      </c>
    </row>
    <row r="115" spans="1:4" ht="47.25">
      <c r="A115" s="396"/>
      <c r="B115" s="149" t="s">
        <v>119</v>
      </c>
      <c r="C115" s="204">
        <f>'пр.дох.20'!C116</f>
        <v>1117.3</v>
      </c>
      <c r="D115" s="204">
        <f t="shared" si="23"/>
        <v>1117.3</v>
      </c>
    </row>
    <row r="116" spans="1:4" ht="47.25">
      <c r="A116" s="396"/>
      <c r="B116" s="149" t="s">
        <v>722</v>
      </c>
      <c r="C116" s="204">
        <f>'пр.дох.20'!C117</f>
        <v>244</v>
      </c>
      <c r="D116" s="204">
        <f t="shared" si="23"/>
        <v>244</v>
      </c>
    </row>
    <row r="117" spans="1:4" s="252" customFormat="1" ht="47.25">
      <c r="A117" s="397"/>
      <c r="B117" s="149" t="s">
        <v>1331</v>
      </c>
      <c r="C117" s="204">
        <f>'пр.дох.20'!C118</f>
        <v>1419.9</v>
      </c>
      <c r="D117" s="204">
        <f t="shared" si="23"/>
        <v>1419.9</v>
      </c>
    </row>
    <row r="118" spans="1:4" ht="31.5">
      <c r="A118" s="147" t="s">
        <v>852</v>
      </c>
      <c r="B118" s="156" t="s">
        <v>120</v>
      </c>
      <c r="C118" s="200">
        <f aca="true" t="shared" si="24" ref="C118:D118">C119</f>
        <v>741.4</v>
      </c>
      <c r="D118" s="200">
        <f t="shared" si="24"/>
        <v>741.4</v>
      </c>
    </row>
    <row r="119" spans="1:4" ht="31.5">
      <c r="A119" s="247" t="s">
        <v>851</v>
      </c>
      <c r="B119" s="149" t="s">
        <v>121</v>
      </c>
      <c r="C119" s="201">
        <f>'пр.дох.20'!C120</f>
        <v>741.4</v>
      </c>
      <c r="D119" s="201">
        <f>C119</f>
        <v>741.4</v>
      </c>
    </row>
    <row r="120" spans="1:4" ht="18.75">
      <c r="A120" s="147" t="s">
        <v>850</v>
      </c>
      <c r="B120" s="156" t="s">
        <v>122</v>
      </c>
      <c r="C120" s="200">
        <f>SUM(C122)</f>
        <v>11326.6</v>
      </c>
      <c r="D120" s="200">
        <f>SUM(D122)</f>
        <v>11326.6</v>
      </c>
    </row>
    <row r="121" spans="1:4" ht="18.75">
      <c r="A121" s="147" t="s">
        <v>849</v>
      </c>
      <c r="B121" s="156" t="s">
        <v>123</v>
      </c>
      <c r="C121" s="200">
        <f aca="true" t="shared" si="25" ref="C121:D121">C122</f>
        <v>11326.6</v>
      </c>
      <c r="D121" s="200">
        <f t="shared" si="25"/>
        <v>11326.6</v>
      </c>
    </row>
    <row r="122" spans="1:4" s="252" customFormat="1" ht="31.5">
      <c r="A122" s="247" t="s">
        <v>861</v>
      </c>
      <c r="B122" s="149" t="s">
        <v>1364</v>
      </c>
      <c r="C122" s="201">
        <f>SUM(C123:C125)</f>
        <v>11326.6</v>
      </c>
      <c r="D122" s="201">
        <f>SUM(D123:D125)</f>
        <v>11326.6</v>
      </c>
    </row>
    <row r="123" spans="1:4" ht="126">
      <c r="A123" s="402"/>
      <c r="B123" s="164" t="s">
        <v>813</v>
      </c>
      <c r="C123" s="207">
        <f>'пр.дох.20'!C124</f>
        <v>8839.4</v>
      </c>
      <c r="D123" s="207">
        <f>C123</f>
        <v>8839.4</v>
      </c>
    </row>
    <row r="124" spans="1:4" ht="141.75">
      <c r="A124" s="396"/>
      <c r="B124" s="164" t="s">
        <v>814</v>
      </c>
      <c r="C124" s="207">
        <f>'пр.дох.20'!C125</f>
        <v>1673.7</v>
      </c>
      <c r="D124" s="207">
        <f aca="true" t="shared" si="26" ref="D124:D125">C124</f>
        <v>1673.7</v>
      </c>
    </row>
    <row r="125" spans="1:4" ht="18.75">
      <c r="A125" s="397"/>
      <c r="B125" s="417" t="s">
        <v>879</v>
      </c>
      <c r="C125" s="207">
        <f>'пр.дох.20'!C126</f>
        <v>813.5</v>
      </c>
      <c r="D125" s="207">
        <f t="shared" si="26"/>
        <v>813.5</v>
      </c>
    </row>
    <row r="126" spans="1:4" ht="18.75" hidden="1">
      <c r="A126" s="19" t="s">
        <v>809</v>
      </c>
      <c r="B126" s="218" t="s">
        <v>810</v>
      </c>
      <c r="C126" s="219">
        <f>SUM(C127)</f>
        <v>0</v>
      </c>
      <c r="D126" s="219">
        <f>SUM(D127)</f>
        <v>0</v>
      </c>
    </row>
    <row r="127" spans="1:4" ht="31.5" hidden="1">
      <c r="A127" s="19" t="s">
        <v>811</v>
      </c>
      <c r="B127" s="218" t="s">
        <v>812</v>
      </c>
      <c r="C127" s="219">
        <f>SUM(C128)</f>
        <v>0</v>
      </c>
      <c r="D127" s="219">
        <f>SUM(D128)</f>
        <v>0</v>
      </c>
    </row>
    <row r="128" spans="1:4" ht="18.75" hidden="1">
      <c r="A128" s="393" t="s">
        <v>884</v>
      </c>
      <c r="B128" s="222" t="s">
        <v>812</v>
      </c>
      <c r="C128" s="219">
        <f>SUM(C130:C131)</f>
        <v>0</v>
      </c>
      <c r="D128" s="219">
        <f>SUM(D130:D131)</f>
        <v>0</v>
      </c>
    </row>
    <row r="129" spans="1:4" ht="18.75" hidden="1">
      <c r="A129" s="394"/>
      <c r="B129" s="222" t="s">
        <v>109</v>
      </c>
      <c r="C129" s="219"/>
      <c r="D129" s="219"/>
    </row>
    <row r="130" spans="1:4" ht="94.5" hidden="1">
      <c r="A130" s="394"/>
      <c r="B130" s="220" t="s">
        <v>881</v>
      </c>
      <c r="C130" s="207">
        <v>0</v>
      </c>
      <c r="D130" s="207">
        <v>0</v>
      </c>
    </row>
    <row r="131" spans="1:4" ht="78.75" hidden="1">
      <c r="A131" s="401"/>
      <c r="B131" s="220" t="s">
        <v>882</v>
      </c>
      <c r="C131" s="207">
        <v>0</v>
      </c>
      <c r="D131" s="207">
        <v>0</v>
      </c>
    </row>
    <row r="132" spans="1:4" ht="18.75">
      <c r="A132" s="247"/>
      <c r="B132" s="214" t="s">
        <v>124</v>
      </c>
      <c r="C132" s="381">
        <f>SUM(C9+C73)</f>
        <v>679225.02</v>
      </c>
      <c r="D132" s="381">
        <f>SUM(D9+D73)</f>
        <v>679225.02</v>
      </c>
    </row>
  </sheetData>
  <mergeCells count="7">
    <mergeCell ref="A128:A131"/>
    <mergeCell ref="A4:D4"/>
    <mergeCell ref="A5:D5"/>
    <mergeCell ref="A6:D6"/>
    <mergeCell ref="A91:A100"/>
    <mergeCell ref="A104:A117"/>
    <mergeCell ref="A123:A125"/>
  </mergeCells>
  <hyperlinks>
    <hyperlink ref="B65" r:id="rId1" display="consultantplus://offline/ref=90DD075742B43C415054D7C57EEE35341F87E5BC1D9D1BDE3A747C0D881C15D50B24F795703DF0A84C588B73F9A8AC3C8A6AC02CDB9A5E68c4m2F"/>
    <hyperlink ref="B67" r:id="rId2" display="consultantplus://offline/ref=90DD075742B43C415054D7C57EEE35341F87E5BC1D9D1BDE3A747C0D881C15D50B24F795703DF2AD4E588B73F9A8AC3C8A6AC02CDB9A5E68c4m2F"/>
    <hyperlink ref="B69" r:id="rId3" display="consultantplus://offline/ref=90DD075742B43C415054D7C57EEE35341F87E5BC1D9D1BDE3A747C0D881C15D50B24F795703CF7A64B588B73F9A8AC3C8A6AC02CDB9A5E68c4m2F"/>
    <hyperlink ref="B68" r:id="rId4" display="consultantplus://offline/ref=90DD075742B43C415054D7C57EEE35341F87E5BC1D9D1BDE3A747C0D881C15D50B24F795703CF7A64B588B73F9A8AC3C8A6AC02CDB9A5E68c4m2F"/>
    <hyperlink ref="B64" r:id="rId5" display="consultantplus://offline/ref=90DD075742B43C415054D7C57EEE35341F87E5BC1D9D1BDE3A747C0D881C15D50B24F795703DF0A84C588B73F9A8AC3C8A6AC02CDB9A5E68c4m2F"/>
    <hyperlink ref="B66" r:id="rId6" display="consultantplus://offline/ref=90DD075742B43C415054D7C57EEE35341F87E5BC1D9D1BDE3A747C0D881C15D50B24F795703DF2AD4E588B73F9A8AC3C8A6AC02CDB9A5E68c4m2F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SheetLayoutView="100" workbookViewId="0" topLeftCell="A39">
      <selection activeCell="D48" sqref="D48"/>
    </sheetView>
  </sheetViews>
  <sheetFormatPr defaultColWidth="9.140625" defaultRowHeight="15"/>
  <cols>
    <col min="1" max="1" width="80.7109375" style="0" customWidth="1"/>
    <col min="2" max="2" width="4.57421875" style="0" customWidth="1"/>
    <col min="3" max="3" width="6.140625" style="0" customWidth="1"/>
    <col min="4" max="4" width="14.421875" style="0" customWidth="1"/>
  </cols>
  <sheetData>
    <row r="1" spans="1:4" ht="15.75">
      <c r="A1" s="11"/>
      <c r="C1" s="11"/>
      <c r="D1" s="139" t="s">
        <v>608</v>
      </c>
    </row>
    <row r="2" spans="1:4" ht="15.75">
      <c r="A2" s="11"/>
      <c r="C2" s="11"/>
      <c r="D2" s="139" t="s">
        <v>1</v>
      </c>
    </row>
    <row r="3" spans="1:4" ht="18.75">
      <c r="A3" s="11"/>
      <c r="B3" s="165"/>
      <c r="C3" s="11"/>
      <c r="D3" s="216"/>
    </row>
    <row r="4" spans="1:4" ht="15.75">
      <c r="A4" s="405" t="s">
        <v>1382</v>
      </c>
      <c r="B4" s="405"/>
      <c r="C4" s="405"/>
      <c r="D4" s="405"/>
    </row>
    <row r="5" spans="1:4" ht="15.75">
      <c r="A5" s="405" t="s">
        <v>1383</v>
      </c>
      <c r="B5" s="405"/>
      <c r="C5" s="405"/>
      <c r="D5" s="405"/>
    </row>
    <row r="6" spans="1:4" ht="15.75">
      <c r="A6" s="405" t="s">
        <v>1384</v>
      </c>
      <c r="B6" s="405"/>
      <c r="C6" s="405"/>
      <c r="D6" s="405"/>
    </row>
    <row r="7" spans="1:3" ht="15.75">
      <c r="A7" s="403"/>
      <c r="B7" s="404"/>
      <c r="C7" s="404"/>
    </row>
    <row r="8" spans="2:4" ht="15">
      <c r="B8" s="97"/>
      <c r="C8" s="97"/>
      <c r="D8" s="211" t="s">
        <v>2</v>
      </c>
    </row>
    <row r="9" spans="1:4" ht="66" customHeight="1">
      <c r="A9" s="98" t="s">
        <v>693</v>
      </c>
      <c r="B9" s="98" t="s">
        <v>694</v>
      </c>
      <c r="C9" s="98" t="s">
        <v>695</v>
      </c>
      <c r="D9" s="193" t="s">
        <v>1207</v>
      </c>
    </row>
    <row r="10" spans="1:4" ht="15.75">
      <c r="A10" s="48" t="s">
        <v>134</v>
      </c>
      <c r="B10" s="24" t="s">
        <v>135</v>
      </c>
      <c r="C10" s="99"/>
      <c r="D10" s="100">
        <f aca="true" t="shared" si="0" ref="D10">D11+D12+D13+D14+D15</f>
        <v>151857.525</v>
      </c>
    </row>
    <row r="11" spans="1:5" ht="31.5">
      <c r="A11" s="32" t="s">
        <v>592</v>
      </c>
      <c r="B11" s="20" t="s">
        <v>135</v>
      </c>
      <c r="C11" s="20" t="s">
        <v>230</v>
      </c>
      <c r="D11" s="27">
        <f>'Пр.5 Рд,пр, ЦС,ВР 20'!F9</f>
        <v>4537.53</v>
      </c>
      <c r="E11" s="22"/>
    </row>
    <row r="12" spans="1:4" ht="47.25">
      <c r="A12" s="32" t="s">
        <v>595</v>
      </c>
      <c r="B12" s="20" t="s">
        <v>135</v>
      </c>
      <c r="C12" s="20" t="s">
        <v>232</v>
      </c>
      <c r="D12" s="27">
        <f>'Пр.5 Рд,пр, ЦС,ВР 20'!F28</f>
        <v>1259.989</v>
      </c>
    </row>
    <row r="13" spans="1:4" ht="47.25">
      <c r="A13" s="25" t="s">
        <v>166</v>
      </c>
      <c r="B13" s="20" t="s">
        <v>135</v>
      </c>
      <c r="C13" s="20" t="s">
        <v>167</v>
      </c>
      <c r="D13" s="27">
        <f>'Пр.5 Рд,пр, ЦС,ВР 20'!F39</f>
        <v>70261.384</v>
      </c>
    </row>
    <row r="14" spans="1:4" ht="31.5">
      <c r="A14" s="25" t="s">
        <v>136</v>
      </c>
      <c r="B14" s="20" t="s">
        <v>135</v>
      </c>
      <c r="C14" s="20" t="s">
        <v>137</v>
      </c>
      <c r="D14" s="27">
        <f>'Пр.5 Рд,пр, ЦС,ВР 20'!F96</f>
        <v>17610.106</v>
      </c>
    </row>
    <row r="15" spans="1:4" ht="15.75">
      <c r="A15" s="101" t="s">
        <v>156</v>
      </c>
      <c r="B15" s="20" t="s">
        <v>135</v>
      </c>
      <c r="C15" s="20" t="s">
        <v>157</v>
      </c>
      <c r="D15" s="27">
        <f>'Пр.5 Рд,пр, ЦС,ВР 20'!F118</f>
        <v>58188.515999999996</v>
      </c>
    </row>
    <row r="16" spans="1:4" ht="15.75" hidden="1">
      <c r="A16" s="19" t="s">
        <v>229</v>
      </c>
      <c r="B16" s="24" t="s">
        <v>230</v>
      </c>
      <c r="C16" s="20"/>
      <c r="D16" s="45">
        <f aca="true" t="shared" si="1" ref="D16">D17</f>
        <v>0</v>
      </c>
    </row>
    <row r="17" spans="1:4" ht="15.75" hidden="1">
      <c r="A17" s="25" t="s">
        <v>235</v>
      </c>
      <c r="B17" s="20" t="s">
        <v>230</v>
      </c>
      <c r="C17" s="20" t="s">
        <v>236</v>
      </c>
      <c r="D17" s="27"/>
    </row>
    <row r="18" spans="1:4" ht="18" customHeight="1">
      <c r="A18" s="35" t="s">
        <v>239</v>
      </c>
      <c r="B18" s="24" t="s">
        <v>232</v>
      </c>
      <c r="C18" s="24"/>
      <c r="D18" s="45">
        <f aca="true" t="shared" si="2" ref="D18">D19</f>
        <v>8610.844000000001</v>
      </c>
    </row>
    <row r="19" spans="1:4" ht="31.5">
      <c r="A19" s="32" t="s">
        <v>240</v>
      </c>
      <c r="B19" s="20" t="s">
        <v>232</v>
      </c>
      <c r="C19" s="20" t="s">
        <v>236</v>
      </c>
      <c r="D19" s="27">
        <f>'Пр.5 Рд,пр, ЦС,ВР 20'!F211</f>
        <v>8610.844000000001</v>
      </c>
    </row>
    <row r="20" spans="1:4" ht="15.75">
      <c r="A20" s="48" t="s">
        <v>249</v>
      </c>
      <c r="B20" s="24" t="s">
        <v>167</v>
      </c>
      <c r="C20" s="24"/>
      <c r="D20" s="45">
        <f aca="true" t="shared" si="3" ref="D20">D21+D22+D23+D24</f>
        <v>8950.3</v>
      </c>
    </row>
    <row r="21" spans="1:4" ht="15.75">
      <c r="A21" s="102" t="s">
        <v>250</v>
      </c>
      <c r="B21" s="20" t="s">
        <v>167</v>
      </c>
      <c r="C21" s="20" t="s">
        <v>251</v>
      </c>
      <c r="D21" s="27">
        <f>'Пр.5 Рд,пр, ЦС,ВР 20'!F230</f>
        <v>355</v>
      </c>
    </row>
    <row r="22" spans="1:4" ht="15.75">
      <c r="A22" s="101" t="s">
        <v>522</v>
      </c>
      <c r="B22" s="20" t="s">
        <v>167</v>
      </c>
      <c r="C22" s="20" t="s">
        <v>316</v>
      </c>
      <c r="D22" s="27">
        <f>'Пр.5 Рд,пр, ЦС,ВР 20'!F243</f>
        <v>3258</v>
      </c>
    </row>
    <row r="23" spans="1:4" ht="15.75">
      <c r="A23" s="101" t="s">
        <v>525</v>
      </c>
      <c r="B23" s="20" t="s">
        <v>167</v>
      </c>
      <c r="C23" s="20" t="s">
        <v>236</v>
      </c>
      <c r="D23" s="27">
        <f>'Пр.5 Рд,пр, ЦС,ВР 20'!F249</f>
        <v>4562.3</v>
      </c>
    </row>
    <row r="24" spans="1:4" ht="15.75">
      <c r="A24" s="103" t="s">
        <v>254</v>
      </c>
      <c r="B24" s="20" t="s">
        <v>167</v>
      </c>
      <c r="C24" s="20" t="s">
        <v>255</v>
      </c>
      <c r="D24" s="27">
        <f>'Пр.5 Рд,пр, ЦС,ВР 20'!F261</f>
        <v>774.9999999999999</v>
      </c>
    </row>
    <row r="25" spans="1:4" ht="15.75">
      <c r="A25" s="48" t="s">
        <v>407</v>
      </c>
      <c r="B25" s="24" t="s">
        <v>251</v>
      </c>
      <c r="C25" s="24"/>
      <c r="D25" s="45">
        <f aca="true" t="shared" si="4" ref="D25">SUM(D26:D29)</f>
        <v>39794.296</v>
      </c>
    </row>
    <row r="26" spans="1:5" ht="15.75">
      <c r="A26" s="102" t="s">
        <v>408</v>
      </c>
      <c r="B26" s="20" t="s">
        <v>251</v>
      </c>
      <c r="C26" s="20" t="s">
        <v>135</v>
      </c>
      <c r="D26" s="27">
        <f>'Пр.5 Рд,пр, ЦС,ВР 20'!F305</f>
        <v>6341</v>
      </c>
      <c r="E26" s="22"/>
    </row>
    <row r="27" spans="1:4" ht="15.75">
      <c r="A27" s="102" t="s">
        <v>534</v>
      </c>
      <c r="B27" s="20" t="s">
        <v>251</v>
      </c>
      <c r="C27" s="20" t="s">
        <v>230</v>
      </c>
      <c r="D27" s="27">
        <f>'Пр.5 Рд,пр, ЦС,ВР 20'!F319</f>
        <v>5000</v>
      </c>
    </row>
    <row r="28" spans="1:4" ht="15.75">
      <c r="A28" s="101" t="s">
        <v>558</v>
      </c>
      <c r="B28" s="20" t="s">
        <v>251</v>
      </c>
      <c r="C28" s="20" t="s">
        <v>232</v>
      </c>
      <c r="D28" s="27">
        <f>'Пр.5 Рд,пр, ЦС,ВР 20'!F378</f>
        <v>4683.9</v>
      </c>
    </row>
    <row r="29" spans="1:4" ht="15.75">
      <c r="A29" s="25" t="s">
        <v>586</v>
      </c>
      <c r="B29" s="20" t="s">
        <v>251</v>
      </c>
      <c r="C29" s="20" t="s">
        <v>251</v>
      </c>
      <c r="D29" s="27">
        <f>'Пр.5 Рд,пр, ЦС,ВР 20'!F427</f>
        <v>23769.396</v>
      </c>
    </row>
    <row r="30" spans="1:4" ht="15.75">
      <c r="A30" s="48" t="s">
        <v>280</v>
      </c>
      <c r="B30" s="24" t="s">
        <v>281</v>
      </c>
      <c r="C30" s="24"/>
      <c r="D30" s="45">
        <f aca="true" t="shared" si="5" ref="D30">SUM(D31:D35)</f>
        <v>317454.28099999996</v>
      </c>
    </row>
    <row r="31" spans="1:4" ht="15.75">
      <c r="A31" s="101" t="s">
        <v>421</v>
      </c>
      <c r="B31" s="20" t="s">
        <v>281</v>
      </c>
      <c r="C31" s="20" t="s">
        <v>135</v>
      </c>
      <c r="D31" s="27">
        <f>'Пр.5 Рд,пр, ЦС,ВР 20'!F463</f>
        <v>96706</v>
      </c>
    </row>
    <row r="32" spans="1:4" ht="15.75">
      <c r="A32" s="101" t="s">
        <v>442</v>
      </c>
      <c r="B32" s="20" t="s">
        <v>281</v>
      </c>
      <c r="C32" s="20" t="s">
        <v>230</v>
      </c>
      <c r="D32" s="27">
        <f>'Пр.5 Рд,пр, ЦС,ВР 20'!F524</f>
        <v>139817.9</v>
      </c>
    </row>
    <row r="33" spans="1:4" ht="15.75">
      <c r="A33" s="101" t="s">
        <v>282</v>
      </c>
      <c r="B33" s="20" t="s">
        <v>281</v>
      </c>
      <c r="C33" s="20" t="s">
        <v>232</v>
      </c>
      <c r="D33" s="27">
        <f>'Пр.5 Рд,пр, ЦС,ВР 20'!F602</f>
        <v>52590.149999999994</v>
      </c>
    </row>
    <row r="34" spans="1:4" ht="15.75">
      <c r="A34" s="101" t="s">
        <v>483</v>
      </c>
      <c r="B34" s="20" t="s">
        <v>281</v>
      </c>
      <c r="C34" s="20" t="s">
        <v>281</v>
      </c>
      <c r="D34" s="27">
        <f>'Пр.5 Рд,пр, ЦС,ВР 20'!F670</f>
        <v>7871.3</v>
      </c>
    </row>
    <row r="35" spans="1:4" ht="15.75">
      <c r="A35" s="101" t="s">
        <v>312</v>
      </c>
      <c r="B35" s="20" t="s">
        <v>281</v>
      </c>
      <c r="C35" s="20" t="s">
        <v>236</v>
      </c>
      <c r="D35" s="27">
        <f>'Пр.5 Рд,пр, ЦС,ВР 20'!F699</f>
        <v>20468.931</v>
      </c>
    </row>
    <row r="36" spans="1:4" ht="15.75">
      <c r="A36" s="104" t="s">
        <v>315</v>
      </c>
      <c r="B36" s="24" t="s">
        <v>316</v>
      </c>
      <c r="C36" s="20"/>
      <c r="D36" s="45">
        <f aca="true" t="shared" si="6" ref="D36">D37+D38</f>
        <v>68580.954</v>
      </c>
    </row>
    <row r="37" spans="1:4" ht="15.75">
      <c r="A37" s="103" t="s">
        <v>317</v>
      </c>
      <c r="B37" s="20" t="s">
        <v>316</v>
      </c>
      <c r="C37" s="20" t="s">
        <v>135</v>
      </c>
      <c r="D37" s="27">
        <f>'Пр.5 Рд,пр, ЦС,ВР 20'!F727</f>
        <v>48790.81999999999</v>
      </c>
    </row>
    <row r="38" spans="1:4" ht="15.75">
      <c r="A38" s="103" t="s">
        <v>350</v>
      </c>
      <c r="B38" s="20" t="s">
        <v>316</v>
      </c>
      <c r="C38" s="20" t="s">
        <v>167</v>
      </c>
      <c r="D38" s="27">
        <f>'Пр.5 Рд,пр, ЦС,ВР 20'!F793</f>
        <v>19790.134</v>
      </c>
    </row>
    <row r="39" spans="1:4" ht="15.75">
      <c r="A39" s="48" t="s">
        <v>260</v>
      </c>
      <c r="B39" s="24" t="s">
        <v>261</v>
      </c>
      <c r="C39" s="24"/>
      <c r="D39" s="45">
        <f>SUM(D40:D42)</f>
        <v>15036.9</v>
      </c>
    </row>
    <row r="40" spans="1:4" ht="15.75">
      <c r="A40" s="101" t="s">
        <v>262</v>
      </c>
      <c r="B40" s="20" t="s">
        <v>261</v>
      </c>
      <c r="C40" s="20" t="s">
        <v>135</v>
      </c>
      <c r="D40" s="27">
        <f>'Пр.5 Рд,пр, ЦС,ВР 20'!F823</f>
        <v>9456</v>
      </c>
    </row>
    <row r="41" spans="1:4" ht="15.75">
      <c r="A41" s="25" t="s">
        <v>269</v>
      </c>
      <c r="B41" s="20" t="s">
        <v>261</v>
      </c>
      <c r="C41" s="20" t="s">
        <v>232</v>
      </c>
      <c r="D41" s="27">
        <f>'Пр.5 Рд,пр, ЦС,ВР 20'!F829</f>
        <v>2230</v>
      </c>
    </row>
    <row r="42" spans="1:4" ht="15.75">
      <c r="A42" s="25" t="s">
        <v>275</v>
      </c>
      <c r="B42" s="20" t="s">
        <v>261</v>
      </c>
      <c r="C42" s="20" t="s">
        <v>137</v>
      </c>
      <c r="D42" s="27">
        <f>'Пр.5 Рд,пр, ЦС,ВР 20'!F862</f>
        <v>3350.9</v>
      </c>
    </row>
    <row r="43" spans="1:4" ht="15.75">
      <c r="A43" s="104" t="s">
        <v>507</v>
      </c>
      <c r="B43" s="24" t="s">
        <v>508</v>
      </c>
      <c r="C43" s="20"/>
      <c r="D43" s="45">
        <f aca="true" t="shared" si="7" ref="D43">D44+D45</f>
        <v>60935.022999999994</v>
      </c>
    </row>
    <row r="44" spans="1:4" ht="15.75">
      <c r="A44" s="103" t="s">
        <v>509</v>
      </c>
      <c r="B44" s="20" t="s">
        <v>508</v>
      </c>
      <c r="C44" s="20" t="s">
        <v>135</v>
      </c>
      <c r="D44" s="27">
        <f>'Пр.5 Рд,пр, ЦС,ВР 20'!F876</f>
        <v>48328.299999999996</v>
      </c>
    </row>
    <row r="45" spans="1:4" ht="15.75">
      <c r="A45" s="103" t="s">
        <v>517</v>
      </c>
      <c r="B45" s="20" t="s">
        <v>508</v>
      </c>
      <c r="C45" s="20" t="s">
        <v>251</v>
      </c>
      <c r="D45" s="27">
        <f>'Пр.5 Рд,пр, ЦС,ВР 20'!F915</f>
        <v>12606.723</v>
      </c>
    </row>
    <row r="46" spans="1:4" ht="15.75">
      <c r="A46" s="19" t="s">
        <v>599</v>
      </c>
      <c r="B46" s="24" t="s">
        <v>255</v>
      </c>
      <c r="C46" s="20"/>
      <c r="D46" s="45">
        <f aca="true" t="shared" si="8" ref="D46">D47</f>
        <v>7451</v>
      </c>
    </row>
    <row r="47" spans="1:4" ht="15.75">
      <c r="A47" s="32" t="s">
        <v>600</v>
      </c>
      <c r="B47" s="20" t="s">
        <v>255</v>
      </c>
      <c r="C47" s="20" t="s">
        <v>230</v>
      </c>
      <c r="D47" s="27">
        <f>'Пр.5 Рд,пр, ЦС,ВР 20'!F945</f>
        <v>7451</v>
      </c>
    </row>
    <row r="48" spans="1:5" ht="15.75">
      <c r="A48" s="99" t="s">
        <v>696</v>
      </c>
      <c r="B48" s="24"/>
      <c r="C48" s="24"/>
      <c r="D48" s="371">
        <f>D10+D18+D20+D25+D30+D36+D39+D43+D46+D16</f>
        <v>678671.123</v>
      </c>
      <c r="E48" s="22"/>
    </row>
    <row r="49" ht="15" hidden="1">
      <c r="D49">
        <f>'Пр.6 ведом.20'!G1052</f>
        <v>678671.1229999999</v>
      </c>
    </row>
    <row r="50" ht="15" hidden="1">
      <c r="D50" s="22">
        <f aca="true" t="shared" si="9" ref="D50">D49-D48</f>
        <v>0</v>
      </c>
    </row>
    <row r="52" ht="15">
      <c r="D52" s="22"/>
    </row>
  </sheetData>
  <mergeCells count="4">
    <mergeCell ref="A7:C7"/>
    <mergeCell ref="A4:D4"/>
    <mergeCell ref="A5:D5"/>
    <mergeCell ref="A6:D6"/>
  </mergeCells>
  <printOptions/>
  <pageMargins left="0.25" right="0.25" top="0.75" bottom="0.75" header="0.3" footer="0.3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workbookViewId="0" topLeftCell="A1">
      <selection activeCell="D50" sqref="D50:E50"/>
    </sheetView>
  </sheetViews>
  <sheetFormatPr defaultColWidth="9.140625" defaultRowHeight="15"/>
  <cols>
    <col min="1" max="1" width="65.140625" style="0" customWidth="1"/>
    <col min="2" max="2" width="7.00390625" style="0" customWidth="1"/>
    <col min="3" max="3" width="6.00390625" style="0" customWidth="1"/>
    <col min="4" max="4" width="13.7109375" style="0" customWidth="1"/>
    <col min="5" max="5" width="15.57421875" style="0" customWidth="1"/>
  </cols>
  <sheetData>
    <row r="1" spans="1:5" ht="15.75">
      <c r="A1" s="11"/>
      <c r="B1" s="252"/>
      <c r="C1" s="11"/>
      <c r="D1" s="252"/>
      <c r="E1" s="139" t="s">
        <v>1293</v>
      </c>
    </row>
    <row r="2" spans="1:5" ht="15.75">
      <c r="A2" s="11"/>
      <c r="B2" s="252"/>
      <c r="C2" s="11"/>
      <c r="D2" s="252"/>
      <c r="E2" s="139" t="s">
        <v>1</v>
      </c>
    </row>
    <row r="3" spans="1:5" ht="18.75">
      <c r="A3" s="11"/>
      <c r="B3" s="165"/>
      <c r="C3" s="11"/>
      <c r="D3" s="252"/>
      <c r="E3" s="216"/>
    </row>
    <row r="4" spans="1:5" ht="15.75">
      <c r="A4" s="405" t="s">
        <v>1382</v>
      </c>
      <c r="B4" s="405"/>
      <c r="C4" s="405"/>
      <c r="D4" s="405"/>
      <c r="E4" s="405"/>
    </row>
    <row r="5" spans="1:5" ht="15.75">
      <c r="A5" s="405" t="s">
        <v>1385</v>
      </c>
      <c r="B5" s="405"/>
      <c r="C5" s="405"/>
      <c r="D5" s="405"/>
      <c r="E5" s="405"/>
    </row>
    <row r="6" spans="1:5" ht="15.75">
      <c r="A6" s="405" t="s">
        <v>1386</v>
      </c>
      <c r="B6" s="405"/>
      <c r="C6" s="405"/>
      <c r="D6" s="405"/>
      <c r="E6" s="405"/>
    </row>
    <row r="7" spans="1:5" ht="15.75">
      <c r="A7" s="403"/>
      <c r="B7" s="404"/>
      <c r="C7" s="404"/>
      <c r="D7" s="252"/>
      <c r="E7" s="252"/>
    </row>
    <row r="8" spans="1:5" ht="15">
      <c r="A8" s="252"/>
      <c r="B8" s="97"/>
      <c r="C8" s="97"/>
      <c r="D8" s="252"/>
      <c r="E8" s="211" t="s">
        <v>2</v>
      </c>
    </row>
    <row r="9" spans="1:5" ht="31.5">
      <c r="A9" s="98" t="s">
        <v>693</v>
      </c>
      <c r="B9" s="98" t="s">
        <v>694</v>
      </c>
      <c r="C9" s="98" t="s">
        <v>695</v>
      </c>
      <c r="D9" s="333" t="s">
        <v>1208</v>
      </c>
      <c r="E9" s="333" t="s">
        <v>1209</v>
      </c>
    </row>
    <row r="10" spans="1:7" ht="15.75">
      <c r="A10" s="48" t="s">
        <v>134</v>
      </c>
      <c r="B10" s="24" t="s">
        <v>135</v>
      </c>
      <c r="C10" s="99"/>
      <c r="D10" s="100">
        <f>SUM(D11:D15)</f>
        <v>151884.525</v>
      </c>
      <c r="E10" s="100">
        <f>SUM(E11:E15)</f>
        <v>151884.525</v>
      </c>
      <c r="G10" s="22"/>
    </row>
    <row r="11" spans="1:5" ht="31.5">
      <c r="A11" s="32" t="s">
        <v>592</v>
      </c>
      <c r="B11" s="20" t="s">
        <v>135</v>
      </c>
      <c r="C11" s="20" t="s">
        <v>230</v>
      </c>
      <c r="D11" s="339">
        <f>'пр.5.1.рдпрцс 21-22'!F9</f>
        <v>4537.53</v>
      </c>
      <c r="E11" s="339">
        <f>'пр.5.1.рдпрцс 21-22'!G9</f>
        <v>4537.53</v>
      </c>
    </row>
    <row r="12" spans="1:5" ht="47.25">
      <c r="A12" s="32" t="s">
        <v>595</v>
      </c>
      <c r="B12" s="20" t="s">
        <v>135</v>
      </c>
      <c r="C12" s="20" t="s">
        <v>232</v>
      </c>
      <c r="D12" s="339">
        <f>'пр.5.1.рдпрцс 21-22'!F28</f>
        <v>1259.989</v>
      </c>
      <c r="E12" s="339">
        <f>'пр.5.1.рдпрцс 21-22'!G28</f>
        <v>1259.989</v>
      </c>
    </row>
    <row r="13" spans="1:5" ht="47.25">
      <c r="A13" s="25" t="s">
        <v>166</v>
      </c>
      <c r="B13" s="20" t="s">
        <v>135</v>
      </c>
      <c r="C13" s="20" t="s">
        <v>167</v>
      </c>
      <c r="D13" s="339">
        <f>'пр.5.1.рдпрцс 21-22'!F39</f>
        <v>70261.384</v>
      </c>
      <c r="E13" s="339">
        <f>'пр.5.1.рдпрцс 21-22'!G39</f>
        <v>70261.384</v>
      </c>
    </row>
    <row r="14" spans="1:5" ht="47.25">
      <c r="A14" s="25" t="s">
        <v>136</v>
      </c>
      <c r="B14" s="20" t="s">
        <v>135</v>
      </c>
      <c r="C14" s="20" t="s">
        <v>137</v>
      </c>
      <c r="D14" s="339">
        <f>'пр.5.1.рдпрцс 21-22'!F96</f>
        <v>17610.106</v>
      </c>
      <c r="E14" s="339">
        <f>'пр.5.1.рдпрцс 21-22'!G96</f>
        <v>17610.106</v>
      </c>
    </row>
    <row r="15" spans="1:5" ht="15.75">
      <c r="A15" s="101" t="s">
        <v>156</v>
      </c>
      <c r="B15" s="20" t="s">
        <v>135</v>
      </c>
      <c r="C15" s="20" t="s">
        <v>157</v>
      </c>
      <c r="D15" s="339">
        <f>'пр.5.1.рдпрцс 21-22'!F118</f>
        <v>58215.515999999996</v>
      </c>
      <c r="E15" s="339">
        <f>'пр.5.1.рдпрцс 21-22'!G118</f>
        <v>58215.515999999996</v>
      </c>
    </row>
    <row r="16" spans="1:5" ht="15.75" hidden="1">
      <c r="A16" s="19" t="s">
        <v>229</v>
      </c>
      <c r="B16" s="24" t="s">
        <v>230</v>
      </c>
      <c r="C16" s="20"/>
      <c r="D16" s="100">
        <f>'пр.4 Рд,пр 20'!D16</f>
        <v>0</v>
      </c>
      <c r="E16" s="100">
        <f>'пр.4 Рд,пр 20'!E16</f>
        <v>0</v>
      </c>
    </row>
    <row r="17" spans="1:5" ht="15.75" hidden="1">
      <c r="A17" s="25" t="s">
        <v>235</v>
      </c>
      <c r="B17" s="20" t="s">
        <v>230</v>
      </c>
      <c r="C17" s="20" t="s">
        <v>236</v>
      </c>
      <c r="D17" s="339">
        <f>'пр.4 Рд,пр 20'!D17</f>
        <v>0</v>
      </c>
      <c r="E17" s="339">
        <f>'пр.4 Рд,пр 20'!E17</f>
        <v>0</v>
      </c>
    </row>
    <row r="18" spans="1:5" ht="31.5">
      <c r="A18" s="35" t="s">
        <v>239</v>
      </c>
      <c r="B18" s="24" t="s">
        <v>232</v>
      </c>
      <c r="C18" s="24"/>
      <c r="D18" s="100">
        <f>D19</f>
        <v>8610.844000000001</v>
      </c>
      <c r="E18" s="100">
        <f>E19</f>
        <v>8610.844000000001</v>
      </c>
    </row>
    <row r="19" spans="1:5" ht="31.5">
      <c r="A19" s="32" t="s">
        <v>240</v>
      </c>
      <c r="B19" s="20" t="s">
        <v>232</v>
      </c>
      <c r="C19" s="20" t="s">
        <v>236</v>
      </c>
      <c r="D19" s="339">
        <f>'пр.5.1.рдпрцс 21-22'!F211</f>
        <v>8610.844000000001</v>
      </c>
      <c r="E19" s="339">
        <f>'пр.5.1.рдпрцс 21-22'!G211</f>
        <v>8610.844000000001</v>
      </c>
    </row>
    <row r="20" spans="1:5" ht="15.75">
      <c r="A20" s="48" t="s">
        <v>249</v>
      </c>
      <c r="B20" s="24" t="s">
        <v>167</v>
      </c>
      <c r="C20" s="24"/>
      <c r="D20" s="100">
        <f>SUM(D21:D24)</f>
        <v>8934.199999999999</v>
      </c>
      <c r="E20" s="100">
        <f>SUM(E21:E24)</f>
        <v>8934.199999999999</v>
      </c>
    </row>
    <row r="21" spans="1:5" ht="15.75">
      <c r="A21" s="102" t="s">
        <v>250</v>
      </c>
      <c r="B21" s="20" t="s">
        <v>167</v>
      </c>
      <c r="C21" s="20" t="s">
        <v>251</v>
      </c>
      <c r="D21" s="339">
        <f>'пр.5.1.рдпрцс 21-22'!F230</f>
        <v>355</v>
      </c>
      <c r="E21" s="339">
        <f>'пр.5.1.рдпрцс 21-22'!G230</f>
        <v>355</v>
      </c>
    </row>
    <row r="22" spans="1:5" ht="15.75">
      <c r="A22" s="101" t="s">
        <v>522</v>
      </c>
      <c r="B22" s="20" t="s">
        <v>167</v>
      </c>
      <c r="C22" s="20" t="s">
        <v>316</v>
      </c>
      <c r="D22" s="339">
        <f>'пр.5.1.рдпрцс 21-22'!F243</f>
        <v>3258</v>
      </c>
      <c r="E22" s="339">
        <f>'пр.5.1.рдпрцс 21-22'!G243</f>
        <v>3258</v>
      </c>
    </row>
    <row r="23" spans="1:5" ht="15.75">
      <c r="A23" s="101" t="s">
        <v>525</v>
      </c>
      <c r="B23" s="20" t="s">
        <v>167</v>
      </c>
      <c r="C23" s="20" t="s">
        <v>236</v>
      </c>
      <c r="D23" s="339">
        <f>'пр.5.1.рдпрцс 21-22'!F249</f>
        <v>4546.2</v>
      </c>
      <c r="E23" s="339">
        <f>'пр.5.1.рдпрцс 21-22'!G249</f>
        <v>4546.2</v>
      </c>
    </row>
    <row r="24" spans="1:5" ht="15.75">
      <c r="A24" s="103" t="s">
        <v>254</v>
      </c>
      <c r="B24" s="20" t="s">
        <v>167</v>
      </c>
      <c r="C24" s="20" t="s">
        <v>255</v>
      </c>
      <c r="D24" s="339">
        <f>'пр.5.1.рдпрцс 21-22'!F261</f>
        <v>774.9999999999999</v>
      </c>
      <c r="E24" s="339">
        <f>'пр.5.1.рдпрцс 21-22'!G261</f>
        <v>774.9999999999999</v>
      </c>
    </row>
    <row r="25" spans="1:5" ht="15.75">
      <c r="A25" s="48" t="s">
        <v>407</v>
      </c>
      <c r="B25" s="24" t="s">
        <v>251</v>
      </c>
      <c r="C25" s="24"/>
      <c r="D25" s="100">
        <f>SUM(D26:D29)</f>
        <v>40437.296</v>
      </c>
      <c r="E25" s="100">
        <f>SUM(E26:E29)</f>
        <v>40437.296</v>
      </c>
    </row>
    <row r="26" spans="1:5" ht="15.75">
      <c r="A26" s="102" t="s">
        <v>408</v>
      </c>
      <c r="B26" s="20" t="s">
        <v>251</v>
      </c>
      <c r="C26" s="20" t="s">
        <v>135</v>
      </c>
      <c r="D26" s="339">
        <f>'пр.5.1.рдпрцс 21-22'!F305</f>
        <v>6341</v>
      </c>
      <c r="E26" s="339">
        <f>'пр.5.1.рдпрцс 21-22'!G305</f>
        <v>6341</v>
      </c>
    </row>
    <row r="27" spans="1:5" ht="15.75">
      <c r="A27" s="102" t="s">
        <v>534</v>
      </c>
      <c r="B27" s="20" t="s">
        <v>251</v>
      </c>
      <c r="C27" s="20" t="s">
        <v>230</v>
      </c>
      <c r="D27" s="339">
        <f>'пр.5.1.рдпрцс 21-22'!F319</f>
        <v>5700</v>
      </c>
      <c r="E27" s="339">
        <f>'пр.5.1.рдпрцс 21-22'!G319</f>
        <v>5700</v>
      </c>
    </row>
    <row r="28" spans="1:5" ht="15.75">
      <c r="A28" s="101" t="s">
        <v>558</v>
      </c>
      <c r="B28" s="20" t="s">
        <v>251</v>
      </c>
      <c r="C28" s="20" t="s">
        <v>232</v>
      </c>
      <c r="D28" s="339">
        <f>'пр.5.1.рдпрцс 21-22'!F378</f>
        <v>4683.9</v>
      </c>
      <c r="E28" s="339">
        <f>'пр.5.1.рдпрцс 21-22'!G378</f>
        <v>4683.9</v>
      </c>
    </row>
    <row r="29" spans="1:5" ht="15.75">
      <c r="A29" s="25" t="s">
        <v>586</v>
      </c>
      <c r="B29" s="20" t="s">
        <v>251</v>
      </c>
      <c r="C29" s="20" t="s">
        <v>251</v>
      </c>
      <c r="D29" s="339">
        <f>'пр.5.1.рдпрцс 21-22'!F427</f>
        <v>23712.396</v>
      </c>
      <c r="E29" s="339">
        <f>'пр.5.1.рдпрцс 21-22'!G427</f>
        <v>23712.396</v>
      </c>
    </row>
    <row r="30" spans="1:5" ht="15.75">
      <c r="A30" s="48" t="s">
        <v>280</v>
      </c>
      <c r="B30" s="24" t="s">
        <v>281</v>
      </c>
      <c r="C30" s="24"/>
      <c r="D30" s="100">
        <f>SUM(D31:D35)</f>
        <v>317454.28099999996</v>
      </c>
      <c r="E30" s="100">
        <f>SUM(E31:E35)</f>
        <v>317454.28099999996</v>
      </c>
    </row>
    <row r="31" spans="1:5" ht="15.75">
      <c r="A31" s="101" t="s">
        <v>421</v>
      </c>
      <c r="B31" s="20" t="s">
        <v>281</v>
      </c>
      <c r="C31" s="20" t="s">
        <v>135</v>
      </c>
      <c r="D31" s="339">
        <f>'пр.5.1.рдпрцс 21-22'!F463</f>
        <v>96706</v>
      </c>
      <c r="E31" s="339">
        <f>'пр.5.1.рдпрцс 21-22'!G463</f>
        <v>96706</v>
      </c>
    </row>
    <row r="32" spans="1:5" ht="15.75">
      <c r="A32" s="101" t="s">
        <v>442</v>
      </c>
      <c r="B32" s="20" t="s">
        <v>281</v>
      </c>
      <c r="C32" s="20" t="s">
        <v>230</v>
      </c>
      <c r="D32" s="339">
        <f>'пр.5.1.рдпрцс 21-22'!F524</f>
        <v>139817.9</v>
      </c>
      <c r="E32" s="339">
        <f>'пр.5.1.рдпрцс 21-22'!G524</f>
        <v>139817.9</v>
      </c>
    </row>
    <row r="33" spans="1:5" ht="15.75">
      <c r="A33" s="101" t="s">
        <v>282</v>
      </c>
      <c r="B33" s="20" t="s">
        <v>281</v>
      </c>
      <c r="C33" s="20" t="s">
        <v>232</v>
      </c>
      <c r="D33" s="339">
        <f>'пр.5.1.рдпрцс 21-22'!F602</f>
        <v>52590.149999999994</v>
      </c>
      <c r="E33" s="339">
        <f>'пр.5.1.рдпрцс 21-22'!G602</f>
        <v>52590.149999999994</v>
      </c>
    </row>
    <row r="34" spans="1:5" ht="15.75">
      <c r="A34" s="101" t="s">
        <v>483</v>
      </c>
      <c r="B34" s="20" t="s">
        <v>281</v>
      </c>
      <c r="C34" s="20" t="s">
        <v>281</v>
      </c>
      <c r="D34" s="339">
        <f>'пр.5.1.рдпрцс 21-22'!F670</f>
        <v>7871.3</v>
      </c>
      <c r="E34" s="339">
        <f>'пр.5.1.рдпрцс 21-22'!G670</f>
        <v>7871.3</v>
      </c>
    </row>
    <row r="35" spans="1:5" ht="15.75">
      <c r="A35" s="101" t="s">
        <v>312</v>
      </c>
      <c r="B35" s="20" t="s">
        <v>281</v>
      </c>
      <c r="C35" s="20" t="s">
        <v>236</v>
      </c>
      <c r="D35" s="339">
        <f>'пр.5.1.рдпрцс 21-22'!F699</f>
        <v>20468.931</v>
      </c>
      <c r="E35" s="339">
        <f>'пр.5.1.рдпрцс 21-22'!G699</f>
        <v>20468.931</v>
      </c>
    </row>
    <row r="36" spans="1:5" ht="15.75">
      <c r="A36" s="104" t="s">
        <v>315</v>
      </c>
      <c r="B36" s="24" t="s">
        <v>316</v>
      </c>
      <c r="C36" s="20"/>
      <c r="D36" s="100">
        <f>SUM(D37:D38)</f>
        <v>68480.954</v>
      </c>
      <c r="E36" s="100">
        <f>SUM(E37:E38)</f>
        <v>68480.954</v>
      </c>
    </row>
    <row r="37" spans="1:5" ht="15.75">
      <c r="A37" s="103" t="s">
        <v>317</v>
      </c>
      <c r="B37" s="20" t="s">
        <v>316</v>
      </c>
      <c r="C37" s="20" t="s">
        <v>135</v>
      </c>
      <c r="D37" s="339">
        <f>'пр.5.1.рдпрцс 21-22'!F727</f>
        <v>48690.81999999999</v>
      </c>
      <c r="E37" s="339">
        <f>'пр.5.1.рдпрцс 21-22'!G727</f>
        <v>48690.81999999999</v>
      </c>
    </row>
    <row r="38" spans="1:5" ht="15.75">
      <c r="A38" s="103" t="s">
        <v>350</v>
      </c>
      <c r="B38" s="20" t="s">
        <v>316</v>
      </c>
      <c r="C38" s="20" t="s">
        <v>167</v>
      </c>
      <c r="D38" s="339">
        <f>'пр.5.1.рдпрцс 21-22'!F793</f>
        <v>19790.134</v>
      </c>
      <c r="E38" s="339">
        <f>'пр.5.1.рдпрцс 21-22'!G793</f>
        <v>19790.134</v>
      </c>
    </row>
    <row r="39" spans="1:7" ht="15.75">
      <c r="A39" s="48" t="s">
        <v>260</v>
      </c>
      <c r="B39" s="24" t="s">
        <v>261</v>
      </c>
      <c r="C39" s="24"/>
      <c r="D39" s="100">
        <f>SUM(D40:D42)</f>
        <v>15036.9</v>
      </c>
      <c r="E39" s="100">
        <f>SUM(E40:E42)</f>
        <v>15036.9</v>
      </c>
      <c r="G39" s="22"/>
    </row>
    <row r="40" spans="1:5" ht="15.75">
      <c r="A40" s="101" t="s">
        <v>262</v>
      </c>
      <c r="B40" s="20" t="s">
        <v>261</v>
      </c>
      <c r="C40" s="20" t="s">
        <v>135</v>
      </c>
      <c r="D40" s="339">
        <f>'пр.5.1.рдпрцс 21-22'!F823</f>
        <v>9456</v>
      </c>
      <c r="E40" s="339">
        <f>'пр.5.1.рдпрцс 21-22'!G823</f>
        <v>9456</v>
      </c>
    </row>
    <row r="41" spans="1:5" ht="15.75">
      <c r="A41" s="25" t="s">
        <v>269</v>
      </c>
      <c r="B41" s="20" t="s">
        <v>261</v>
      </c>
      <c r="C41" s="20" t="s">
        <v>232</v>
      </c>
      <c r="D41" s="339">
        <f>'пр.5.1.рдпрцс 21-22'!F829</f>
        <v>2230</v>
      </c>
      <c r="E41" s="339">
        <f>'пр.5.1.рдпрцс 21-22'!G829</f>
        <v>2230</v>
      </c>
    </row>
    <row r="42" spans="1:5" ht="15.75">
      <c r="A42" s="25" t="s">
        <v>275</v>
      </c>
      <c r="B42" s="20" t="s">
        <v>261</v>
      </c>
      <c r="C42" s="20" t="s">
        <v>137</v>
      </c>
      <c r="D42" s="339">
        <f>'пр.5.1.рдпрцс 21-22'!F862</f>
        <v>3350.9</v>
      </c>
      <c r="E42" s="339">
        <f>'пр.5.1.рдпрцс 21-22'!G862</f>
        <v>3350.9</v>
      </c>
    </row>
    <row r="43" spans="1:7" ht="15.75">
      <c r="A43" s="104" t="s">
        <v>507</v>
      </c>
      <c r="B43" s="24" t="s">
        <v>508</v>
      </c>
      <c r="C43" s="20"/>
      <c r="D43" s="100">
        <f>SUM(D44:D45)</f>
        <v>60935.022999999994</v>
      </c>
      <c r="E43" s="100">
        <f>SUM(E44:E45)</f>
        <v>60935.022999999994</v>
      </c>
      <c r="G43" s="22"/>
    </row>
    <row r="44" spans="1:5" ht="15.75">
      <c r="A44" s="103" t="s">
        <v>509</v>
      </c>
      <c r="B44" s="20" t="s">
        <v>508</v>
      </c>
      <c r="C44" s="20" t="s">
        <v>135</v>
      </c>
      <c r="D44" s="339">
        <f>'пр.5.1.рдпрцс 21-22'!F876</f>
        <v>48328.299999999996</v>
      </c>
      <c r="E44" s="339">
        <f>'пр.5.1.рдпрцс 21-22'!G876</f>
        <v>48328.299999999996</v>
      </c>
    </row>
    <row r="45" spans="1:5" ht="15.75">
      <c r="A45" s="103" t="s">
        <v>517</v>
      </c>
      <c r="B45" s="20" t="s">
        <v>508</v>
      </c>
      <c r="C45" s="20" t="s">
        <v>251</v>
      </c>
      <c r="D45" s="339">
        <f>'пр.5.1.рдпрцс 21-22'!F915</f>
        <v>12606.723</v>
      </c>
      <c r="E45" s="339">
        <f>'пр.5.1.рдпрцс 21-22'!G915</f>
        <v>12606.723</v>
      </c>
    </row>
    <row r="46" spans="1:5" ht="15.75">
      <c r="A46" s="19" t="s">
        <v>599</v>
      </c>
      <c r="B46" s="24" t="s">
        <v>255</v>
      </c>
      <c r="C46" s="20"/>
      <c r="D46" s="100">
        <f>D47</f>
        <v>7451</v>
      </c>
      <c r="E46" s="100">
        <f>E47</f>
        <v>7451</v>
      </c>
    </row>
    <row r="47" spans="1:5" ht="15.75">
      <c r="A47" s="32" t="s">
        <v>600</v>
      </c>
      <c r="B47" s="20" t="s">
        <v>255</v>
      </c>
      <c r="C47" s="20" t="s">
        <v>230</v>
      </c>
      <c r="D47" s="339">
        <f>'пр.5.1.рдпрцс 21-22'!F945</f>
        <v>7451</v>
      </c>
      <c r="E47" s="339">
        <f>'пр.5.1.рдпрцс 21-22'!G945</f>
        <v>7451</v>
      </c>
    </row>
    <row r="48" spans="1:7" ht="15.75">
      <c r="A48" s="99" t="s">
        <v>696</v>
      </c>
      <c r="B48" s="24"/>
      <c r="C48" s="24"/>
      <c r="D48" s="372">
        <f>D10+D18+D20+D25+D30+D36+D39+D43+D46</f>
        <v>679225.023</v>
      </c>
      <c r="E48" s="372">
        <f>E10+E18+E20+E25+E30+E36+E39+E43+E46</f>
        <v>679225.023</v>
      </c>
      <c r="G48" s="22"/>
    </row>
    <row r="50" ht="15">
      <c r="D50" s="355"/>
    </row>
  </sheetData>
  <mergeCells count="4">
    <mergeCell ref="A4:E4"/>
    <mergeCell ref="A5:E5"/>
    <mergeCell ref="A6:E6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7"/>
  <sheetViews>
    <sheetView view="pageBreakPreview" zoomScaleSheetLayoutView="100" workbookViewId="0" topLeftCell="A957">
      <selection activeCell="A900" sqref="A900:XFD902"/>
    </sheetView>
  </sheetViews>
  <sheetFormatPr defaultColWidth="9.140625" defaultRowHeight="15"/>
  <cols>
    <col min="1" max="1" width="55.140625" style="0" customWidth="1"/>
    <col min="2" max="2" width="5.8515625" style="0" customWidth="1"/>
    <col min="3" max="3" width="5.421875" style="0" customWidth="1"/>
    <col min="4" max="4" width="15.8515625" style="0" customWidth="1"/>
    <col min="5" max="5" width="7.140625" style="0" customWidth="1"/>
    <col min="6" max="6" width="14.28125" style="0" customWidth="1"/>
  </cols>
  <sheetData>
    <row r="1" spans="1:6" ht="15.75">
      <c r="A1" s="57"/>
      <c r="B1" s="28"/>
      <c r="C1" s="28"/>
      <c r="F1" s="139" t="s">
        <v>125</v>
      </c>
    </row>
    <row r="2" spans="1:6" ht="15.75">
      <c r="A2" s="57"/>
      <c r="B2" s="28"/>
      <c r="C2" s="28"/>
      <c r="F2" s="139" t="s">
        <v>1</v>
      </c>
    </row>
    <row r="3" spans="1:5" ht="18.75">
      <c r="A3" s="57"/>
      <c r="B3" s="28"/>
      <c r="C3" s="28"/>
      <c r="E3" s="216"/>
    </row>
    <row r="4" spans="1:5" ht="15">
      <c r="A4" s="57"/>
      <c r="B4" s="28"/>
      <c r="C4" s="28"/>
      <c r="D4" s="28"/>
      <c r="E4" s="28"/>
    </row>
    <row r="5" spans="1:6" ht="63.75" customHeight="1">
      <c r="A5" s="406" t="s">
        <v>1387</v>
      </c>
      <c r="B5" s="406"/>
      <c r="C5" s="406"/>
      <c r="D5" s="406"/>
      <c r="E5" s="406"/>
      <c r="F5" s="406"/>
    </row>
    <row r="6" spans="1:6" ht="15">
      <c r="A6" s="57"/>
      <c r="B6" s="28"/>
      <c r="C6" s="28"/>
      <c r="D6" s="28"/>
      <c r="E6" s="28"/>
      <c r="F6" s="211" t="s">
        <v>2</v>
      </c>
    </row>
    <row r="7" spans="1:6" ht="30" customHeight="1">
      <c r="A7" s="335" t="s">
        <v>610</v>
      </c>
      <c r="B7" s="336" t="s">
        <v>129</v>
      </c>
      <c r="C7" s="336" t="s">
        <v>130</v>
      </c>
      <c r="D7" s="336" t="s">
        <v>131</v>
      </c>
      <c r="E7" s="336" t="s">
        <v>132</v>
      </c>
      <c r="F7" s="334" t="s">
        <v>1294</v>
      </c>
    </row>
    <row r="8" spans="1:8" ht="15.75">
      <c r="A8" s="42" t="s">
        <v>134</v>
      </c>
      <c r="B8" s="7" t="s">
        <v>135</v>
      </c>
      <c r="C8" s="7"/>
      <c r="D8" s="7"/>
      <c r="E8" s="7"/>
      <c r="F8" s="354">
        <f aca="true" t="shared" si="0" ref="F8">F9+F28+F39+F96+F118</f>
        <v>151857.525</v>
      </c>
      <c r="G8" s="22"/>
      <c r="H8" s="22"/>
    </row>
    <row r="9" spans="1:6" ht="47.25">
      <c r="A9" s="42" t="s">
        <v>592</v>
      </c>
      <c r="B9" s="7" t="s">
        <v>135</v>
      </c>
      <c r="C9" s="7" t="s">
        <v>230</v>
      </c>
      <c r="D9" s="7"/>
      <c r="E9" s="7"/>
      <c r="F9" s="4">
        <f>F10+F20</f>
        <v>4537.53</v>
      </c>
    </row>
    <row r="10" spans="1:6" ht="31.5">
      <c r="A10" s="23" t="s">
        <v>995</v>
      </c>
      <c r="B10" s="7" t="s">
        <v>135</v>
      </c>
      <c r="C10" s="7" t="s">
        <v>230</v>
      </c>
      <c r="D10" s="7" t="s">
        <v>909</v>
      </c>
      <c r="E10" s="7"/>
      <c r="F10" s="4">
        <f aca="true" t="shared" si="1" ref="F10">F11</f>
        <v>4512.03</v>
      </c>
    </row>
    <row r="11" spans="1:6" ht="31.5">
      <c r="A11" s="23" t="s">
        <v>1142</v>
      </c>
      <c r="B11" s="7" t="s">
        <v>135</v>
      </c>
      <c r="C11" s="7" t="s">
        <v>230</v>
      </c>
      <c r="D11" s="7" t="s">
        <v>1143</v>
      </c>
      <c r="E11" s="7"/>
      <c r="F11" s="4">
        <f>F12+F17</f>
        <v>4512.03</v>
      </c>
    </row>
    <row r="12" spans="1:6" ht="31.5">
      <c r="A12" s="30" t="s">
        <v>593</v>
      </c>
      <c r="B12" s="41" t="s">
        <v>135</v>
      </c>
      <c r="C12" s="41" t="s">
        <v>230</v>
      </c>
      <c r="D12" s="41" t="s">
        <v>1144</v>
      </c>
      <c r="E12" s="41"/>
      <c r="F12" s="6">
        <f aca="true" t="shared" si="2" ref="F12">F13+F15</f>
        <v>4412.03</v>
      </c>
    </row>
    <row r="13" spans="1:6" ht="78.75">
      <c r="A13" s="30" t="s">
        <v>144</v>
      </c>
      <c r="B13" s="41" t="s">
        <v>135</v>
      </c>
      <c r="C13" s="41" t="s">
        <v>230</v>
      </c>
      <c r="D13" s="41" t="s">
        <v>1144</v>
      </c>
      <c r="E13" s="41" t="s">
        <v>145</v>
      </c>
      <c r="F13" s="59">
        <f aca="true" t="shared" si="3" ref="F13">F14</f>
        <v>4391.03</v>
      </c>
    </row>
    <row r="14" spans="1:6" ht="31.5">
      <c r="A14" s="30" t="s">
        <v>146</v>
      </c>
      <c r="B14" s="41" t="s">
        <v>135</v>
      </c>
      <c r="C14" s="41" t="s">
        <v>230</v>
      </c>
      <c r="D14" s="41" t="s">
        <v>1144</v>
      </c>
      <c r="E14" s="41" t="s">
        <v>147</v>
      </c>
      <c r="F14" s="59">
        <f>'Пр.6 ведом.20'!G996</f>
        <v>4391.03</v>
      </c>
    </row>
    <row r="15" spans="1:6" ht="31.5">
      <c r="A15" s="30" t="s">
        <v>148</v>
      </c>
      <c r="B15" s="41" t="s">
        <v>135</v>
      </c>
      <c r="C15" s="41" t="s">
        <v>230</v>
      </c>
      <c r="D15" s="41" t="s">
        <v>1144</v>
      </c>
      <c r="E15" s="41" t="s">
        <v>149</v>
      </c>
      <c r="F15" s="29">
        <f aca="true" t="shared" si="4" ref="F15">F16</f>
        <v>21</v>
      </c>
    </row>
    <row r="16" spans="1:6" ht="31.5">
      <c r="A16" s="30" t="s">
        <v>150</v>
      </c>
      <c r="B16" s="41" t="s">
        <v>135</v>
      </c>
      <c r="C16" s="41" t="s">
        <v>230</v>
      </c>
      <c r="D16" s="41" t="s">
        <v>1144</v>
      </c>
      <c r="E16" s="41" t="s">
        <v>151</v>
      </c>
      <c r="F16" s="29">
        <f>'Пр.6 ведом.20'!G998</f>
        <v>21</v>
      </c>
    </row>
    <row r="17" spans="1:6" s="252" customFormat="1" ht="47.25">
      <c r="A17" s="25" t="s">
        <v>889</v>
      </c>
      <c r="B17" s="41" t="s">
        <v>135</v>
      </c>
      <c r="C17" s="41" t="s">
        <v>230</v>
      </c>
      <c r="D17" s="41" t="s">
        <v>1145</v>
      </c>
      <c r="E17" s="41"/>
      <c r="F17" s="29">
        <f>F18</f>
        <v>100</v>
      </c>
    </row>
    <row r="18" spans="1:6" s="252" customFormat="1" ht="78.75">
      <c r="A18" s="25" t="s">
        <v>144</v>
      </c>
      <c r="B18" s="41" t="s">
        <v>135</v>
      </c>
      <c r="C18" s="41" t="s">
        <v>230</v>
      </c>
      <c r="D18" s="41" t="s">
        <v>1145</v>
      </c>
      <c r="E18" s="41" t="s">
        <v>145</v>
      </c>
      <c r="F18" s="29">
        <f>F19</f>
        <v>100</v>
      </c>
    </row>
    <row r="19" spans="1:6" s="252" customFormat="1" ht="31.5">
      <c r="A19" s="25" t="s">
        <v>146</v>
      </c>
      <c r="B19" s="41" t="s">
        <v>135</v>
      </c>
      <c r="C19" s="41" t="s">
        <v>230</v>
      </c>
      <c r="D19" s="41" t="s">
        <v>1145</v>
      </c>
      <c r="E19" s="41" t="s">
        <v>147</v>
      </c>
      <c r="F19" s="29">
        <f>'Пр.6 ведом.20'!G1001</f>
        <v>100</v>
      </c>
    </row>
    <row r="20" spans="1:6" s="252" customFormat="1" ht="47.25">
      <c r="A20" s="23" t="s">
        <v>822</v>
      </c>
      <c r="B20" s="24" t="s">
        <v>135</v>
      </c>
      <c r="C20" s="7" t="s">
        <v>230</v>
      </c>
      <c r="D20" s="24" t="s">
        <v>179</v>
      </c>
      <c r="E20" s="7"/>
      <c r="F20" s="325">
        <f>F21</f>
        <v>25.5</v>
      </c>
    </row>
    <row r="21" spans="1:6" s="252" customFormat="1" ht="63">
      <c r="A21" s="321" t="s">
        <v>894</v>
      </c>
      <c r="B21" s="24" t="s">
        <v>135</v>
      </c>
      <c r="C21" s="7" t="s">
        <v>230</v>
      </c>
      <c r="D21" s="7" t="s">
        <v>901</v>
      </c>
      <c r="E21" s="7"/>
      <c r="F21" s="325">
        <f>F22+F25</f>
        <v>25.5</v>
      </c>
    </row>
    <row r="22" spans="1:6" s="252" customFormat="1" ht="47.25">
      <c r="A22" s="32" t="s">
        <v>713</v>
      </c>
      <c r="B22" s="20" t="s">
        <v>135</v>
      </c>
      <c r="C22" s="20" t="s">
        <v>230</v>
      </c>
      <c r="D22" s="41" t="s">
        <v>1150</v>
      </c>
      <c r="E22" s="20"/>
      <c r="F22" s="6">
        <f>F23</f>
        <v>0.5</v>
      </c>
    </row>
    <row r="23" spans="1:6" s="252" customFormat="1" ht="31.5">
      <c r="A23" s="25" t="s">
        <v>148</v>
      </c>
      <c r="B23" s="20" t="s">
        <v>135</v>
      </c>
      <c r="C23" s="20" t="s">
        <v>230</v>
      </c>
      <c r="D23" s="41" t="s">
        <v>1150</v>
      </c>
      <c r="E23" s="20" t="s">
        <v>149</v>
      </c>
      <c r="F23" s="6">
        <f>F24</f>
        <v>0.5</v>
      </c>
    </row>
    <row r="24" spans="1:6" s="252" customFormat="1" ht="31.5">
      <c r="A24" s="25" t="s">
        <v>150</v>
      </c>
      <c r="B24" s="20" t="s">
        <v>135</v>
      </c>
      <c r="C24" s="20" t="s">
        <v>230</v>
      </c>
      <c r="D24" s="41" t="s">
        <v>714</v>
      </c>
      <c r="E24" s="20" t="s">
        <v>151</v>
      </c>
      <c r="F24" s="6">
        <f>'Пр.6 ведом.20'!G1006</f>
        <v>0.5</v>
      </c>
    </row>
    <row r="25" spans="1:6" s="252" customFormat="1" ht="47.25">
      <c r="A25" s="32" t="s">
        <v>713</v>
      </c>
      <c r="B25" s="20" t="s">
        <v>135</v>
      </c>
      <c r="C25" s="20" t="s">
        <v>230</v>
      </c>
      <c r="D25" s="20" t="s">
        <v>1149</v>
      </c>
      <c r="E25" s="20"/>
      <c r="F25" s="6">
        <f>F26</f>
        <v>25</v>
      </c>
    </row>
    <row r="26" spans="1:6" s="252" customFormat="1" ht="31.5">
      <c r="A26" s="25" t="s">
        <v>148</v>
      </c>
      <c r="B26" s="20" t="s">
        <v>135</v>
      </c>
      <c r="C26" s="20" t="s">
        <v>230</v>
      </c>
      <c r="D26" s="20" t="s">
        <v>1149</v>
      </c>
      <c r="E26" s="20" t="s">
        <v>149</v>
      </c>
      <c r="F26" s="6">
        <f>F27</f>
        <v>25</v>
      </c>
    </row>
    <row r="27" spans="1:6" s="252" customFormat="1" ht="31.5">
      <c r="A27" s="25" t="s">
        <v>150</v>
      </c>
      <c r="B27" s="20" t="s">
        <v>135</v>
      </c>
      <c r="C27" s="20" t="s">
        <v>230</v>
      </c>
      <c r="D27" s="20" t="s">
        <v>1149</v>
      </c>
      <c r="E27" s="20" t="s">
        <v>151</v>
      </c>
      <c r="F27" s="6">
        <f>'Пр.6 ведом.20'!G1009</f>
        <v>25</v>
      </c>
    </row>
    <row r="28" spans="1:6" ht="63">
      <c r="A28" s="42" t="s">
        <v>595</v>
      </c>
      <c r="B28" s="7" t="s">
        <v>135</v>
      </c>
      <c r="C28" s="7" t="s">
        <v>232</v>
      </c>
      <c r="D28" s="7"/>
      <c r="E28" s="7"/>
      <c r="F28" s="4">
        <f aca="true" t="shared" si="5" ref="F28:F29">F29</f>
        <v>1259.989</v>
      </c>
    </row>
    <row r="29" spans="1:6" ht="31.5">
      <c r="A29" s="23" t="s">
        <v>995</v>
      </c>
      <c r="B29" s="7" t="s">
        <v>135</v>
      </c>
      <c r="C29" s="7" t="s">
        <v>232</v>
      </c>
      <c r="D29" s="7" t="s">
        <v>909</v>
      </c>
      <c r="E29" s="7"/>
      <c r="F29" s="4">
        <f t="shared" si="5"/>
        <v>1259.989</v>
      </c>
    </row>
    <row r="30" spans="1:6" ht="31.5">
      <c r="A30" s="23" t="s">
        <v>1142</v>
      </c>
      <c r="B30" s="7" t="s">
        <v>135</v>
      </c>
      <c r="C30" s="7" t="s">
        <v>232</v>
      </c>
      <c r="D30" s="7" t="s">
        <v>1143</v>
      </c>
      <c r="E30" s="7"/>
      <c r="F30" s="4">
        <f>F31+F36</f>
        <v>1259.989</v>
      </c>
    </row>
    <row r="31" spans="1:6" ht="31.5">
      <c r="A31" s="25" t="s">
        <v>1146</v>
      </c>
      <c r="B31" s="41" t="s">
        <v>135</v>
      </c>
      <c r="C31" s="41" t="s">
        <v>232</v>
      </c>
      <c r="D31" s="41" t="s">
        <v>1147</v>
      </c>
      <c r="E31" s="41"/>
      <c r="F31" s="6">
        <f aca="true" t="shared" si="6" ref="F31">F32+F34</f>
        <v>1159.989</v>
      </c>
    </row>
    <row r="32" spans="1:6" ht="78.75">
      <c r="A32" s="30" t="s">
        <v>144</v>
      </c>
      <c r="B32" s="41" t="s">
        <v>135</v>
      </c>
      <c r="C32" s="41" t="s">
        <v>232</v>
      </c>
      <c r="D32" s="41" t="s">
        <v>1147</v>
      </c>
      <c r="E32" s="41" t="s">
        <v>145</v>
      </c>
      <c r="F32" s="59">
        <f aca="true" t="shared" si="7" ref="F32">F33</f>
        <v>1066.989</v>
      </c>
    </row>
    <row r="33" spans="1:6" ht="31.5">
      <c r="A33" s="30" t="s">
        <v>146</v>
      </c>
      <c r="B33" s="41" t="s">
        <v>135</v>
      </c>
      <c r="C33" s="41" t="s">
        <v>232</v>
      </c>
      <c r="D33" s="41" t="s">
        <v>1147</v>
      </c>
      <c r="E33" s="41" t="s">
        <v>147</v>
      </c>
      <c r="F33" s="59">
        <f>'Пр.6 ведом.20'!G1015</f>
        <v>1066.989</v>
      </c>
    </row>
    <row r="34" spans="1:6" ht="31.5">
      <c r="A34" s="30" t="s">
        <v>148</v>
      </c>
      <c r="B34" s="41" t="s">
        <v>135</v>
      </c>
      <c r="C34" s="41" t="s">
        <v>232</v>
      </c>
      <c r="D34" s="41" t="s">
        <v>1147</v>
      </c>
      <c r="E34" s="41" t="s">
        <v>149</v>
      </c>
      <c r="F34" s="6">
        <f aca="true" t="shared" si="8" ref="F34">F35</f>
        <v>93</v>
      </c>
    </row>
    <row r="35" spans="1:6" ht="31.5">
      <c r="A35" s="30" t="s">
        <v>150</v>
      </c>
      <c r="B35" s="41" t="s">
        <v>135</v>
      </c>
      <c r="C35" s="41" t="s">
        <v>232</v>
      </c>
      <c r="D35" s="41" t="s">
        <v>1147</v>
      </c>
      <c r="E35" s="41" t="s">
        <v>151</v>
      </c>
      <c r="F35" s="6">
        <f>'Пр.6 ведом.20'!G1017</f>
        <v>93</v>
      </c>
    </row>
    <row r="36" spans="1:6" s="252" customFormat="1" ht="30" customHeight="1">
      <c r="A36" s="25" t="s">
        <v>889</v>
      </c>
      <c r="B36" s="41" t="s">
        <v>135</v>
      </c>
      <c r="C36" s="41" t="s">
        <v>232</v>
      </c>
      <c r="D36" s="41" t="s">
        <v>1145</v>
      </c>
      <c r="E36" s="41"/>
      <c r="F36" s="29">
        <f>F37</f>
        <v>100</v>
      </c>
    </row>
    <row r="37" spans="1:6" s="252" customFormat="1" ht="85.5" customHeight="1">
      <c r="A37" s="25" t="s">
        <v>144</v>
      </c>
      <c r="B37" s="41" t="s">
        <v>135</v>
      </c>
      <c r="C37" s="41" t="s">
        <v>232</v>
      </c>
      <c r="D37" s="41" t="s">
        <v>1145</v>
      </c>
      <c r="E37" s="41" t="s">
        <v>145</v>
      </c>
      <c r="F37" s="29">
        <f>F38</f>
        <v>100</v>
      </c>
    </row>
    <row r="38" spans="1:6" s="252" customFormat="1" ht="38.25" customHeight="1">
      <c r="A38" s="25" t="s">
        <v>146</v>
      </c>
      <c r="B38" s="41" t="s">
        <v>135</v>
      </c>
      <c r="C38" s="41" t="s">
        <v>232</v>
      </c>
      <c r="D38" s="41" t="s">
        <v>1145</v>
      </c>
      <c r="E38" s="41" t="s">
        <v>147</v>
      </c>
      <c r="F38" s="29">
        <f>'Пр.6 ведом.20'!G1020</f>
        <v>100</v>
      </c>
    </row>
    <row r="39" spans="1:8" ht="70.5" customHeight="1">
      <c r="A39" s="42" t="s">
        <v>166</v>
      </c>
      <c r="B39" s="7" t="s">
        <v>135</v>
      </c>
      <c r="C39" s="7" t="s">
        <v>167</v>
      </c>
      <c r="D39" s="7"/>
      <c r="E39" s="7"/>
      <c r="F39" s="4">
        <f>F40+F78</f>
        <v>70261.384</v>
      </c>
      <c r="H39" s="22"/>
    </row>
    <row r="40" spans="1:6" ht="31.5">
      <c r="A40" s="23" t="s">
        <v>995</v>
      </c>
      <c r="B40" s="7" t="s">
        <v>135</v>
      </c>
      <c r="C40" s="7" t="s">
        <v>167</v>
      </c>
      <c r="D40" s="7" t="s">
        <v>909</v>
      </c>
      <c r="E40" s="7"/>
      <c r="F40" s="4">
        <f>F41+F57</f>
        <v>69480.884</v>
      </c>
    </row>
    <row r="41" spans="1:6" ht="15.75">
      <c r="A41" s="23" t="s">
        <v>996</v>
      </c>
      <c r="B41" s="7" t="s">
        <v>135</v>
      </c>
      <c r="C41" s="7" t="s">
        <v>167</v>
      </c>
      <c r="D41" s="7" t="s">
        <v>910</v>
      </c>
      <c r="E41" s="7"/>
      <c r="F41" s="4">
        <f>F42+F51+F54</f>
        <v>66289.084</v>
      </c>
    </row>
    <row r="42" spans="1:6" ht="31.5">
      <c r="A42" s="30" t="s">
        <v>972</v>
      </c>
      <c r="B42" s="41" t="s">
        <v>135</v>
      </c>
      <c r="C42" s="41" t="s">
        <v>167</v>
      </c>
      <c r="D42" s="41" t="s">
        <v>911</v>
      </c>
      <c r="E42" s="41"/>
      <c r="F42" s="6">
        <f>F43+F45+F49+F47</f>
        <v>61862.013</v>
      </c>
    </row>
    <row r="43" spans="1:6" ht="78.75">
      <c r="A43" s="30" t="s">
        <v>144</v>
      </c>
      <c r="B43" s="41" t="s">
        <v>135</v>
      </c>
      <c r="C43" s="41" t="s">
        <v>167</v>
      </c>
      <c r="D43" s="41" t="s">
        <v>911</v>
      </c>
      <c r="E43" s="41" t="s">
        <v>145</v>
      </c>
      <c r="F43" s="59">
        <f aca="true" t="shared" si="9" ref="F43">F44</f>
        <v>52975.013</v>
      </c>
    </row>
    <row r="44" spans="1:6" ht="31.5">
      <c r="A44" s="30" t="s">
        <v>146</v>
      </c>
      <c r="B44" s="41" t="s">
        <v>135</v>
      </c>
      <c r="C44" s="41" t="s">
        <v>167</v>
      </c>
      <c r="D44" s="41" t="s">
        <v>911</v>
      </c>
      <c r="E44" s="41" t="s">
        <v>147</v>
      </c>
      <c r="F44" s="59">
        <f>'Пр.6 ведом.20'!G454+'Пр.6 ведом.20'!G30</f>
        <v>52975.013</v>
      </c>
    </row>
    <row r="45" spans="1:6" ht="31.5">
      <c r="A45" s="30" t="s">
        <v>148</v>
      </c>
      <c r="B45" s="41" t="s">
        <v>135</v>
      </c>
      <c r="C45" s="41" t="s">
        <v>167</v>
      </c>
      <c r="D45" s="41" t="s">
        <v>911</v>
      </c>
      <c r="E45" s="41" t="s">
        <v>149</v>
      </c>
      <c r="F45" s="6">
        <f aca="true" t="shared" si="10" ref="F45">F46</f>
        <v>7926</v>
      </c>
    </row>
    <row r="46" spans="1:6" ht="31.5">
      <c r="A46" s="30" t="s">
        <v>150</v>
      </c>
      <c r="B46" s="41" t="s">
        <v>135</v>
      </c>
      <c r="C46" s="41" t="s">
        <v>167</v>
      </c>
      <c r="D46" s="41" t="s">
        <v>911</v>
      </c>
      <c r="E46" s="41" t="s">
        <v>151</v>
      </c>
      <c r="F46" s="6">
        <f>'Пр.6 ведом.20'!G32+'Пр.6 ведом.20'!G456</f>
        <v>7926</v>
      </c>
    </row>
    <row r="47" spans="1:6" s="252" customFormat="1" ht="21" customHeight="1">
      <c r="A47" s="25" t="s">
        <v>265</v>
      </c>
      <c r="B47" s="41" t="s">
        <v>135</v>
      </c>
      <c r="C47" s="41" t="s">
        <v>167</v>
      </c>
      <c r="D47" s="41" t="s">
        <v>911</v>
      </c>
      <c r="E47" s="41" t="s">
        <v>266</v>
      </c>
      <c r="F47" s="6">
        <f>F48</f>
        <v>755</v>
      </c>
    </row>
    <row r="48" spans="1:6" s="252" customFormat="1" ht="31.5">
      <c r="A48" s="25" t="s">
        <v>267</v>
      </c>
      <c r="B48" s="41" t="s">
        <v>135</v>
      </c>
      <c r="C48" s="41" t="s">
        <v>167</v>
      </c>
      <c r="D48" s="41" t="s">
        <v>911</v>
      </c>
      <c r="E48" s="41" t="s">
        <v>268</v>
      </c>
      <c r="F48" s="6">
        <f>'Пр.6 ведом.20'!G34</f>
        <v>755</v>
      </c>
    </row>
    <row r="49" spans="1:6" ht="15.75">
      <c r="A49" s="30" t="s">
        <v>152</v>
      </c>
      <c r="B49" s="41" t="s">
        <v>135</v>
      </c>
      <c r="C49" s="41" t="s">
        <v>167</v>
      </c>
      <c r="D49" s="41" t="s">
        <v>911</v>
      </c>
      <c r="E49" s="41" t="s">
        <v>162</v>
      </c>
      <c r="F49" s="6">
        <f aca="true" t="shared" si="11" ref="F49">F50</f>
        <v>206</v>
      </c>
    </row>
    <row r="50" spans="1:6" ht="15.75">
      <c r="A50" s="30" t="s">
        <v>585</v>
      </c>
      <c r="B50" s="41" t="s">
        <v>135</v>
      </c>
      <c r="C50" s="41" t="s">
        <v>167</v>
      </c>
      <c r="D50" s="41" t="s">
        <v>911</v>
      </c>
      <c r="E50" s="41" t="s">
        <v>155</v>
      </c>
      <c r="F50" s="6">
        <f>'Пр.6 ведом.20'!G458+'Пр.6 ведом.20'!G36</f>
        <v>206</v>
      </c>
    </row>
    <row r="51" spans="1:6" ht="31.5">
      <c r="A51" s="25" t="s">
        <v>170</v>
      </c>
      <c r="B51" s="20" t="s">
        <v>135</v>
      </c>
      <c r="C51" s="20" t="s">
        <v>167</v>
      </c>
      <c r="D51" s="41" t="s">
        <v>912</v>
      </c>
      <c r="E51" s="20"/>
      <c r="F51" s="59">
        <f>F52</f>
        <v>2500.071</v>
      </c>
    </row>
    <row r="52" spans="1:6" ht="78.75">
      <c r="A52" s="25" t="s">
        <v>144</v>
      </c>
      <c r="B52" s="20" t="s">
        <v>135</v>
      </c>
      <c r="C52" s="20" t="s">
        <v>167</v>
      </c>
      <c r="D52" s="41" t="s">
        <v>912</v>
      </c>
      <c r="E52" s="20" t="s">
        <v>145</v>
      </c>
      <c r="F52" s="59">
        <f>F53</f>
        <v>2500.071</v>
      </c>
    </row>
    <row r="53" spans="1:6" ht="31.5">
      <c r="A53" s="25" t="s">
        <v>146</v>
      </c>
      <c r="B53" s="20" t="s">
        <v>135</v>
      </c>
      <c r="C53" s="20" t="s">
        <v>167</v>
      </c>
      <c r="D53" s="41" t="s">
        <v>912</v>
      </c>
      <c r="E53" s="20" t="s">
        <v>147</v>
      </c>
      <c r="F53" s="59">
        <f>'Пр.6 ведом.20'!G39</f>
        <v>2500.071</v>
      </c>
    </row>
    <row r="54" spans="1:6" s="252" customFormat="1" ht="47.25">
      <c r="A54" s="25" t="s">
        <v>889</v>
      </c>
      <c r="B54" s="41" t="s">
        <v>135</v>
      </c>
      <c r="C54" s="20" t="s">
        <v>167</v>
      </c>
      <c r="D54" s="41" t="s">
        <v>913</v>
      </c>
      <c r="E54" s="41"/>
      <c r="F54" s="29">
        <f>F55</f>
        <v>1927</v>
      </c>
    </row>
    <row r="55" spans="1:6" s="252" customFormat="1" ht="78.75">
      <c r="A55" s="25" t="s">
        <v>144</v>
      </c>
      <c r="B55" s="41" t="s">
        <v>135</v>
      </c>
      <c r="C55" s="20" t="s">
        <v>167</v>
      </c>
      <c r="D55" s="41" t="s">
        <v>913</v>
      </c>
      <c r="E55" s="41" t="s">
        <v>145</v>
      </c>
      <c r="F55" s="29">
        <f>F56</f>
        <v>1927</v>
      </c>
    </row>
    <row r="56" spans="1:6" s="252" customFormat="1" ht="31.5">
      <c r="A56" s="25" t="s">
        <v>146</v>
      </c>
      <c r="B56" s="41" t="s">
        <v>135</v>
      </c>
      <c r="C56" s="20" t="s">
        <v>167</v>
      </c>
      <c r="D56" s="41" t="s">
        <v>913</v>
      </c>
      <c r="E56" s="41" t="s">
        <v>147</v>
      </c>
      <c r="F56" s="29">
        <f>'Пр.6 ведом.20'!G461+'Пр.6 ведом.20'!G42</f>
        <v>1927</v>
      </c>
    </row>
    <row r="57" spans="1:6" s="252" customFormat="1" ht="31.5">
      <c r="A57" s="23" t="s">
        <v>937</v>
      </c>
      <c r="B57" s="7" t="s">
        <v>135</v>
      </c>
      <c r="C57" s="24" t="s">
        <v>167</v>
      </c>
      <c r="D57" s="7" t="s">
        <v>914</v>
      </c>
      <c r="E57" s="7"/>
      <c r="F57" s="4">
        <f>F58+F63+F68+F73</f>
        <v>3191.8</v>
      </c>
    </row>
    <row r="58" spans="1:6" s="252" customFormat="1" ht="47.25" hidden="1">
      <c r="A58" s="25" t="s">
        <v>204</v>
      </c>
      <c r="B58" s="41" t="s">
        <v>135</v>
      </c>
      <c r="C58" s="20" t="s">
        <v>167</v>
      </c>
      <c r="D58" s="41" t="s">
        <v>1275</v>
      </c>
      <c r="E58" s="7"/>
      <c r="F58" s="10">
        <f aca="true" t="shared" si="12" ref="F58">F59+F61</f>
        <v>0</v>
      </c>
    </row>
    <row r="59" spans="1:6" s="252" customFormat="1" ht="78.75" hidden="1">
      <c r="A59" s="25" t="s">
        <v>144</v>
      </c>
      <c r="B59" s="41" t="s">
        <v>135</v>
      </c>
      <c r="C59" s="20" t="s">
        <v>167</v>
      </c>
      <c r="D59" s="41" t="s">
        <v>1275</v>
      </c>
      <c r="E59" s="41" t="s">
        <v>145</v>
      </c>
      <c r="F59" s="10">
        <f aca="true" t="shared" si="13" ref="F59">F60</f>
        <v>0</v>
      </c>
    </row>
    <row r="60" spans="1:6" s="252" customFormat="1" ht="31.5" hidden="1">
      <c r="A60" s="25" t="s">
        <v>146</v>
      </c>
      <c r="B60" s="41" t="s">
        <v>135</v>
      </c>
      <c r="C60" s="20" t="s">
        <v>167</v>
      </c>
      <c r="D60" s="41" t="s">
        <v>1275</v>
      </c>
      <c r="E60" s="41" t="s">
        <v>147</v>
      </c>
      <c r="F60" s="10">
        <f>'Пр.6 ведом.20'!G46</f>
        <v>0</v>
      </c>
    </row>
    <row r="61" spans="1:6" s="252" customFormat="1" ht="31.5" hidden="1">
      <c r="A61" s="25" t="s">
        <v>148</v>
      </c>
      <c r="B61" s="41" t="s">
        <v>135</v>
      </c>
      <c r="C61" s="20" t="s">
        <v>167</v>
      </c>
      <c r="D61" s="41" t="s">
        <v>1275</v>
      </c>
      <c r="E61" s="41" t="s">
        <v>149</v>
      </c>
      <c r="F61" s="10">
        <f aca="true" t="shared" si="14" ref="F61">F62</f>
        <v>0</v>
      </c>
    </row>
    <row r="62" spans="1:6" s="252" customFormat="1" ht="31.5" hidden="1">
      <c r="A62" s="25" t="s">
        <v>150</v>
      </c>
      <c r="B62" s="41" t="s">
        <v>135</v>
      </c>
      <c r="C62" s="20" t="s">
        <v>167</v>
      </c>
      <c r="D62" s="41" t="s">
        <v>1275</v>
      </c>
      <c r="E62" s="41" t="s">
        <v>151</v>
      </c>
      <c r="F62" s="10">
        <f>'Пр.6 ведом.20'!G48</f>
        <v>0</v>
      </c>
    </row>
    <row r="63" spans="1:6" s="252" customFormat="1" ht="47.25">
      <c r="A63" s="46" t="s">
        <v>206</v>
      </c>
      <c r="B63" s="41" t="s">
        <v>135</v>
      </c>
      <c r="C63" s="20" t="s">
        <v>167</v>
      </c>
      <c r="D63" s="41" t="s">
        <v>1000</v>
      </c>
      <c r="E63" s="41"/>
      <c r="F63" s="6">
        <f>F64+F66</f>
        <v>741.4000000000001</v>
      </c>
    </row>
    <row r="64" spans="1:6" s="252" customFormat="1" ht="78.75">
      <c r="A64" s="30" t="s">
        <v>144</v>
      </c>
      <c r="B64" s="41" t="s">
        <v>135</v>
      </c>
      <c r="C64" s="20" t="s">
        <v>167</v>
      </c>
      <c r="D64" s="41" t="s">
        <v>1000</v>
      </c>
      <c r="E64" s="41" t="s">
        <v>145</v>
      </c>
      <c r="F64" s="6">
        <f aca="true" t="shared" si="15" ref="F64">F65</f>
        <v>528.7</v>
      </c>
    </row>
    <row r="65" spans="1:6" s="252" customFormat="1" ht="31.5">
      <c r="A65" s="30" t="s">
        <v>146</v>
      </c>
      <c r="B65" s="41" t="s">
        <v>135</v>
      </c>
      <c r="C65" s="20" t="s">
        <v>167</v>
      </c>
      <c r="D65" s="41" t="s">
        <v>1000</v>
      </c>
      <c r="E65" s="41" t="s">
        <v>147</v>
      </c>
      <c r="F65" s="6">
        <f>'Пр.6 ведом.20'!G51</f>
        <v>528.7</v>
      </c>
    </row>
    <row r="66" spans="1:6" s="252" customFormat="1" ht="31.5">
      <c r="A66" s="25" t="s">
        <v>148</v>
      </c>
      <c r="B66" s="41" t="s">
        <v>135</v>
      </c>
      <c r="C66" s="20" t="s">
        <v>167</v>
      </c>
      <c r="D66" s="41" t="s">
        <v>1000</v>
      </c>
      <c r="E66" s="41" t="s">
        <v>149</v>
      </c>
      <c r="F66" s="6">
        <f>F67</f>
        <v>212.7</v>
      </c>
    </row>
    <row r="67" spans="1:6" s="252" customFormat="1" ht="31.5">
      <c r="A67" s="25" t="s">
        <v>150</v>
      </c>
      <c r="B67" s="41" t="s">
        <v>135</v>
      </c>
      <c r="C67" s="20" t="s">
        <v>167</v>
      </c>
      <c r="D67" s="41" t="s">
        <v>1000</v>
      </c>
      <c r="E67" s="41" t="s">
        <v>151</v>
      </c>
      <c r="F67" s="6">
        <f>'Пр.6 ведом.20'!G53</f>
        <v>212.7</v>
      </c>
    </row>
    <row r="68" spans="1:6" s="252" customFormat="1" ht="47.25">
      <c r="A68" s="32" t="s">
        <v>211</v>
      </c>
      <c r="B68" s="41" t="s">
        <v>135</v>
      </c>
      <c r="C68" s="20" t="s">
        <v>167</v>
      </c>
      <c r="D68" s="41" t="s">
        <v>1212</v>
      </c>
      <c r="E68" s="41"/>
      <c r="F68" s="6">
        <f>F69+F71</f>
        <v>1333.1</v>
      </c>
    </row>
    <row r="69" spans="1:6" s="252" customFormat="1" ht="78.75">
      <c r="A69" s="30" t="s">
        <v>144</v>
      </c>
      <c r="B69" s="41" t="s">
        <v>135</v>
      </c>
      <c r="C69" s="20" t="s">
        <v>167</v>
      </c>
      <c r="D69" s="41" t="s">
        <v>1212</v>
      </c>
      <c r="E69" s="41" t="s">
        <v>145</v>
      </c>
      <c r="F69" s="6">
        <f aca="true" t="shared" si="16" ref="F69">F70</f>
        <v>1271.8999999999999</v>
      </c>
    </row>
    <row r="70" spans="1:6" s="252" customFormat="1" ht="31.5">
      <c r="A70" s="30" t="s">
        <v>146</v>
      </c>
      <c r="B70" s="41" t="s">
        <v>135</v>
      </c>
      <c r="C70" s="20" t="s">
        <v>167</v>
      </c>
      <c r="D70" s="41" t="s">
        <v>1212</v>
      </c>
      <c r="E70" s="41" t="s">
        <v>147</v>
      </c>
      <c r="F70" s="6">
        <f>'Пр.6 ведом.20'!G56</f>
        <v>1271.8999999999999</v>
      </c>
    </row>
    <row r="71" spans="1:6" s="252" customFormat="1" ht="31.5">
      <c r="A71" s="25" t="s">
        <v>148</v>
      </c>
      <c r="B71" s="41" t="s">
        <v>135</v>
      </c>
      <c r="C71" s="20" t="s">
        <v>167</v>
      </c>
      <c r="D71" s="41" t="s">
        <v>1212</v>
      </c>
      <c r="E71" s="41" t="s">
        <v>149</v>
      </c>
      <c r="F71" s="6">
        <f>F72</f>
        <v>61.2</v>
      </c>
    </row>
    <row r="72" spans="1:6" s="252" customFormat="1" ht="31.5">
      <c r="A72" s="25" t="s">
        <v>150</v>
      </c>
      <c r="B72" s="41" t="s">
        <v>135</v>
      </c>
      <c r="C72" s="20" t="s">
        <v>167</v>
      </c>
      <c r="D72" s="41" t="s">
        <v>1212</v>
      </c>
      <c r="E72" s="41" t="s">
        <v>151</v>
      </c>
      <c r="F72" s="6">
        <f>'Пр.6 ведом.20'!G58</f>
        <v>61.2</v>
      </c>
    </row>
    <row r="73" spans="1:6" ht="47.25">
      <c r="A73" s="46" t="s">
        <v>213</v>
      </c>
      <c r="B73" s="41" t="s">
        <v>135</v>
      </c>
      <c r="C73" s="20" t="s">
        <v>167</v>
      </c>
      <c r="D73" s="41" t="s">
        <v>1001</v>
      </c>
      <c r="E73" s="41"/>
      <c r="F73" s="6">
        <f aca="true" t="shared" si="17" ref="F73">F74+F76</f>
        <v>1117.3</v>
      </c>
    </row>
    <row r="74" spans="1:6" ht="81.75" customHeight="1">
      <c r="A74" s="30" t="s">
        <v>144</v>
      </c>
      <c r="B74" s="41" t="s">
        <v>135</v>
      </c>
      <c r="C74" s="20" t="s">
        <v>167</v>
      </c>
      <c r="D74" s="41" t="s">
        <v>1001</v>
      </c>
      <c r="E74" s="41" t="s">
        <v>145</v>
      </c>
      <c r="F74" s="6">
        <f aca="true" t="shared" si="18" ref="F74">F75</f>
        <v>1026.5</v>
      </c>
    </row>
    <row r="75" spans="1:6" ht="36" customHeight="1">
      <c r="A75" s="30" t="s">
        <v>146</v>
      </c>
      <c r="B75" s="41" t="s">
        <v>135</v>
      </c>
      <c r="C75" s="20" t="s">
        <v>167</v>
      </c>
      <c r="D75" s="41" t="s">
        <v>1001</v>
      </c>
      <c r="E75" s="41" t="s">
        <v>147</v>
      </c>
      <c r="F75" s="6">
        <f>'Пр.6 ведом.20'!G61</f>
        <v>1026.5</v>
      </c>
    </row>
    <row r="76" spans="1:6" ht="31.5">
      <c r="A76" s="30" t="s">
        <v>148</v>
      </c>
      <c r="B76" s="41" t="s">
        <v>135</v>
      </c>
      <c r="C76" s="20" t="s">
        <v>167</v>
      </c>
      <c r="D76" s="41" t="s">
        <v>1001</v>
      </c>
      <c r="E76" s="41" t="s">
        <v>149</v>
      </c>
      <c r="F76" s="6">
        <f aca="true" t="shared" si="19" ref="F76">F77</f>
        <v>90.8</v>
      </c>
    </row>
    <row r="77" spans="1:6" ht="31.5">
      <c r="A77" s="30" t="s">
        <v>150</v>
      </c>
      <c r="B77" s="41" t="s">
        <v>135</v>
      </c>
      <c r="C77" s="20" t="s">
        <v>167</v>
      </c>
      <c r="D77" s="41" t="s">
        <v>1001</v>
      </c>
      <c r="E77" s="41" t="s">
        <v>151</v>
      </c>
      <c r="F77" s="6">
        <f>'Пр.6 ведом.20'!G63</f>
        <v>90.8</v>
      </c>
    </row>
    <row r="78" spans="1:6" s="252" customFormat="1" ht="47.25">
      <c r="A78" s="23" t="s">
        <v>822</v>
      </c>
      <c r="B78" s="24" t="s">
        <v>135</v>
      </c>
      <c r="C78" s="24" t="s">
        <v>167</v>
      </c>
      <c r="D78" s="24" t="s">
        <v>179</v>
      </c>
      <c r="E78" s="24"/>
      <c r="F78" s="4">
        <f>F79+F83+F89</f>
        <v>780.5</v>
      </c>
    </row>
    <row r="79" spans="1:6" s="252" customFormat="1" ht="63">
      <c r="A79" s="322" t="s">
        <v>1164</v>
      </c>
      <c r="B79" s="24" t="s">
        <v>135</v>
      </c>
      <c r="C79" s="24" t="s">
        <v>167</v>
      </c>
      <c r="D79" s="7" t="s">
        <v>900</v>
      </c>
      <c r="E79" s="24"/>
      <c r="F79" s="4">
        <f>F80</f>
        <v>491</v>
      </c>
    </row>
    <row r="80" spans="1:6" s="252" customFormat="1" ht="31.5">
      <c r="A80" s="30" t="s">
        <v>1163</v>
      </c>
      <c r="B80" s="20" t="s">
        <v>135</v>
      </c>
      <c r="C80" s="20" t="s">
        <v>167</v>
      </c>
      <c r="D80" s="41" t="s">
        <v>892</v>
      </c>
      <c r="E80" s="20"/>
      <c r="F80" s="6">
        <f>F81</f>
        <v>491</v>
      </c>
    </row>
    <row r="81" spans="1:6" s="252" customFormat="1" ht="31.5">
      <c r="A81" s="25" t="s">
        <v>148</v>
      </c>
      <c r="B81" s="20" t="s">
        <v>135</v>
      </c>
      <c r="C81" s="20" t="s">
        <v>167</v>
      </c>
      <c r="D81" s="41" t="s">
        <v>892</v>
      </c>
      <c r="E81" s="20" t="s">
        <v>149</v>
      </c>
      <c r="F81" s="6">
        <f>F82</f>
        <v>491</v>
      </c>
    </row>
    <row r="82" spans="1:6" s="252" customFormat="1" ht="31.5">
      <c r="A82" s="25" t="s">
        <v>150</v>
      </c>
      <c r="B82" s="20" t="s">
        <v>135</v>
      </c>
      <c r="C82" s="20" t="s">
        <v>167</v>
      </c>
      <c r="D82" s="41" t="s">
        <v>892</v>
      </c>
      <c r="E82" s="20" t="s">
        <v>151</v>
      </c>
      <c r="F82" s="6">
        <f>'Пр.6 ведом.20'!G68</f>
        <v>491</v>
      </c>
    </row>
    <row r="83" spans="1:6" s="252" customFormat="1" ht="63">
      <c r="A83" s="321" t="s">
        <v>894</v>
      </c>
      <c r="B83" s="24" t="s">
        <v>135</v>
      </c>
      <c r="C83" s="24" t="s">
        <v>167</v>
      </c>
      <c r="D83" s="7" t="s">
        <v>901</v>
      </c>
      <c r="E83" s="24"/>
      <c r="F83" s="4">
        <f>F84</f>
        <v>249</v>
      </c>
    </row>
    <row r="84" spans="1:6" s="252" customFormat="1" ht="47.25">
      <c r="A84" s="188" t="s">
        <v>182</v>
      </c>
      <c r="B84" s="20" t="s">
        <v>135</v>
      </c>
      <c r="C84" s="20" t="s">
        <v>167</v>
      </c>
      <c r="D84" s="41" t="s">
        <v>893</v>
      </c>
      <c r="E84" s="20"/>
      <c r="F84" s="6">
        <f>F85+F87</f>
        <v>249</v>
      </c>
    </row>
    <row r="85" spans="1:6" s="252" customFormat="1" ht="78.75">
      <c r="A85" s="25" t="s">
        <v>144</v>
      </c>
      <c r="B85" s="20" t="s">
        <v>135</v>
      </c>
      <c r="C85" s="20" t="s">
        <v>167</v>
      </c>
      <c r="D85" s="41" t="s">
        <v>893</v>
      </c>
      <c r="E85" s="20" t="s">
        <v>145</v>
      </c>
      <c r="F85" s="6">
        <f>F86</f>
        <v>159.7</v>
      </c>
    </row>
    <row r="86" spans="1:6" s="252" customFormat="1" ht="31.5">
      <c r="A86" s="25" t="s">
        <v>146</v>
      </c>
      <c r="B86" s="20" t="s">
        <v>135</v>
      </c>
      <c r="C86" s="20" t="s">
        <v>167</v>
      </c>
      <c r="D86" s="41" t="s">
        <v>893</v>
      </c>
      <c r="E86" s="20" t="s">
        <v>147</v>
      </c>
      <c r="F86" s="6">
        <f>'Пр.6 ведом.20'!G72</f>
        <v>159.7</v>
      </c>
    </row>
    <row r="87" spans="1:6" s="252" customFormat="1" ht="31.5">
      <c r="A87" s="25" t="s">
        <v>148</v>
      </c>
      <c r="B87" s="20" t="s">
        <v>135</v>
      </c>
      <c r="C87" s="20" t="s">
        <v>167</v>
      </c>
      <c r="D87" s="41" t="s">
        <v>893</v>
      </c>
      <c r="E87" s="20" t="s">
        <v>149</v>
      </c>
      <c r="F87" s="6">
        <f>F88</f>
        <v>89.30000000000001</v>
      </c>
    </row>
    <row r="88" spans="1:6" s="252" customFormat="1" ht="31.5">
      <c r="A88" s="25" t="s">
        <v>150</v>
      </c>
      <c r="B88" s="20" t="s">
        <v>135</v>
      </c>
      <c r="C88" s="20" t="s">
        <v>167</v>
      </c>
      <c r="D88" s="41" t="s">
        <v>893</v>
      </c>
      <c r="E88" s="20" t="s">
        <v>151</v>
      </c>
      <c r="F88" s="6">
        <f>'Пр.6 ведом.20'!G74</f>
        <v>89.30000000000001</v>
      </c>
    </row>
    <row r="89" spans="1:6" s="252" customFormat="1" ht="63">
      <c r="A89" s="323" t="s">
        <v>1165</v>
      </c>
      <c r="B89" s="24" t="s">
        <v>135</v>
      </c>
      <c r="C89" s="24" t="s">
        <v>167</v>
      </c>
      <c r="D89" s="7" t="s">
        <v>902</v>
      </c>
      <c r="E89" s="24"/>
      <c r="F89" s="4">
        <f>F90+F93</f>
        <v>40.5</v>
      </c>
    </row>
    <row r="90" spans="1:6" s="252" customFormat="1" ht="47.25">
      <c r="A90" s="34" t="s">
        <v>208</v>
      </c>
      <c r="B90" s="20" t="s">
        <v>135</v>
      </c>
      <c r="C90" s="20" t="s">
        <v>167</v>
      </c>
      <c r="D90" s="41" t="s">
        <v>895</v>
      </c>
      <c r="E90" s="20"/>
      <c r="F90" s="6">
        <f>F91</f>
        <v>0.5</v>
      </c>
    </row>
    <row r="91" spans="1:6" s="252" customFormat="1" ht="31.5">
      <c r="A91" s="25" t="s">
        <v>148</v>
      </c>
      <c r="B91" s="20" t="s">
        <v>135</v>
      </c>
      <c r="C91" s="20" t="s">
        <v>167</v>
      </c>
      <c r="D91" s="41" t="s">
        <v>895</v>
      </c>
      <c r="E91" s="20" t="s">
        <v>149</v>
      </c>
      <c r="F91" s="6">
        <f>F92</f>
        <v>0.5</v>
      </c>
    </row>
    <row r="92" spans="1:6" s="252" customFormat="1" ht="31.5">
      <c r="A92" s="25" t="s">
        <v>150</v>
      </c>
      <c r="B92" s="20" t="s">
        <v>135</v>
      </c>
      <c r="C92" s="20" t="s">
        <v>167</v>
      </c>
      <c r="D92" s="41" t="s">
        <v>895</v>
      </c>
      <c r="E92" s="20" t="s">
        <v>151</v>
      </c>
      <c r="F92" s="6">
        <f>'Пр.6 ведом.20'!G78</f>
        <v>0.5</v>
      </c>
    </row>
    <row r="93" spans="1:6" s="252" customFormat="1" ht="47.25">
      <c r="A93" s="34" t="s">
        <v>208</v>
      </c>
      <c r="B93" s="20" t="s">
        <v>135</v>
      </c>
      <c r="C93" s="20" t="s">
        <v>167</v>
      </c>
      <c r="D93" s="20" t="s">
        <v>896</v>
      </c>
      <c r="E93" s="20"/>
      <c r="F93" s="6">
        <f>F94</f>
        <v>40</v>
      </c>
    </row>
    <row r="94" spans="1:6" s="252" customFormat="1" ht="31.5">
      <c r="A94" s="25" t="s">
        <v>148</v>
      </c>
      <c r="B94" s="20" t="s">
        <v>135</v>
      </c>
      <c r="C94" s="20" t="s">
        <v>167</v>
      </c>
      <c r="D94" s="20" t="s">
        <v>896</v>
      </c>
      <c r="E94" s="20" t="s">
        <v>149</v>
      </c>
      <c r="F94" s="6">
        <f>F95</f>
        <v>40</v>
      </c>
    </row>
    <row r="95" spans="1:6" s="252" customFormat="1" ht="31.5">
      <c r="A95" s="25" t="s">
        <v>150</v>
      </c>
      <c r="B95" s="20" t="s">
        <v>135</v>
      </c>
      <c r="C95" s="20" t="s">
        <v>167</v>
      </c>
      <c r="D95" s="20" t="s">
        <v>896</v>
      </c>
      <c r="E95" s="20" t="s">
        <v>151</v>
      </c>
      <c r="F95" s="6">
        <f>'Пр.6 ведом.20'!G81</f>
        <v>40</v>
      </c>
    </row>
    <row r="96" spans="1:6" ht="47.25">
      <c r="A96" s="42" t="s">
        <v>136</v>
      </c>
      <c r="B96" s="7" t="s">
        <v>135</v>
      </c>
      <c r="C96" s="7" t="s">
        <v>137</v>
      </c>
      <c r="D96" s="7"/>
      <c r="E96" s="7"/>
      <c r="F96" s="4">
        <f aca="true" t="shared" si="20" ref="F96">F97</f>
        <v>17610.106</v>
      </c>
    </row>
    <row r="97" spans="1:6" ht="31.5">
      <c r="A97" s="23" t="s">
        <v>995</v>
      </c>
      <c r="B97" s="7" t="s">
        <v>135</v>
      </c>
      <c r="C97" s="7" t="s">
        <v>137</v>
      </c>
      <c r="D97" s="7" t="s">
        <v>909</v>
      </c>
      <c r="E97" s="7"/>
      <c r="F97" s="4">
        <f>F107+F98</f>
        <v>17610.106</v>
      </c>
    </row>
    <row r="98" spans="1:6" s="252" customFormat="1" ht="31.5">
      <c r="A98" s="23" t="s">
        <v>1142</v>
      </c>
      <c r="B98" s="7" t="s">
        <v>135</v>
      </c>
      <c r="C98" s="7" t="s">
        <v>137</v>
      </c>
      <c r="D98" s="7" t="s">
        <v>1143</v>
      </c>
      <c r="E98" s="7"/>
      <c r="F98" s="4">
        <f>F99+F104</f>
        <v>2135.162</v>
      </c>
    </row>
    <row r="99" spans="1:6" s="252" customFormat="1" ht="31.5">
      <c r="A99" s="25" t="s">
        <v>972</v>
      </c>
      <c r="B99" s="20" t="s">
        <v>135</v>
      </c>
      <c r="C99" s="20" t="s">
        <v>137</v>
      </c>
      <c r="D99" s="20" t="s">
        <v>1147</v>
      </c>
      <c r="E99" s="20"/>
      <c r="F99" s="6">
        <f>F100+F102</f>
        <v>2035.1619999999998</v>
      </c>
    </row>
    <row r="100" spans="1:6" s="252" customFormat="1" ht="78.75">
      <c r="A100" s="25" t="s">
        <v>144</v>
      </c>
      <c r="B100" s="20" t="s">
        <v>135</v>
      </c>
      <c r="C100" s="20" t="s">
        <v>137</v>
      </c>
      <c r="D100" s="20" t="s">
        <v>1147</v>
      </c>
      <c r="E100" s="20" t="s">
        <v>145</v>
      </c>
      <c r="F100" s="6">
        <f>F101</f>
        <v>2017.1619999999998</v>
      </c>
    </row>
    <row r="101" spans="1:6" s="252" customFormat="1" ht="31.5">
      <c r="A101" s="25" t="s">
        <v>146</v>
      </c>
      <c r="B101" s="20" t="s">
        <v>135</v>
      </c>
      <c r="C101" s="20" t="s">
        <v>137</v>
      </c>
      <c r="D101" s="20" t="s">
        <v>1147</v>
      </c>
      <c r="E101" s="20" t="s">
        <v>147</v>
      </c>
      <c r="F101" s="6">
        <f>'Пр.6 ведом.20'!G1026</f>
        <v>2017.1619999999998</v>
      </c>
    </row>
    <row r="102" spans="1:6" s="252" customFormat="1" ht="31.5">
      <c r="A102" s="25" t="s">
        <v>215</v>
      </c>
      <c r="B102" s="20" t="s">
        <v>135</v>
      </c>
      <c r="C102" s="20" t="s">
        <v>137</v>
      </c>
      <c r="D102" s="20" t="s">
        <v>1147</v>
      </c>
      <c r="E102" s="20" t="s">
        <v>149</v>
      </c>
      <c r="F102" s="6">
        <f>F103</f>
        <v>18</v>
      </c>
    </row>
    <row r="103" spans="1:6" s="252" customFormat="1" ht="31.5">
      <c r="A103" s="25" t="s">
        <v>150</v>
      </c>
      <c r="B103" s="20" t="s">
        <v>135</v>
      </c>
      <c r="C103" s="20" t="s">
        <v>137</v>
      </c>
      <c r="D103" s="20" t="s">
        <v>1147</v>
      </c>
      <c r="E103" s="20" t="s">
        <v>151</v>
      </c>
      <c r="F103" s="6">
        <f>'Пр.6 ведом.20'!G1028</f>
        <v>18</v>
      </c>
    </row>
    <row r="104" spans="1:6" s="252" customFormat="1" ht="47.25">
      <c r="A104" s="25" t="s">
        <v>889</v>
      </c>
      <c r="B104" s="20" t="s">
        <v>135</v>
      </c>
      <c r="C104" s="20" t="s">
        <v>137</v>
      </c>
      <c r="D104" s="20" t="s">
        <v>1145</v>
      </c>
      <c r="E104" s="20"/>
      <c r="F104" s="6">
        <f>F105</f>
        <v>100</v>
      </c>
    </row>
    <row r="105" spans="1:6" s="252" customFormat="1" ht="78.75">
      <c r="A105" s="25" t="s">
        <v>144</v>
      </c>
      <c r="B105" s="20" t="s">
        <v>135</v>
      </c>
      <c r="C105" s="20" t="s">
        <v>137</v>
      </c>
      <c r="D105" s="20" t="s">
        <v>1145</v>
      </c>
      <c r="E105" s="20" t="s">
        <v>145</v>
      </c>
      <c r="F105" s="6">
        <f>F106</f>
        <v>100</v>
      </c>
    </row>
    <row r="106" spans="1:6" s="252" customFormat="1" ht="31.5">
      <c r="A106" s="25" t="s">
        <v>146</v>
      </c>
      <c r="B106" s="20" t="s">
        <v>135</v>
      </c>
      <c r="C106" s="20" t="s">
        <v>137</v>
      </c>
      <c r="D106" s="20" t="s">
        <v>1145</v>
      </c>
      <c r="E106" s="20" t="s">
        <v>147</v>
      </c>
      <c r="F106" s="6">
        <f>'Пр.6 ведом.20'!G1031</f>
        <v>100</v>
      </c>
    </row>
    <row r="107" spans="1:6" ht="15.75">
      <c r="A107" s="23" t="s">
        <v>996</v>
      </c>
      <c r="B107" s="7" t="s">
        <v>135</v>
      </c>
      <c r="C107" s="7" t="s">
        <v>137</v>
      </c>
      <c r="D107" s="7" t="s">
        <v>910</v>
      </c>
      <c r="E107" s="7"/>
      <c r="F107" s="4">
        <f>F108+F115</f>
        <v>15474.944</v>
      </c>
    </row>
    <row r="108" spans="1:6" ht="37.5" customHeight="1">
      <c r="A108" s="30" t="s">
        <v>972</v>
      </c>
      <c r="B108" s="41" t="s">
        <v>135</v>
      </c>
      <c r="C108" s="41" t="s">
        <v>137</v>
      </c>
      <c r="D108" s="41" t="s">
        <v>911</v>
      </c>
      <c r="E108" s="41"/>
      <c r="F108" s="6">
        <f aca="true" t="shared" si="21" ref="F108">F109+F111+F113</f>
        <v>14980.944</v>
      </c>
    </row>
    <row r="109" spans="1:6" ht="78.75">
      <c r="A109" s="30" t="s">
        <v>144</v>
      </c>
      <c r="B109" s="41" t="s">
        <v>135</v>
      </c>
      <c r="C109" s="41" t="s">
        <v>137</v>
      </c>
      <c r="D109" s="41" t="s">
        <v>911</v>
      </c>
      <c r="E109" s="41" t="s">
        <v>145</v>
      </c>
      <c r="F109" s="6">
        <f aca="true" t="shared" si="22" ref="F109">F110</f>
        <v>13775.944</v>
      </c>
    </row>
    <row r="110" spans="1:6" ht="31.5">
      <c r="A110" s="30" t="s">
        <v>146</v>
      </c>
      <c r="B110" s="41" t="s">
        <v>135</v>
      </c>
      <c r="C110" s="41" t="s">
        <v>137</v>
      </c>
      <c r="D110" s="41" t="s">
        <v>911</v>
      </c>
      <c r="E110" s="41" t="s">
        <v>147</v>
      </c>
      <c r="F110" s="59">
        <f>'Пр.6 ведом.20'!G15+'Пр.6 ведом.20'!G87</f>
        <v>13775.944</v>
      </c>
    </row>
    <row r="111" spans="1:6" ht="31.5">
      <c r="A111" s="30" t="s">
        <v>148</v>
      </c>
      <c r="B111" s="41" t="s">
        <v>135</v>
      </c>
      <c r="C111" s="41" t="s">
        <v>137</v>
      </c>
      <c r="D111" s="41" t="s">
        <v>911</v>
      </c>
      <c r="E111" s="41" t="s">
        <v>149</v>
      </c>
      <c r="F111" s="6">
        <f aca="true" t="shared" si="23" ref="F111">F112</f>
        <v>1177</v>
      </c>
    </row>
    <row r="112" spans="1:6" ht="31.5">
      <c r="A112" s="30" t="s">
        <v>150</v>
      </c>
      <c r="B112" s="41" t="s">
        <v>135</v>
      </c>
      <c r="C112" s="41" t="s">
        <v>137</v>
      </c>
      <c r="D112" s="41" t="s">
        <v>911</v>
      </c>
      <c r="E112" s="41" t="s">
        <v>151</v>
      </c>
      <c r="F112" s="6">
        <f>'Пр.6 ведом.20'!G17</f>
        <v>1177</v>
      </c>
    </row>
    <row r="113" spans="1:6" ht="15.75">
      <c r="A113" s="30" t="s">
        <v>152</v>
      </c>
      <c r="B113" s="41" t="s">
        <v>135</v>
      </c>
      <c r="C113" s="41" t="s">
        <v>137</v>
      </c>
      <c r="D113" s="41" t="s">
        <v>911</v>
      </c>
      <c r="E113" s="41" t="s">
        <v>162</v>
      </c>
      <c r="F113" s="6">
        <f aca="true" t="shared" si="24" ref="F113">F114</f>
        <v>28</v>
      </c>
    </row>
    <row r="114" spans="1:6" ht="15.75">
      <c r="A114" s="30" t="s">
        <v>585</v>
      </c>
      <c r="B114" s="41" t="s">
        <v>135</v>
      </c>
      <c r="C114" s="41" t="s">
        <v>137</v>
      </c>
      <c r="D114" s="41" t="s">
        <v>911</v>
      </c>
      <c r="E114" s="41" t="s">
        <v>155</v>
      </c>
      <c r="F114" s="6">
        <f>'Пр.6 ведом.20'!G19</f>
        <v>28</v>
      </c>
    </row>
    <row r="115" spans="1:6" s="252" customFormat="1" ht="54" customHeight="1">
      <c r="A115" s="25" t="s">
        <v>889</v>
      </c>
      <c r="B115" s="20" t="s">
        <v>135</v>
      </c>
      <c r="C115" s="20" t="s">
        <v>137</v>
      </c>
      <c r="D115" s="20" t="s">
        <v>913</v>
      </c>
      <c r="E115" s="20"/>
      <c r="F115" s="6">
        <f>F116</f>
        <v>494</v>
      </c>
    </row>
    <row r="116" spans="1:6" s="252" customFormat="1" ht="80.25" customHeight="1">
      <c r="A116" s="25" t="s">
        <v>144</v>
      </c>
      <c r="B116" s="20" t="s">
        <v>135</v>
      </c>
      <c r="C116" s="20" t="s">
        <v>137</v>
      </c>
      <c r="D116" s="20" t="s">
        <v>913</v>
      </c>
      <c r="E116" s="20" t="s">
        <v>145</v>
      </c>
      <c r="F116" s="6">
        <f>F117</f>
        <v>494</v>
      </c>
    </row>
    <row r="117" spans="1:6" s="252" customFormat="1" ht="36" customHeight="1">
      <c r="A117" s="25" t="s">
        <v>146</v>
      </c>
      <c r="B117" s="20" t="s">
        <v>135</v>
      </c>
      <c r="C117" s="20" t="s">
        <v>137</v>
      </c>
      <c r="D117" s="20" t="s">
        <v>913</v>
      </c>
      <c r="E117" s="20" t="s">
        <v>147</v>
      </c>
      <c r="F117" s="6">
        <f>'Пр.6 ведом.20'!G22+'Пр.6 ведом.20'!G90</f>
        <v>494</v>
      </c>
    </row>
    <row r="118" spans="1:10" ht="15.75">
      <c r="A118" s="42" t="s">
        <v>156</v>
      </c>
      <c r="B118" s="7" t="s">
        <v>135</v>
      </c>
      <c r="C118" s="7" t="s">
        <v>157</v>
      </c>
      <c r="D118" s="7"/>
      <c r="E118" s="7"/>
      <c r="F118" s="4">
        <f>F119+F147+F156+F179+F188+F193+F198</f>
        <v>58188.515999999996</v>
      </c>
      <c r="H118" s="22"/>
      <c r="J118" s="22"/>
    </row>
    <row r="119" spans="1:10" s="252" customFormat="1" ht="15.75">
      <c r="A119" s="23" t="s">
        <v>158</v>
      </c>
      <c r="B119" s="24" t="s">
        <v>135</v>
      </c>
      <c r="C119" s="24" t="s">
        <v>157</v>
      </c>
      <c r="D119" s="24" t="s">
        <v>917</v>
      </c>
      <c r="E119" s="24"/>
      <c r="F119" s="4">
        <f>F120+F131+F138</f>
        <v>57555.695999999996</v>
      </c>
      <c r="H119" s="22"/>
      <c r="J119" s="22"/>
    </row>
    <row r="120" spans="1:10" s="252" customFormat="1" ht="15.75">
      <c r="A120" s="23" t="s">
        <v>1098</v>
      </c>
      <c r="B120" s="24" t="s">
        <v>135</v>
      </c>
      <c r="C120" s="24" t="s">
        <v>157</v>
      </c>
      <c r="D120" s="24" t="s">
        <v>1097</v>
      </c>
      <c r="E120" s="24"/>
      <c r="F120" s="61">
        <f>F124+F121</f>
        <v>46570</v>
      </c>
      <c r="H120" s="22"/>
      <c r="J120" s="22"/>
    </row>
    <row r="121" spans="1:10" s="252" customFormat="1" ht="47.25">
      <c r="A121" s="25" t="s">
        <v>889</v>
      </c>
      <c r="B121" s="20" t="s">
        <v>135</v>
      </c>
      <c r="C121" s="20" t="s">
        <v>157</v>
      </c>
      <c r="D121" s="20" t="s">
        <v>1100</v>
      </c>
      <c r="E121" s="20"/>
      <c r="F121" s="6">
        <f>F122</f>
        <v>675</v>
      </c>
      <c r="H121" s="22"/>
      <c r="J121" s="22"/>
    </row>
    <row r="122" spans="1:10" s="252" customFormat="1" ht="78.75">
      <c r="A122" s="25" t="s">
        <v>144</v>
      </c>
      <c r="B122" s="20" t="s">
        <v>135</v>
      </c>
      <c r="C122" s="20" t="s">
        <v>157</v>
      </c>
      <c r="D122" s="20" t="s">
        <v>1100</v>
      </c>
      <c r="E122" s="20" t="s">
        <v>145</v>
      </c>
      <c r="F122" s="6">
        <f>F123</f>
        <v>675</v>
      </c>
      <c r="H122" s="22"/>
      <c r="J122" s="22"/>
    </row>
    <row r="123" spans="1:10" s="252" customFormat="1" ht="31.5">
      <c r="A123" s="25" t="s">
        <v>146</v>
      </c>
      <c r="B123" s="20" t="s">
        <v>135</v>
      </c>
      <c r="C123" s="20" t="s">
        <v>157</v>
      </c>
      <c r="D123" s="20" t="s">
        <v>1100</v>
      </c>
      <c r="E123" s="20" t="s">
        <v>226</v>
      </c>
      <c r="F123" s="6">
        <f>'Пр.6 ведом.20'!G789</f>
        <v>675</v>
      </c>
      <c r="H123" s="22"/>
      <c r="J123" s="22"/>
    </row>
    <row r="124" spans="1:10" s="252" customFormat="1" ht="15.75">
      <c r="A124" s="25" t="s">
        <v>837</v>
      </c>
      <c r="B124" s="20" t="s">
        <v>135</v>
      </c>
      <c r="C124" s="20" t="s">
        <v>157</v>
      </c>
      <c r="D124" s="20" t="s">
        <v>1099</v>
      </c>
      <c r="E124" s="20"/>
      <c r="F124" s="59">
        <f aca="true" t="shared" si="25" ref="F124">F125+F127+F129</f>
        <v>45895</v>
      </c>
      <c r="H124" s="22"/>
      <c r="J124" s="22"/>
    </row>
    <row r="125" spans="1:10" s="252" customFormat="1" ht="78.75">
      <c r="A125" s="25" t="s">
        <v>144</v>
      </c>
      <c r="B125" s="20" t="s">
        <v>135</v>
      </c>
      <c r="C125" s="20" t="s">
        <v>157</v>
      </c>
      <c r="D125" s="20" t="s">
        <v>1099</v>
      </c>
      <c r="E125" s="20" t="s">
        <v>145</v>
      </c>
      <c r="F125" s="59">
        <f aca="true" t="shared" si="26" ref="F125">F126</f>
        <v>34924</v>
      </c>
      <c r="H125" s="22"/>
      <c r="J125" s="22"/>
    </row>
    <row r="126" spans="1:10" s="252" customFormat="1" ht="31.5">
      <c r="A126" s="47" t="s">
        <v>359</v>
      </c>
      <c r="B126" s="20" t="s">
        <v>135</v>
      </c>
      <c r="C126" s="20" t="s">
        <v>157</v>
      </c>
      <c r="D126" s="20" t="s">
        <v>1099</v>
      </c>
      <c r="E126" s="20" t="s">
        <v>226</v>
      </c>
      <c r="F126" s="59">
        <f>'Пр.6 ведом.20'!G792</f>
        <v>34924</v>
      </c>
      <c r="H126" s="22"/>
      <c r="J126" s="22"/>
    </row>
    <row r="127" spans="1:10" s="252" customFormat="1" ht="31.5">
      <c r="A127" s="25" t="s">
        <v>148</v>
      </c>
      <c r="B127" s="20" t="s">
        <v>135</v>
      </c>
      <c r="C127" s="20" t="s">
        <v>157</v>
      </c>
      <c r="D127" s="20" t="s">
        <v>1099</v>
      </c>
      <c r="E127" s="20" t="s">
        <v>149</v>
      </c>
      <c r="F127" s="59">
        <f aca="true" t="shared" si="27" ref="F127">F128</f>
        <v>10549.999999999998</v>
      </c>
      <c r="H127" s="22"/>
      <c r="J127" s="22"/>
    </row>
    <row r="128" spans="1:10" s="252" customFormat="1" ht="31.5">
      <c r="A128" s="25" t="s">
        <v>150</v>
      </c>
      <c r="B128" s="20" t="s">
        <v>135</v>
      </c>
      <c r="C128" s="20" t="s">
        <v>157</v>
      </c>
      <c r="D128" s="20" t="s">
        <v>1099</v>
      </c>
      <c r="E128" s="20" t="s">
        <v>151</v>
      </c>
      <c r="F128" s="59">
        <f>'Пр.6 ведом.20'!G794</f>
        <v>10549.999999999998</v>
      </c>
      <c r="H128" s="22"/>
      <c r="J128" s="22"/>
    </row>
    <row r="129" spans="1:10" s="252" customFormat="1" ht="15.75">
      <c r="A129" s="25" t="s">
        <v>152</v>
      </c>
      <c r="B129" s="20" t="s">
        <v>135</v>
      </c>
      <c r="C129" s="20" t="s">
        <v>157</v>
      </c>
      <c r="D129" s="20" t="s">
        <v>1099</v>
      </c>
      <c r="E129" s="20" t="s">
        <v>162</v>
      </c>
      <c r="F129" s="59">
        <f aca="true" t="shared" si="28" ref="F129">F130</f>
        <v>421</v>
      </c>
      <c r="H129" s="22"/>
      <c r="J129" s="22"/>
    </row>
    <row r="130" spans="1:10" s="252" customFormat="1" ht="15.75">
      <c r="A130" s="25" t="s">
        <v>729</v>
      </c>
      <c r="B130" s="20" t="s">
        <v>135</v>
      </c>
      <c r="C130" s="20" t="s">
        <v>157</v>
      </c>
      <c r="D130" s="20" t="s">
        <v>1099</v>
      </c>
      <c r="E130" s="20" t="s">
        <v>155</v>
      </c>
      <c r="F130" s="59">
        <f>'Пр.6 ведом.20'!G796</f>
        <v>421</v>
      </c>
      <c r="H130" s="22"/>
      <c r="J130" s="22"/>
    </row>
    <row r="131" spans="1:10" s="252" customFormat="1" ht="31.5">
      <c r="A131" s="23" t="s">
        <v>921</v>
      </c>
      <c r="B131" s="24" t="s">
        <v>135</v>
      </c>
      <c r="C131" s="24" t="s">
        <v>157</v>
      </c>
      <c r="D131" s="24" t="s">
        <v>916</v>
      </c>
      <c r="E131" s="24"/>
      <c r="F131" s="4">
        <f>F132+F135</f>
        <v>5188.999999999999</v>
      </c>
      <c r="H131" s="22"/>
      <c r="J131" s="22"/>
    </row>
    <row r="132" spans="1:10" s="252" customFormat="1" ht="47.25">
      <c r="A132" s="25" t="s">
        <v>405</v>
      </c>
      <c r="B132" s="20" t="s">
        <v>135</v>
      </c>
      <c r="C132" s="20" t="s">
        <v>157</v>
      </c>
      <c r="D132" s="20" t="s">
        <v>1178</v>
      </c>
      <c r="E132" s="20"/>
      <c r="F132" s="6">
        <f>F133</f>
        <v>5088.999999999999</v>
      </c>
      <c r="H132" s="22"/>
      <c r="J132" s="22"/>
    </row>
    <row r="133" spans="1:10" s="252" customFormat="1" ht="31.5">
      <c r="A133" s="25" t="s">
        <v>148</v>
      </c>
      <c r="B133" s="20" t="s">
        <v>135</v>
      </c>
      <c r="C133" s="20" t="s">
        <v>157</v>
      </c>
      <c r="D133" s="20" t="s">
        <v>1178</v>
      </c>
      <c r="E133" s="20" t="s">
        <v>149</v>
      </c>
      <c r="F133" s="6">
        <f>F134</f>
        <v>5088.999999999999</v>
      </c>
      <c r="H133" s="22"/>
      <c r="J133" s="22"/>
    </row>
    <row r="134" spans="1:10" s="252" customFormat="1" ht="31.5">
      <c r="A134" s="25" t="s">
        <v>150</v>
      </c>
      <c r="B134" s="20" t="s">
        <v>135</v>
      </c>
      <c r="C134" s="20" t="s">
        <v>157</v>
      </c>
      <c r="D134" s="20" t="s">
        <v>1178</v>
      </c>
      <c r="E134" s="20" t="s">
        <v>151</v>
      </c>
      <c r="F134" s="6">
        <f>'Пр.6 ведом.20'!G467</f>
        <v>5088.999999999999</v>
      </c>
      <c r="H134" s="22"/>
      <c r="J134" s="22"/>
    </row>
    <row r="135" spans="1:10" s="252" customFormat="1" ht="31.5">
      <c r="A135" s="25" t="s">
        <v>1011</v>
      </c>
      <c r="B135" s="20" t="s">
        <v>135</v>
      </c>
      <c r="C135" s="20" t="s">
        <v>157</v>
      </c>
      <c r="D135" s="20" t="s">
        <v>1179</v>
      </c>
      <c r="E135" s="20"/>
      <c r="F135" s="6">
        <f>F136</f>
        <v>100</v>
      </c>
      <c r="H135" s="22"/>
      <c r="J135" s="22"/>
    </row>
    <row r="136" spans="1:10" s="252" customFormat="1" ht="31.5">
      <c r="A136" s="25" t="s">
        <v>148</v>
      </c>
      <c r="B136" s="20" t="s">
        <v>135</v>
      </c>
      <c r="C136" s="20" t="s">
        <v>157</v>
      </c>
      <c r="D136" s="20" t="s">
        <v>1179</v>
      </c>
      <c r="E136" s="20" t="s">
        <v>149</v>
      </c>
      <c r="F136" s="6">
        <f>F137</f>
        <v>100</v>
      </c>
      <c r="H136" s="22"/>
      <c r="J136" s="22"/>
    </row>
    <row r="137" spans="1:10" s="252" customFormat="1" ht="31.5">
      <c r="A137" s="25" t="s">
        <v>150</v>
      </c>
      <c r="B137" s="20" t="s">
        <v>135</v>
      </c>
      <c r="C137" s="20" t="s">
        <v>157</v>
      </c>
      <c r="D137" s="20" t="s">
        <v>1179</v>
      </c>
      <c r="E137" s="20" t="s">
        <v>151</v>
      </c>
      <c r="F137" s="6">
        <f>'Пр.6 ведом.20'!G470</f>
        <v>100</v>
      </c>
      <c r="H137" s="22"/>
      <c r="J137" s="22"/>
    </row>
    <row r="138" spans="1:10" s="252" customFormat="1" ht="31.5">
      <c r="A138" s="23" t="s">
        <v>1002</v>
      </c>
      <c r="B138" s="24" t="s">
        <v>135</v>
      </c>
      <c r="C138" s="24" t="s">
        <v>157</v>
      </c>
      <c r="D138" s="24" t="s">
        <v>918</v>
      </c>
      <c r="E138" s="24"/>
      <c r="F138" s="4">
        <f>F139+F144</f>
        <v>5796.696</v>
      </c>
      <c r="H138" s="22"/>
      <c r="J138" s="22"/>
    </row>
    <row r="139" spans="1:10" s="252" customFormat="1" ht="31.5">
      <c r="A139" s="25" t="s">
        <v>1008</v>
      </c>
      <c r="B139" s="20" t="s">
        <v>135</v>
      </c>
      <c r="C139" s="20" t="s">
        <v>157</v>
      </c>
      <c r="D139" s="20" t="s">
        <v>919</v>
      </c>
      <c r="E139" s="20"/>
      <c r="F139" s="6">
        <f>F140+F142</f>
        <v>5666.696</v>
      </c>
      <c r="H139" s="22"/>
      <c r="J139" s="22"/>
    </row>
    <row r="140" spans="1:10" s="252" customFormat="1" ht="78.75">
      <c r="A140" s="25" t="s">
        <v>144</v>
      </c>
      <c r="B140" s="20" t="s">
        <v>135</v>
      </c>
      <c r="C140" s="20" t="s">
        <v>157</v>
      </c>
      <c r="D140" s="20" t="s">
        <v>919</v>
      </c>
      <c r="E140" s="20" t="s">
        <v>145</v>
      </c>
      <c r="F140" s="6">
        <f>F141</f>
        <v>4455.696</v>
      </c>
      <c r="H140" s="22"/>
      <c r="J140" s="22"/>
    </row>
    <row r="141" spans="1:10" s="252" customFormat="1" ht="15.75">
      <c r="A141" s="25" t="s">
        <v>225</v>
      </c>
      <c r="B141" s="20" t="s">
        <v>135</v>
      </c>
      <c r="C141" s="20" t="s">
        <v>157</v>
      </c>
      <c r="D141" s="20" t="s">
        <v>919</v>
      </c>
      <c r="E141" s="20" t="s">
        <v>226</v>
      </c>
      <c r="F141" s="6">
        <f>'Пр.6 ведом.20'!G96</f>
        <v>4455.696</v>
      </c>
      <c r="H141" s="22"/>
      <c r="J141" s="22"/>
    </row>
    <row r="142" spans="1:10" s="252" customFormat="1" ht="31.5">
      <c r="A142" s="25" t="s">
        <v>215</v>
      </c>
      <c r="B142" s="20" t="s">
        <v>135</v>
      </c>
      <c r="C142" s="20" t="s">
        <v>157</v>
      </c>
      <c r="D142" s="20" t="s">
        <v>919</v>
      </c>
      <c r="E142" s="20" t="s">
        <v>149</v>
      </c>
      <c r="F142" s="6">
        <f>F143</f>
        <v>1211</v>
      </c>
      <c r="H142" s="22"/>
      <c r="J142" s="22"/>
    </row>
    <row r="143" spans="1:10" s="252" customFormat="1" ht="31.5">
      <c r="A143" s="25" t="s">
        <v>150</v>
      </c>
      <c r="B143" s="20" t="s">
        <v>135</v>
      </c>
      <c r="C143" s="20" t="s">
        <v>157</v>
      </c>
      <c r="D143" s="20" t="s">
        <v>919</v>
      </c>
      <c r="E143" s="20" t="s">
        <v>151</v>
      </c>
      <c r="F143" s="6">
        <f>'Пр.6 ведом.20'!G98</f>
        <v>1211</v>
      </c>
      <c r="H143" s="22"/>
      <c r="J143" s="22"/>
    </row>
    <row r="144" spans="1:10" s="252" customFormat="1" ht="47.25">
      <c r="A144" s="25" t="s">
        <v>889</v>
      </c>
      <c r="B144" s="20" t="s">
        <v>135</v>
      </c>
      <c r="C144" s="20" t="s">
        <v>157</v>
      </c>
      <c r="D144" s="20" t="s">
        <v>920</v>
      </c>
      <c r="E144" s="20"/>
      <c r="F144" s="6">
        <f>F145</f>
        <v>130</v>
      </c>
      <c r="H144" s="22"/>
      <c r="J144" s="22"/>
    </row>
    <row r="145" spans="1:10" s="252" customFormat="1" ht="78.75">
      <c r="A145" s="25" t="s">
        <v>144</v>
      </c>
      <c r="B145" s="20" t="s">
        <v>135</v>
      </c>
      <c r="C145" s="20" t="s">
        <v>157</v>
      </c>
      <c r="D145" s="20" t="s">
        <v>920</v>
      </c>
      <c r="E145" s="20" t="s">
        <v>145</v>
      </c>
      <c r="F145" s="6">
        <f>F146</f>
        <v>130</v>
      </c>
      <c r="H145" s="22"/>
      <c r="J145" s="22"/>
    </row>
    <row r="146" spans="1:10" s="252" customFormat="1" ht="31.5">
      <c r="A146" s="25" t="s">
        <v>146</v>
      </c>
      <c r="B146" s="20" t="s">
        <v>135</v>
      </c>
      <c r="C146" s="20" t="s">
        <v>157</v>
      </c>
      <c r="D146" s="20" t="s">
        <v>920</v>
      </c>
      <c r="E146" s="20" t="s">
        <v>147</v>
      </c>
      <c r="F146" s="6">
        <f>'Пр.6 ведом.20'!G101</f>
        <v>130</v>
      </c>
      <c r="H146" s="22"/>
      <c r="J146" s="22"/>
    </row>
    <row r="147" spans="1:7" ht="47.25">
      <c r="A147" s="23" t="s">
        <v>360</v>
      </c>
      <c r="B147" s="7" t="s">
        <v>135</v>
      </c>
      <c r="C147" s="7" t="s">
        <v>157</v>
      </c>
      <c r="D147" s="7" t="s">
        <v>361</v>
      </c>
      <c r="E147" s="7"/>
      <c r="F147" s="4">
        <f>F148</f>
        <v>60</v>
      </c>
      <c r="G147" s="22"/>
    </row>
    <row r="148" spans="1:7" ht="94.5">
      <c r="A148" s="42" t="s">
        <v>397</v>
      </c>
      <c r="B148" s="7" t="s">
        <v>135</v>
      </c>
      <c r="C148" s="7" t="s">
        <v>157</v>
      </c>
      <c r="D148" s="7" t="s">
        <v>398</v>
      </c>
      <c r="E148" s="7"/>
      <c r="F148" s="4">
        <f>F149</f>
        <v>60</v>
      </c>
      <c r="G148" s="22"/>
    </row>
    <row r="149" spans="1:7" s="252" customFormat="1" ht="63">
      <c r="A149" s="382" t="s">
        <v>1236</v>
      </c>
      <c r="B149" s="7" t="s">
        <v>135</v>
      </c>
      <c r="C149" s="7" t="s">
        <v>157</v>
      </c>
      <c r="D149" s="7" t="s">
        <v>938</v>
      </c>
      <c r="E149" s="7"/>
      <c r="F149" s="4">
        <f>F150+F153</f>
        <v>60</v>
      </c>
      <c r="G149" s="22"/>
    </row>
    <row r="150" spans="1:6" ht="31.5">
      <c r="A150" s="107" t="s">
        <v>1237</v>
      </c>
      <c r="B150" s="41" t="s">
        <v>135</v>
      </c>
      <c r="C150" s="41" t="s">
        <v>157</v>
      </c>
      <c r="D150" s="41" t="s">
        <v>939</v>
      </c>
      <c r="E150" s="41"/>
      <c r="F150" s="6">
        <f aca="true" t="shared" si="29" ref="F150:F151">F151</f>
        <v>60</v>
      </c>
    </row>
    <row r="151" spans="1:6" ht="31.5">
      <c r="A151" s="30" t="s">
        <v>148</v>
      </c>
      <c r="B151" s="41" t="s">
        <v>135</v>
      </c>
      <c r="C151" s="41" t="s">
        <v>157</v>
      </c>
      <c r="D151" s="41" t="s">
        <v>939</v>
      </c>
      <c r="E151" s="41" t="s">
        <v>149</v>
      </c>
      <c r="F151" s="6">
        <f t="shared" si="29"/>
        <v>60</v>
      </c>
    </row>
    <row r="152" spans="1:6" ht="31.5">
      <c r="A152" s="30" t="s">
        <v>150</v>
      </c>
      <c r="B152" s="41" t="s">
        <v>135</v>
      </c>
      <c r="C152" s="41" t="s">
        <v>157</v>
      </c>
      <c r="D152" s="41" t="s">
        <v>939</v>
      </c>
      <c r="E152" s="41" t="s">
        <v>151</v>
      </c>
      <c r="F152" s="6">
        <f>'Пр.6 ведом.20'!G206</f>
        <v>60</v>
      </c>
    </row>
    <row r="153" spans="1:6" ht="47.25" hidden="1">
      <c r="A153" s="36" t="s">
        <v>941</v>
      </c>
      <c r="B153" s="20" t="s">
        <v>135</v>
      </c>
      <c r="C153" s="20" t="s">
        <v>157</v>
      </c>
      <c r="D153" s="20" t="s">
        <v>940</v>
      </c>
      <c r="E153" s="24"/>
      <c r="F153" s="6">
        <f>F154</f>
        <v>0</v>
      </c>
    </row>
    <row r="154" spans="1:10" ht="31.5" hidden="1">
      <c r="A154" s="25" t="s">
        <v>148</v>
      </c>
      <c r="B154" s="20" t="s">
        <v>135</v>
      </c>
      <c r="C154" s="20" t="s">
        <v>157</v>
      </c>
      <c r="D154" s="20" t="s">
        <v>940</v>
      </c>
      <c r="E154" s="20" t="s">
        <v>149</v>
      </c>
      <c r="F154" s="6">
        <f>F155</f>
        <v>0</v>
      </c>
      <c r="J154" s="22"/>
    </row>
    <row r="155" spans="1:6" ht="31.5" hidden="1">
      <c r="A155" s="25" t="s">
        <v>150</v>
      </c>
      <c r="B155" s="20" t="s">
        <v>135</v>
      </c>
      <c r="C155" s="20" t="s">
        <v>157</v>
      </c>
      <c r="D155" s="20" t="s">
        <v>940</v>
      </c>
      <c r="E155" s="20" t="s">
        <v>151</v>
      </c>
      <c r="F155" s="6">
        <f>'Пр.6 ведом.20'!G209</f>
        <v>0</v>
      </c>
    </row>
    <row r="156" spans="1:6" ht="47.25">
      <c r="A156" s="23" t="s">
        <v>351</v>
      </c>
      <c r="B156" s="24" t="s">
        <v>135</v>
      </c>
      <c r="C156" s="24" t="s">
        <v>157</v>
      </c>
      <c r="D156" s="24" t="s">
        <v>352</v>
      </c>
      <c r="E156" s="24"/>
      <c r="F156" s="62">
        <f>F157</f>
        <v>175</v>
      </c>
    </row>
    <row r="157" spans="1:6" ht="31.5">
      <c r="A157" s="23" t="s">
        <v>1242</v>
      </c>
      <c r="B157" s="24" t="s">
        <v>135</v>
      </c>
      <c r="C157" s="24" t="s">
        <v>157</v>
      </c>
      <c r="D157" s="24" t="s">
        <v>1243</v>
      </c>
      <c r="E157" s="24"/>
      <c r="F157" s="62">
        <f>F158+F164+F167+F170+F176+F161+F173</f>
        <v>175</v>
      </c>
    </row>
    <row r="158" spans="1:6" ht="31.5">
      <c r="A158" s="105" t="s">
        <v>353</v>
      </c>
      <c r="B158" s="20" t="s">
        <v>135</v>
      </c>
      <c r="C158" s="20" t="s">
        <v>157</v>
      </c>
      <c r="D158" s="20" t="s">
        <v>1244</v>
      </c>
      <c r="E158" s="20"/>
      <c r="F158" s="10">
        <f aca="true" t="shared" si="30" ref="F158">F159</f>
        <v>120</v>
      </c>
    </row>
    <row r="159" spans="1:6" ht="31.5">
      <c r="A159" s="25" t="s">
        <v>148</v>
      </c>
      <c r="B159" s="20" t="s">
        <v>135</v>
      </c>
      <c r="C159" s="20" t="s">
        <v>157</v>
      </c>
      <c r="D159" s="20" t="s">
        <v>1244</v>
      </c>
      <c r="E159" s="20" t="s">
        <v>149</v>
      </c>
      <c r="F159" s="10">
        <f>F160</f>
        <v>120</v>
      </c>
    </row>
    <row r="160" spans="1:6" ht="31.5">
      <c r="A160" s="25" t="s">
        <v>150</v>
      </c>
      <c r="B160" s="20" t="s">
        <v>135</v>
      </c>
      <c r="C160" s="20" t="s">
        <v>157</v>
      </c>
      <c r="D160" s="20" t="s">
        <v>1244</v>
      </c>
      <c r="E160" s="20" t="s">
        <v>151</v>
      </c>
      <c r="F160" s="10">
        <f>'Пр.6 ведом.20'!G493+'Пр.6 ведом.20'!G214+'Пр.6 ведом.20'!G712</f>
        <v>120</v>
      </c>
    </row>
    <row r="161" spans="1:6" s="252" customFormat="1" ht="47.25" hidden="1">
      <c r="A161" s="105" t="s">
        <v>836</v>
      </c>
      <c r="B161" s="20" t="s">
        <v>135</v>
      </c>
      <c r="C161" s="20" t="s">
        <v>157</v>
      </c>
      <c r="D161" s="20" t="s">
        <v>1249</v>
      </c>
      <c r="E161" s="20"/>
      <c r="F161" s="10">
        <f>F162</f>
        <v>0</v>
      </c>
    </row>
    <row r="162" spans="1:6" s="252" customFormat="1" ht="31.5" hidden="1">
      <c r="A162" s="25" t="s">
        <v>148</v>
      </c>
      <c r="B162" s="20" t="s">
        <v>135</v>
      </c>
      <c r="C162" s="20" t="s">
        <v>157</v>
      </c>
      <c r="D162" s="20" t="s">
        <v>1249</v>
      </c>
      <c r="E162" s="20" t="s">
        <v>149</v>
      </c>
      <c r="F162" s="10">
        <f>F163</f>
        <v>0</v>
      </c>
    </row>
    <row r="163" spans="1:6" s="252" customFormat="1" ht="37.5" customHeight="1" hidden="1">
      <c r="A163" s="25" t="s">
        <v>150</v>
      </c>
      <c r="B163" s="20" t="s">
        <v>135</v>
      </c>
      <c r="C163" s="20" t="s">
        <v>157</v>
      </c>
      <c r="D163" s="20" t="s">
        <v>1249</v>
      </c>
      <c r="E163" s="20" t="s">
        <v>151</v>
      </c>
      <c r="F163" s="10">
        <v>0</v>
      </c>
    </row>
    <row r="164" spans="1:6" ht="31.5">
      <c r="A164" s="25" t="s">
        <v>355</v>
      </c>
      <c r="B164" s="20" t="s">
        <v>135</v>
      </c>
      <c r="C164" s="20" t="s">
        <v>157</v>
      </c>
      <c r="D164" s="20" t="s">
        <v>1245</v>
      </c>
      <c r="E164" s="20"/>
      <c r="F164" s="10">
        <f>F165</f>
        <v>25</v>
      </c>
    </row>
    <row r="165" spans="1:6" ht="31.5">
      <c r="A165" s="25" t="s">
        <v>148</v>
      </c>
      <c r="B165" s="20" t="s">
        <v>135</v>
      </c>
      <c r="C165" s="20" t="s">
        <v>157</v>
      </c>
      <c r="D165" s="20" t="s">
        <v>1245</v>
      </c>
      <c r="E165" s="20" t="s">
        <v>149</v>
      </c>
      <c r="F165" s="10">
        <f>F166</f>
        <v>25</v>
      </c>
    </row>
    <row r="166" spans="1:6" ht="39" customHeight="1">
      <c r="A166" s="25" t="s">
        <v>150</v>
      </c>
      <c r="B166" s="20" t="s">
        <v>135</v>
      </c>
      <c r="C166" s="20" t="s">
        <v>157</v>
      </c>
      <c r="D166" s="20" t="s">
        <v>1245</v>
      </c>
      <c r="E166" s="20" t="s">
        <v>151</v>
      </c>
      <c r="F166" s="10">
        <f>'Пр.6 ведом.20'!G217</f>
        <v>25</v>
      </c>
    </row>
    <row r="167" spans="1:6" ht="47.25">
      <c r="A167" s="32" t="s">
        <v>796</v>
      </c>
      <c r="B167" s="20" t="s">
        <v>135</v>
      </c>
      <c r="C167" s="20" t="s">
        <v>157</v>
      </c>
      <c r="D167" s="20" t="s">
        <v>1246</v>
      </c>
      <c r="E167" s="20"/>
      <c r="F167" s="10">
        <f aca="true" t="shared" si="31" ref="F167">F168</f>
        <v>10</v>
      </c>
    </row>
    <row r="168" spans="1:6" ht="31.5">
      <c r="A168" s="25" t="s">
        <v>148</v>
      </c>
      <c r="B168" s="20" t="s">
        <v>135</v>
      </c>
      <c r="C168" s="20" t="s">
        <v>157</v>
      </c>
      <c r="D168" s="20" t="s">
        <v>1246</v>
      </c>
      <c r="E168" s="20" t="s">
        <v>149</v>
      </c>
      <c r="F168" s="10">
        <f>F169</f>
        <v>10</v>
      </c>
    </row>
    <row r="169" spans="1:6" ht="31.5">
      <c r="A169" s="25" t="s">
        <v>150</v>
      </c>
      <c r="B169" s="20" t="s">
        <v>135</v>
      </c>
      <c r="C169" s="20" t="s">
        <v>157</v>
      </c>
      <c r="D169" s="20" t="s">
        <v>1246</v>
      </c>
      <c r="E169" s="20" t="s">
        <v>151</v>
      </c>
      <c r="F169" s="10">
        <f>'Пр.6 ведом.20'!G220</f>
        <v>10</v>
      </c>
    </row>
    <row r="170" spans="1:6" ht="15.75" hidden="1">
      <c r="A170" s="25" t="s">
        <v>1152</v>
      </c>
      <c r="B170" s="20" t="s">
        <v>135</v>
      </c>
      <c r="C170" s="20" t="s">
        <v>157</v>
      </c>
      <c r="D170" s="20" t="s">
        <v>1247</v>
      </c>
      <c r="E170" s="20"/>
      <c r="F170" s="10">
        <f aca="true" t="shared" si="32" ref="F170">F171</f>
        <v>0</v>
      </c>
    </row>
    <row r="171" spans="1:6" ht="31.5" hidden="1">
      <c r="A171" s="25" t="s">
        <v>148</v>
      </c>
      <c r="B171" s="20" t="s">
        <v>135</v>
      </c>
      <c r="C171" s="20" t="s">
        <v>157</v>
      </c>
      <c r="D171" s="20" t="s">
        <v>1247</v>
      </c>
      <c r="E171" s="20" t="s">
        <v>149</v>
      </c>
      <c r="F171" s="10">
        <f>F172</f>
        <v>0</v>
      </c>
    </row>
    <row r="172" spans="1:6" ht="31.5" hidden="1">
      <c r="A172" s="25" t="s">
        <v>150</v>
      </c>
      <c r="B172" s="20" t="s">
        <v>135</v>
      </c>
      <c r="C172" s="20" t="s">
        <v>157</v>
      </c>
      <c r="D172" s="20" t="s">
        <v>1247</v>
      </c>
      <c r="E172" s="20" t="s">
        <v>151</v>
      </c>
      <c r="F172" s="10">
        <f>'Пр.6 ведом.20'!G223</f>
        <v>0</v>
      </c>
    </row>
    <row r="173" spans="1:6" s="252" customFormat="1" ht="21.75" customHeight="1" hidden="1">
      <c r="A173" s="32" t="s">
        <v>1276</v>
      </c>
      <c r="B173" s="20" t="s">
        <v>135</v>
      </c>
      <c r="C173" s="20" t="s">
        <v>157</v>
      </c>
      <c r="D173" s="20" t="s">
        <v>1277</v>
      </c>
      <c r="E173" s="20"/>
      <c r="F173" s="10">
        <f>F174</f>
        <v>0</v>
      </c>
    </row>
    <row r="174" spans="1:6" s="252" customFormat="1" ht="31.5" hidden="1">
      <c r="A174" s="25" t="s">
        <v>148</v>
      </c>
      <c r="B174" s="20" t="s">
        <v>135</v>
      </c>
      <c r="C174" s="20" t="s">
        <v>157</v>
      </c>
      <c r="D174" s="20" t="s">
        <v>1277</v>
      </c>
      <c r="E174" s="20" t="s">
        <v>149</v>
      </c>
      <c r="F174" s="10">
        <f>F175</f>
        <v>0</v>
      </c>
    </row>
    <row r="175" spans="1:6" s="252" customFormat="1" ht="31.5" hidden="1">
      <c r="A175" s="25" t="s">
        <v>150</v>
      </c>
      <c r="B175" s="20" t="s">
        <v>135</v>
      </c>
      <c r="C175" s="20" t="s">
        <v>157</v>
      </c>
      <c r="D175" s="20" t="s">
        <v>1277</v>
      </c>
      <c r="E175" s="20" t="s">
        <v>151</v>
      </c>
      <c r="F175" s="10">
        <v>0</v>
      </c>
    </row>
    <row r="176" spans="1:6" ht="31.5">
      <c r="A176" s="32" t="s">
        <v>797</v>
      </c>
      <c r="B176" s="20" t="s">
        <v>135</v>
      </c>
      <c r="C176" s="20" t="s">
        <v>157</v>
      </c>
      <c r="D176" s="20" t="s">
        <v>1248</v>
      </c>
      <c r="E176" s="20"/>
      <c r="F176" s="10">
        <f>F177</f>
        <v>20</v>
      </c>
    </row>
    <row r="177" spans="1:6" ht="31.5">
      <c r="A177" s="25" t="s">
        <v>148</v>
      </c>
      <c r="B177" s="20" t="s">
        <v>135</v>
      </c>
      <c r="C177" s="20" t="s">
        <v>157</v>
      </c>
      <c r="D177" s="20" t="s">
        <v>1248</v>
      </c>
      <c r="E177" s="20" t="s">
        <v>149</v>
      </c>
      <c r="F177" s="10">
        <f>F178</f>
        <v>20</v>
      </c>
    </row>
    <row r="178" spans="1:6" ht="31.5">
      <c r="A178" s="25" t="s">
        <v>150</v>
      </c>
      <c r="B178" s="20" t="s">
        <v>135</v>
      </c>
      <c r="C178" s="20" t="s">
        <v>157</v>
      </c>
      <c r="D178" s="20" t="s">
        <v>1248</v>
      </c>
      <c r="E178" s="20" t="s">
        <v>151</v>
      </c>
      <c r="F178" s="10">
        <f>'Пр.6 ведом.20'!G226</f>
        <v>20</v>
      </c>
    </row>
    <row r="179" spans="1:6" ht="63">
      <c r="A179" s="42" t="s">
        <v>732</v>
      </c>
      <c r="B179" s="8" t="s">
        <v>135</v>
      </c>
      <c r="C179" s="8" t="s">
        <v>157</v>
      </c>
      <c r="D179" s="24" t="s">
        <v>730</v>
      </c>
      <c r="E179" s="324"/>
      <c r="F179" s="62">
        <f>F180+F184</f>
        <v>48</v>
      </c>
    </row>
    <row r="180" spans="1:6" s="252" customFormat="1" ht="47.25">
      <c r="A180" s="311" t="s">
        <v>897</v>
      </c>
      <c r="B180" s="24" t="s">
        <v>135</v>
      </c>
      <c r="C180" s="24" t="s">
        <v>157</v>
      </c>
      <c r="D180" s="24" t="s">
        <v>903</v>
      </c>
      <c r="E180" s="24"/>
      <c r="F180" s="62">
        <f>F181</f>
        <v>33</v>
      </c>
    </row>
    <row r="181" spans="1:6" ht="39.75" customHeight="1">
      <c r="A181" s="107" t="s">
        <v>801</v>
      </c>
      <c r="B181" s="20" t="s">
        <v>135</v>
      </c>
      <c r="C181" s="20" t="s">
        <v>157</v>
      </c>
      <c r="D181" s="20" t="s">
        <v>898</v>
      </c>
      <c r="E181" s="20"/>
      <c r="F181" s="10">
        <f aca="true" t="shared" si="33" ref="F181:F182">F182</f>
        <v>33</v>
      </c>
    </row>
    <row r="182" spans="1:6" ht="31.5">
      <c r="A182" s="25" t="s">
        <v>148</v>
      </c>
      <c r="B182" s="20" t="s">
        <v>135</v>
      </c>
      <c r="C182" s="20" t="s">
        <v>157</v>
      </c>
      <c r="D182" s="20" t="s">
        <v>898</v>
      </c>
      <c r="E182" s="20" t="s">
        <v>149</v>
      </c>
      <c r="F182" s="10">
        <f t="shared" si="33"/>
        <v>33</v>
      </c>
    </row>
    <row r="183" spans="1:6" ht="31.5">
      <c r="A183" s="25" t="s">
        <v>150</v>
      </c>
      <c r="B183" s="20" t="s">
        <v>135</v>
      </c>
      <c r="C183" s="20" t="s">
        <v>157</v>
      </c>
      <c r="D183" s="20" t="s">
        <v>898</v>
      </c>
      <c r="E183" s="20" t="s">
        <v>151</v>
      </c>
      <c r="F183" s="10">
        <f>'Пр.6 ведом.20'!G231+'Пр.6 ведом.20'!G106</f>
        <v>33</v>
      </c>
    </row>
    <row r="184" spans="1:6" s="252" customFormat="1" ht="31.5">
      <c r="A184" s="312" t="s">
        <v>1199</v>
      </c>
      <c r="B184" s="24" t="s">
        <v>135</v>
      </c>
      <c r="C184" s="24" t="s">
        <v>157</v>
      </c>
      <c r="D184" s="24" t="s">
        <v>904</v>
      </c>
      <c r="E184" s="324"/>
      <c r="F184" s="62">
        <f>F185</f>
        <v>15</v>
      </c>
    </row>
    <row r="185" spans="1:6" ht="33" customHeight="1">
      <c r="A185" s="107" t="s">
        <v>802</v>
      </c>
      <c r="B185" s="20" t="s">
        <v>135</v>
      </c>
      <c r="C185" s="20" t="s">
        <v>157</v>
      </c>
      <c r="D185" s="20" t="s">
        <v>899</v>
      </c>
      <c r="E185" s="33"/>
      <c r="F185" s="10">
        <f aca="true" t="shared" si="34" ref="F185:F186">F186</f>
        <v>15</v>
      </c>
    </row>
    <row r="186" spans="1:6" ht="31.5" customHeight="1">
      <c r="A186" s="25" t="s">
        <v>148</v>
      </c>
      <c r="B186" s="20" t="s">
        <v>135</v>
      </c>
      <c r="C186" s="20" t="s">
        <v>157</v>
      </c>
      <c r="D186" s="20" t="s">
        <v>899</v>
      </c>
      <c r="E186" s="33" t="s">
        <v>149</v>
      </c>
      <c r="F186" s="10">
        <f t="shared" si="34"/>
        <v>15</v>
      </c>
    </row>
    <row r="187" spans="1:6" ht="40.5" customHeight="1">
      <c r="A187" s="25" t="s">
        <v>150</v>
      </c>
      <c r="B187" s="20" t="s">
        <v>135</v>
      </c>
      <c r="C187" s="20" t="s">
        <v>157</v>
      </c>
      <c r="D187" s="20" t="s">
        <v>899</v>
      </c>
      <c r="E187" s="33" t="s">
        <v>151</v>
      </c>
      <c r="F187" s="10">
        <f>'Пр.6 ведом.20'!G110</f>
        <v>15</v>
      </c>
    </row>
    <row r="188" spans="1:6" ht="63">
      <c r="A188" s="317" t="s">
        <v>806</v>
      </c>
      <c r="B188" s="24" t="s">
        <v>135</v>
      </c>
      <c r="C188" s="24" t="s">
        <v>157</v>
      </c>
      <c r="D188" s="24" t="s">
        <v>808</v>
      </c>
      <c r="E188" s="324"/>
      <c r="F188" s="62">
        <f>F190</f>
        <v>239.82</v>
      </c>
    </row>
    <row r="189" spans="1:6" s="252" customFormat="1" ht="31.5">
      <c r="A189" s="23" t="s">
        <v>1010</v>
      </c>
      <c r="B189" s="24" t="s">
        <v>135</v>
      </c>
      <c r="C189" s="24" t="s">
        <v>157</v>
      </c>
      <c r="D189" s="24" t="s">
        <v>1193</v>
      </c>
      <c r="E189" s="324"/>
      <c r="F189" s="62">
        <f>F190</f>
        <v>239.82</v>
      </c>
    </row>
    <row r="190" spans="1:6" ht="31.5">
      <c r="A190" s="208" t="s">
        <v>818</v>
      </c>
      <c r="B190" s="20" t="s">
        <v>135</v>
      </c>
      <c r="C190" s="20" t="s">
        <v>157</v>
      </c>
      <c r="D190" s="20" t="s">
        <v>1194</v>
      </c>
      <c r="E190" s="33"/>
      <c r="F190" s="10">
        <f>F191</f>
        <v>239.82</v>
      </c>
    </row>
    <row r="191" spans="1:6" ht="31.5">
      <c r="A191" s="208" t="s">
        <v>148</v>
      </c>
      <c r="B191" s="20" t="s">
        <v>135</v>
      </c>
      <c r="C191" s="20" t="s">
        <v>157</v>
      </c>
      <c r="D191" s="20" t="s">
        <v>1194</v>
      </c>
      <c r="E191" s="33" t="s">
        <v>149</v>
      </c>
      <c r="F191" s="10">
        <f>F192</f>
        <v>239.82</v>
      </c>
    </row>
    <row r="192" spans="1:6" ht="31.5">
      <c r="A192" s="208" t="s">
        <v>150</v>
      </c>
      <c r="B192" s="20" t="s">
        <v>135</v>
      </c>
      <c r="C192" s="20" t="s">
        <v>157</v>
      </c>
      <c r="D192" s="20" t="s">
        <v>1194</v>
      </c>
      <c r="E192" s="33" t="s">
        <v>151</v>
      </c>
      <c r="F192" s="10">
        <f>'Пр.6 ведом.20'!G475</f>
        <v>239.82</v>
      </c>
    </row>
    <row r="193" spans="1:6" ht="78.75">
      <c r="A193" s="42" t="s">
        <v>867</v>
      </c>
      <c r="B193" s="8" t="s">
        <v>135</v>
      </c>
      <c r="C193" s="8" t="s">
        <v>157</v>
      </c>
      <c r="D193" s="380" t="s">
        <v>865</v>
      </c>
      <c r="E193" s="8"/>
      <c r="F193" s="62">
        <f>F194</f>
        <v>30</v>
      </c>
    </row>
    <row r="194" spans="1:6" s="252" customFormat="1" ht="47.25">
      <c r="A194" s="313" t="s">
        <v>905</v>
      </c>
      <c r="B194" s="8" t="s">
        <v>135</v>
      </c>
      <c r="C194" s="8" t="s">
        <v>157</v>
      </c>
      <c r="D194" s="232" t="s">
        <v>1279</v>
      </c>
      <c r="E194" s="8"/>
      <c r="F194" s="62">
        <f>F195</f>
        <v>30</v>
      </c>
    </row>
    <row r="195" spans="1:6" ht="31.5">
      <c r="A195" s="105" t="s">
        <v>188</v>
      </c>
      <c r="B195" s="9" t="s">
        <v>135</v>
      </c>
      <c r="C195" s="9" t="s">
        <v>157</v>
      </c>
      <c r="D195" s="5" t="s">
        <v>906</v>
      </c>
      <c r="E195" s="9"/>
      <c r="F195" s="10">
        <f>F196</f>
        <v>30</v>
      </c>
    </row>
    <row r="196" spans="1:6" ht="31.5">
      <c r="A196" s="25" t="s">
        <v>148</v>
      </c>
      <c r="B196" s="9" t="s">
        <v>135</v>
      </c>
      <c r="C196" s="9" t="s">
        <v>157</v>
      </c>
      <c r="D196" s="5" t="s">
        <v>906</v>
      </c>
      <c r="E196" s="9" t="s">
        <v>149</v>
      </c>
      <c r="F196" s="10">
        <f>F197</f>
        <v>30</v>
      </c>
    </row>
    <row r="197" spans="1:6" ht="31.5">
      <c r="A197" s="25" t="s">
        <v>150</v>
      </c>
      <c r="B197" s="9" t="s">
        <v>135</v>
      </c>
      <c r="C197" s="9" t="s">
        <v>157</v>
      </c>
      <c r="D197" s="5" t="s">
        <v>906</v>
      </c>
      <c r="E197" s="9" t="s">
        <v>151</v>
      </c>
      <c r="F197" s="10">
        <f>'Пр.6 ведом.20'!G115</f>
        <v>30</v>
      </c>
    </row>
    <row r="198" spans="1:6" ht="63">
      <c r="A198" s="42" t="s">
        <v>1197</v>
      </c>
      <c r="B198" s="8" t="s">
        <v>135</v>
      </c>
      <c r="C198" s="8" t="s">
        <v>157</v>
      </c>
      <c r="D198" s="232" t="s">
        <v>866</v>
      </c>
      <c r="E198" s="8"/>
      <c r="F198" s="4">
        <f>F199</f>
        <v>80</v>
      </c>
    </row>
    <row r="199" spans="1:6" ht="31.5">
      <c r="A199" s="60" t="s">
        <v>907</v>
      </c>
      <c r="B199" s="8" t="s">
        <v>135</v>
      </c>
      <c r="C199" s="8" t="s">
        <v>157</v>
      </c>
      <c r="D199" s="232" t="s">
        <v>915</v>
      </c>
      <c r="E199" s="8"/>
      <c r="F199" s="4">
        <f aca="true" t="shared" si="35" ref="F199:F200">F200</f>
        <v>80</v>
      </c>
    </row>
    <row r="200" spans="1:6" ht="15.75">
      <c r="A200" s="46" t="s">
        <v>871</v>
      </c>
      <c r="B200" s="9" t="s">
        <v>135</v>
      </c>
      <c r="C200" s="9" t="s">
        <v>157</v>
      </c>
      <c r="D200" s="5" t="s">
        <v>908</v>
      </c>
      <c r="E200" s="9"/>
      <c r="F200" s="59">
        <f t="shared" si="35"/>
        <v>80</v>
      </c>
    </row>
    <row r="201" spans="1:7" ht="48" customHeight="1">
      <c r="A201" s="25" t="s">
        <v>148</v>
      </c>
      <c r="B201" s="9" t="s">
        <v>135</v>
      </c>
      <c r="C201" s="9" t="s">
        <v>157</v>
      </c>
      <c r="D201" s="5" t="s">
        <v>908</v>
      </c>
      <c r="E201" s="9" t="s">
        <v>149</v>
      </c>
      <c r="F201" s="59">
        <f>F202</f>
        <v>80</v>
      </c>
      <c r="G201" s="22"/>
    </row>
    <row r="202" spans="1:6" ht="31.5">
      <c r="A202" s="25" t="s">
        <v>150</v>
      </c>
      <c r="B202" s="9" t="s">
        <v>135</v>
      </c>
      <c r="C202" s="9" t="s">
        <v>157</v>
      </c>
      <c r="D202" s="5" t="s">
        <v>908</v>
      </c>
      <c r="E202" s="9" t="s">
        <v>151</v>
      </c>
      <c r="F202" s="6">
        <f>'Пр.6 ведом.20'!G120</f>
        <v>80</v>
      </c>
    </row>
    <row r="203" spans="1:6" s="252" customFormat="1" ht="15.75" hidden="1">
      <c r="A203" s="23" t="s">
        <v>229</v>
      </c>
      <c r="B203" s="24" t="s">
        <v>230</v>
      </c>
      <c r="C203" s="24"/>
      <c r="D203" s="24"/>
      <c r="E203" s="24"/>
      <c r="F203" s="4">
        <f aca="true" t="shared" si="36" ref="F203:F208">F204</f>
        <v>0</v>
      </c>
    </row>
    <row r="204" spans="1:6" s="252" customFormat="1" ht="19.5" customHeight="1" hidden="1">
      <c r="A204" s="23" t="s">
        <v>235</v>
      </c>
      <c r="B204" s="24" t="s">
        <v>230</v>
      </c>
      <c r="C204" s="24" t="s">
        <v>236</v>
      </c>
      <c r="D204" s="24"/>
      <c r="E204" s="24"/>
      <c r="F204" s="4">
        <f t="shared" si="36"/>
        <v>0</v>
      </c>
    </row>
    <row r="205" spans="1:6" s="252" customFormat="1" ht="15.75" hidden="1">
      <c r="A205" s="23" t="s">
        <v>158</v>
      </c>
      <c r="B205" s="24" t="s">
        <v>230</v>
      </c>
      <c r="C205" s="24" t="s">
        <v>236</v>
      </c>
      <c r="D205" s="24" t="s">
        <v>917</v>
      </c>
      <c r="E205" s="24"/>
      <c r="F205" s="4">
        <f t="shared" si="36"/>
        <v>0</v>
      </c>
    </row>
    <row r="206" spans="1:6" s="252" customFormat="1" ht="31.5" hidden="1">
      <c r="A206" s="23" t="s">
        <v>921</v>
      </c>
      <c r="B206" s="24" t="s">
        <v>230</v>
      </c>
      <c r="C206" s="24" t="s">
        <v>236</v>
      </c>
      <c r="D206" s="24" t="s">
        <v>916</v>
      </c>
      <c r="E206" s="24"/>
      <c r="F206" s="4">
        <f t="shared" si="36"/>
        <v>0</v>
      </c>
    </row>
    <row r="207" spans="1:6" s="252" customFormat="1" ht="15.75" hidden="1">
      <c r="A207" s="25" t="s">
        <v>237</v>
      </c>
      <c r="B207" s="20" t="s">
        <v>230</v>
      </c>
      <c r="C207" s="20" t="s">
        <v>236</v>
      </c>
      <c r="D207" s="20" t="s">
        <v>922</v>
      </c>
      <c r="E207" s="20"/>
      <c r="F207" s="6">
        <f t="shared" si="36"/>
        <v>0</v>
      </c>
    </row>
    <row r="208" spans="1:6" s="252" customFormat="1" ht="31.5" hidden="1">
      <c r="A208" s="25" t="s">
        <v>215</v>
      </c>
      <c r="B208" s="20" t="s">
        <v>230</v>
      </c>
      <c r="C208" s="20" t="s">
        <v>236</v>
      </c>
      <c r="D208" s="20" t="s">
        <v>922</v>
      </c>
      <c r="E208" s="20" t="s">
        <v>149</v>
      </c>
      <c r="F208" s="6">
        <f t="shared" si="36"/>
        <v>0</v>
      </c>
    </row>
    <row r="209" spans="1:6" s="252" customFormat="1" ht="31.5" hidden="1">
      <c r="A209" s="25" t="s">
        <v>150</v>
      </c>
      <c r="B209" s="20" t="s">
        <v>230</v>
      </c>
      <c r="C209" s="20" t="s">
        <v>236</v>
      </c>
      <c r="D209" s="20" t="s">
        <v>922</v>
      </c>
      <c r="E209" s="20" t="s">
        <v>151</v>
      </c>
      <c r="F209" s="6">
        <f>'Пр.6 ведом.20'!G127</f>
        <v>0</v>
      </c>
    </row>
    <row r="210" spans="1:6" ht="31.5">
      <c r="A210" s="23" t="s">
        <v>239</v>
      </c>
      <c r="B210" s="24" t="s">
        <v>232</v>
      </c>
      <c r="C210" s="24"/>
      <c r="D210" s="24"/>
      <c r="E210" s="24"/>
      <c r="F210" s="4">
        <f aca="true" t="shared" si="37" ref="F210:F211">F211</f>
        <v>8610.844000000001</v>
      </c>
    </row>
    <row r="211" spans="1:10" ht="47.25">
      <c r="A211" s="23" t="s">
        <v>240</v>
      </c>
      <c r="B211" s="24" t="s">
        <v>232</v>
      </c>
      <c r="C211" s="24" t="s">
        <v>236</v>
      </c>
      <c r="D211" s="20"/>
      <c r="E211" s="20"/>
      <c r="F211" s="4">
        <f t="shared" si="37"/>
        <v>8610.844000000001</v>
      </c>
      <c r="G211" s="22"/>
      <c r="H211" s="22"/>
      <c r="I211" s="22"/>
      <c r="J211" s="22"/>
    </row>
    <row r="212" spans="1:6" ht="15.75">
      <c r="A212" s="23" t="s">
        <v>158</v>
      </c>
      <c r="B212" s="24" t="s">
        <v>232</v>
      </c>
      <c r="C212" s="24" t="s">
        <v>236</v>
      </c>
      <c r="D212" s="24" t="s">
        <v>917</v>
      </c>
      <c r="E212" s="24"/>
      <c r="F212" s="4">
        <f>F213+F220</f>
        <v>8610.844000000001</v>
      </c>
    </row>
    <row r="213" spans="1:6" ht="31.5">
      <c r="A213" s="23" t="s">
        <v>921</v>
      </c>
      <c r="B213" s="24" t="s">
        <v>232</v>
      </c>
      <c r="C213" s="24" t="s">
        <v>236</v>
      </c>
      <c r="D213" s="24" t="s">
        <v>916</v>
      </c>
      <c r="E213" s="24"/>
      <c r="F213" s="4">
        <f>F214+F217</f>
        <v>2357</v>
      </c>
    </row>
    <row r="214" spans="1:6" ht="47.25">
      <c r="A214" s="25" t="s">
        <v>241</v>
      </c>
      <c r="B214" s="20" t="s">
        <v>232</v>
      </c>
      <c r="C214" s="20" t="s">
        <v>236</v>
      </c>
      <c r="D214" s="20" t="s">
        <v>926</v>
      </c>
      <c r="E214" s="20"/>
      <c r="F214" s="6">
        <f aca="true" t="shared" si="38" ref="F214:F215">F215</f>
        <v>2053</v>
      </c>
    </row>
    <row r="215" spans="1:6" ht="31.5">
      <c r="A215" s="25" t="s">
        <v>215</v>
      </c>
      <c r="B215" s="20" t="s">
        <v>232</v>
      </c>
      <c r="C215" s="20" t="s">
        <v>236</v>
      </c>
      <c r="D215" s="20" t="s">
        <v>926</v>
      </c>
      <c r="E215" s="20" t="s">
        <v>149</v>
      </c>
      <c r="F215" s="6">
        <f t="shared" si="38"/>
        <v>2053</v>
      </c>
    </row>
    <row r="216" spans="1:6" ht="31.5">
      <c r="A216" s="25" t="s">
        <v>150</v>
      </c>
      <c r="B216" s="20" t="s">
        <v>232</v>
      </c>
      <c r="C216" s="20" t="s">
        <v>236</v>
      </c>
      <c r="D216" s="20" t="s">
        <v>926</v>
      </c>
      <c r="E216" s="20" t="s">
        <v>151</v>
      </c>
      <c r="F216" s="106">
        <f>'Пр.6 ведом.20'!G134</f>
        <v>2053</v>
      </c>
    </row>
    <row r="217" spans="1:6" ht="15.75">
      <c r="A217" s="25" t="s">
        <v>247</v>
      </c>
      <c r="B217" s="20" t="s">
        <v>232</v>
      </c>
      <c r="C217" s="20" t="s">
        <v>236</v>
      </c>
      <c r="D217" s="20" t="s">
        <v>927</v>
      </c>
      <c r="E217" s="20"/>
      <c r="F217" s="106">
        <f aca="true" t="shared" si="39" ref="F217:F218">F218</f>
        <v>304</v>
      </c>
    </row>
    <row r="218" spans="1:6" ht="31.5">
      <c r="A218" s="25" t="s">
        <v>215</v>
      </c>
      <c r="B218" s="20" t="s">
        <v>232</v>
      </c>
      <c r="C218" s="20" t="s">
        <v>236</v>
      </c>
      <c r="D218" s="20" t="s">
        <v>927</v>
      </c>
      <c r="E218" s="20" t="s">
        <v>149</v>
      </c>
      <c r="F218" s="106">
        <f t="shared" si="39"/>
        <v>304</v>
      </c>
    </row>
    <row r="219" spans="1:6" ht="31.5">
      <c r="A219" s="25" t="s">
        <v>150</v>
      </c>
      <c r="B219" s="20" t="s">
        <v>232</v>
      </c>
      <c r="C219" s="20" t="s">
        <v>236</v>
      </c>
      <c r="D219" s="20" t="s">
        <v>927</v>
      </c>
      <c r="E219" s="20" t="s">
        <v>151</v>
      </c>
      <c r="F219" s="106">
        <f>'Пр.6 ведом.20'!G137+'Пр.6 ведом.20'!G803</f>
        <v>304</v>
      </c>
    </row>
    <row r="220" spans="1:6" ht="31.5">
      <c r="A220" s="23" t="s">
        <v>1003</v>
      </c>
      <c r="B220" s="24" t="s">
        <v>232</v>
      </c>
      <c r="C220" s="24" t="s">
        <v>236</v>
      </c>
      <c r="D220" s="24" t="s">
        <v>923</v>
      </c>
      <c r="E220" s="24"/>
      <c r="F220" s="4">
        <f>F221+F226</f>
        <v>6253.844</v>
      </c>
    </row>
    <row r="221" spans="1:6" ht="31.5">
      <c r="A221" s="25" t="s">
        <v>1007</v>
      </c>
      <c r="B221" s="20" t="s">
        <v>232</v>
      </c>
      <c r="C221" s="20" t="s">
        <v>236</v>
      </c>
      <c r="D221" s="20" t="s">
        <v>924</v>
      </c>
      <c r="E221" s="20"/>
      <c r="F221" s="59">
        <f>F222+F224</f>
        <v>5943.844</v>
      </c>
    </row>
    <row r="222" spans="1:6" ht="78.75">
      <c r="A222" s="25" t="s">
        <v>144</v>
      </c>
      <c r="B222" s="20" t="s">
        <v>232</v>
      </c>
      <c r="C222" s="20" t="s">
        <v>236</v>
      </c>
      <c r="D222" s="20" t="s">
        <v>924</v>
      </c>
      <c r="E222" s="20" t="s">
        <v>145</v>
      </c>
      <c r="F222" s="59">
        <f>'Пр.6 ведом.20'!G141</f>
        <v>4701.844</v>
      </c>
    </row>
    <row r="223" spans="1:6" ht="15.75">
      <c r="A223" s="25" t="s">
        <v>225</v>
      </c>
      <c r="B223" s="20" t="s">
        <v>232</v>
      </c>
      <c r="C223" s="20" t="s">
        <v>236</v>
      </c>
      <c r="D223" s="20" t="s">
        <v>924</v>
      </c>
      <c r="E223" s="20" t="s">
        <v>226</v>
      </c>
      <c r="F223" s="6">
        <f>'Пр.6 ведом.20'!G141</f>
        <v>4701.844</v>
      </c>
    </row>
    <row r="224" spans="1:6" ht="31.5">
      <c r="A224" s="25" t="s">
        <v>215</v>
      </c>
      <c r="B224" s="20" t="s">
        <v>232</v>
      </c>
      <c r="C224" s="20" t="s">
        <v>236</v>
      </c>
      <c r="D224" s="20" t="s">
        <v>924</v>
      </c>
      <c r="E224" s="20" t="s">
        <v>149</v>
      </c>
      <c r="F224" s="6">
        <f>'Пр.6 ведом.20'!G143</f>
        <v>1242</v>
      </c>
    </row>
    <row r="225" spans="1:6" ht="31.5">
      <c r="A225" s="25" t="s">
        <v>150</v>
      </c>
      <c r="B225" s="20" t="s">
        <v>232</v>
      </c>
      <c r="C225" s="20" t="s">
        <v>236</v>
      </c>
      <c r="D225" s="20" t="s">
        <v>924</v>
      </c>
      <c r="E225" s="20" t="s">
        <v>151</v>
      </c>
      <c r="F225" s="6">
        <f>'Пр.6 ведом.20'!G143</f>
        <v>1242</v>
      </c>
    </row>
    <row r="226" spans="1:6" ht="47.25">
      <c r="A226" s="25" t="s">
        <v>889</v>
      </c>
      <c r="B226" s="20" t="s">
        <v>232</v>
      </c>
      <c r="C226" s="20" t="s">
        <v>236</v>
      </c>
      <c r="D226" s="20" t="s">
        <v>925</v>
      </c>
      <c r="E226" s="20"/>
      <c r="F226" s="6">
        <f aca="true" t="shared" si="40" ref="F226">F227</f>
        <v>310</v>
      </c>
    </row>
    <row r="227" spans="1:6" ht="78.75">
      <c r="A227" s="25" t="s">
        <v>144</v>
      </c>
      <c r="B227" s="20" t="s">
        <v>232</v>
      </c>
      <c r="C227" s="20" t="s">
        <v>236</v>
      </c>
      <c r="D227" s="20" t="s">
        <v>925</v>
      </c>
      <c r="E227" s="20" t="s">
        <v>145</v>
      </c>
      <c r="F227" s="6">
        <f>F228</f>
        <v>310</v>
      </c>
    </row>
    <row r="228" spans="1:6" s="252" customFormat="1" ht="31.5">
      <c r="A228" s="25" t="s">
        <v>146</v>
      </c>
      <c r="B228" s="20" t="s">
        <v>232</v>
      </c>
      <c r="C228" s="20" t="s">
        <v>236</v>
      </c>
      <c r="D228" s="20" t="s">
        <v>925</v>
      </c>
      <c r="E228" s="20" t="s">
        <v>147</v>
      </c>
      <c r="F228" s="6">
        <f>'Пр.6 ведом.20'!G146</f>
        <v>310</v>
      </c>
    </row>
    <row r="229" spans="1:6" ht="15.75">
      <c r="A229" s="23" t="s">
        <v>249</v>
      </c>
      <c r="B229" s="24" t="s">
        <v>167</v>
      </c>
      <c r="C229" s="24"/>
      <c r="D229" s="24"/>
      <c r="E229" s="20"/>
      <c r="F229" s="4">
        <f aca="true" t="shared" si="41" ref="F229">F243+F249+F261+F230</f>
        <v>8950.3</v>
      </c>
    </row>
    <row r="230" spans="1:6" ht="15.75">
      <c r="A230" s="23" t="s">
        <v>250</v>
      </c>
      <c r="B230" s="24" t="s">
        <v>167</v>
      </c>
      <c r="C230" s="24" t="s">
        <v>251</v>
      </c>
      <c r="D230" s="24"/>
      <c r="E230" s="20"/>
      <c r="F230" s="4">
        <f>F231</f>
        <v>355</v>
      </c>
    </row>
    <row r="231" spans="1:6" ht="47.25">
      <c r="A231" s="35" t="s">
        <v>198</v>
      </c>
      <c r="B231" s="24" t="s">
        <v>167</v>
      </c>
      <c r="C231" s="24" t="s">
        <v>251</v>
      </c>
      <c r="D231" s="232" t="s">
        <v>199</v>
      </c>
      <c r="E231" s="324"/>
      <c r="F231" s="4">
        <f>F232+F239</f>
        <v>355</v>
      </c>
    </row>
    <row r="232" spans="1:6" ht="31.5">
      <c r="A232" s="35" t="s">
        <v>1168</v>
      </c>
      <c r="B232" s="24" t="s">
        <v>167</v>
      </c>
      <c r="C232" s="24" t="s">
        <v>251</v>
      </c>
      <c r="D232" s="383" t="s">
        <v>928</v>
      </c>
      <c r="E232" s="324"/>
      <c r="F232" s="4">
        <f>F233+F236</f>
        <v>256</v>
      </c>
    </row>
    <row r="233" spans="1:6" ht="15.75">
      <c r="A233" s="25" t="s">
        <v>929</v>
      </c>
      <c r="B233" s="20" t="s">
        <v>167</v>
      </c>
      <c r="C233" s="20" t="s">
        <v>251</v>
      </c>
      <c r="D233" s="20" t="s">
        <v>973</v>
      </c>
      <c r="E233" s="33"/>
      <c r="F233" s="6">
        <f>F234</f>
        <v>1</v>
      </c>
    </row>
    <row r="234" spans="1:6" ht="15.75">
      <c r="A234" s="30" t="s">
        <v>152</v>
      </c>
      <c r="B234" s="20" t="s">
        <v>167</v>
      </c>
      <c r="C234" s="20" t="s">
        <v>251</v>
      </c>
      <c r="D234" s="20" t="s">
        <v>973</v>
      </c>
      <c r="E234" s="33" t="s">
        <v>162</v>
      </c>
      <c r="F234" s="6">
        <f>F235</f>
        <v>1</v>
      </c>
    </row>
    <row r="235" spans="1:6" ht="47.25">
      <c r="A235" s="30" t="s">
        <v>201</v>
      </c>
      <c r="B235" s="20" t="s">
        <v>167</v>
      </c>
      <c r="C235" s="20" t="s">
        <v>251</v>
      </c>
      <c r="D235" s="20" t="s">
        <v>973</v>
      </c>
      <c r="E235" s="33" t="s">
        <v>177</v>
      </c>
      <c r="F235" s="6">
        <f>'Пр.6 ведом.20'!G153</f>
        <v>1</v>
      </c>
    </row>
    <row r="236" spans="1:6" ht="31.5">
      <c r="A236" s="25" t="s">
        <v>252</v>
      </c>
      <c r="B236" s="20" t="s">
        <v>167</v>
      </c>
      <c r="C236" s="20" t="s">
        <v>251</v>
      </c>
      <c r="D236" s="20" t="s">
        <v>932</v>
      </c>
      <c r="E236" s="20"/>
      <c r="F236" s="6">
        <f aca="true" t="shared" si="42" ref="F236">F237</f>
        <v>255</v>
      </c>
    </row>
    <row r="237" spans="1:6" ht="15.75">
      <c r="A237" s="25" t="s">
        <v>152</v>
      </c>
      <c r="B237" s="20" t="s">
        <v>167</v>
      </c>
      <c r="C237" s="20" t="s">
        <v>251</v>
      </c>
      <c r="D237" s="20" t="s">
        <v>932</v>
      </c>
      <c r="E237" s="20" t="s">
        <v>162</v>
      </c>
      <c r="F237" s="6">
        <f>F238</f>
        <v>255</v>
      </c>
    </row>
    <row r="238" spans="1:6" ht="47.25">
      <c r="A238" s="25" t="s">
        <v>201</v>
      </c>
      <c r="B238" s="20" t="s">
        <v>167</v>
      </c>
      <c r="C238" s="20" t="s">
        <v>251</v>
      </c>
      <c r="D238" s="20" t="s">
        <v>932</v>
      </c>
      <c r="E238" s="20" t="s">
        <v>177</v>
      </c>
      <c r="F238" s="6">
        <f>'Пр.6 ведом.20'!G156</f>
        <v>255</v>
      </c>
    </row>
    <row r="239" spans="1:6" ht="47.25">
      <c r="A239" s="314" t="s">
        <v>1169</v>
      </c>
      <c r="B239" s="24" t="s">
        <v>167</v>
      </c>
      <c r="C239" s="24" t="s">
        <v>251</v>
      </c>
      <c r="D239" s="232" t="s">
        <v>931</v>
      </c>
      <c r="E239" s="324"/>
      <c r="F239" s="4">
        <f>F240</f>
        <v>99</v>
      </c>
    </row>
    <row r="240" spans="1:6" s="252" customFormat="1" ht="15.75">
      <c r="A240" s="25" t="s">
        <v>930</v>
      </c>
      <c r="B240" s="20" t="s">
        <v>167</v>
      </c>
      <c r="C240" s="20" t="s">
        <v>251</v>
      </c>
      <c r="D240" s="5" t="s">
        <v>974</v>
      </c>
      <c r="E240" s="33"/>
      <c r="F240" s="6">
        <f>F241</f>
        <v>99</v>
      </c>
    </row>
    <row r="241" spans="1:6" s="252" customFormat="1" ht="15.75">
      <c r="A241" s="30" t="s">
        <v>152</v>
      </c>
      <c r="B241" s="20" t="s">
        <v>167</v>
      </c>
      <c r="C241" s="20" t="s">
        <v>251</v>
      </c>
      <c r="D241" s="5" t="s">
        <v>974</v>
      </c>
      <c r="E241" s="33" t="s">
        <v>162</v>
      </c>
      <c r="F241" s="6">
        <f>F242</f>
        <v>99</v>
      </c>
    </row>
    <row r="242" spans="1:6" s="252" customFormat="1" ht="47.25">
      <c r="A242" s="30" t="s">
        <v>201</v>
      </c>
      <c r="B242" s="20" t="s">
        <v>167</v>
      </c>
      <c r="C242" s="20" t="s">
        <v>251</v>
      </c>
      <c r="D242" s="5" t="s">
        <v>974</v>
      </c>
      <c r="E242" s="33" t="s">
        <v>177</v>
      </c>
      <c r="F242" s="6">
        <f>'Пр.6 ведом.20'!G160</f>
        <v>99</v>
      </c>
    </row>
    <row r="243" spans="1:6" ht="15.75">
      <c r="A243" s="23" t="s">
        <v>522</v>
      </c>
      <c r="B243" s="24" t="s">
        <v>167</v>
      </c>
      <c r="C243" s="24" t="s">
        <v>316</v>
      </c>
      <c r="D243" s="24"/>
      <c r="E243" s="24"/>
      <c r="F243" s="4">
        <f aca="true" t="shared" si="43" ref="F243:F247">F244</f>
        <v>3258</v>
      </c>
    </row>
    <row r="244" spans="1:6" ht="15.75">
      <c r="A244" s="23" t="s">
        <v>158</v>
      </c>
      <c r="B244" s="24" t="s">
        <v>167</v>
      </c>
      <c r="C244" s="24" t="s">
        <v>316</v>
      </c>
      <c r="D244" s="24" t="s">
        <v>917</v>
      </c>
      <c r="E244" s="24"/>
      <c r="F244" s="4">
        <f t="shared" si="43"/>
        <v>3258</v>
      </c>
    </row>
    <row r="245" spans="1:6" ht="31.5">
      <c r="A245" s="23" t="s">
        <v>921</v>
      </c>
      <c r="B245" s="24" t="s">
        <v>167</v>
      </c>
      <c r="C245" s="24" t="s">
        <v>316</v>
      </c>
      <c r="D245" s="24" t="s">
        <v>916</v>
      </c>
      <c r="E245" s="24"/>
      <c r="F245" s="4">
        <f t="shared" si="43"/>
        <v>3258</v>
      </c>
    </row>
    <row r="246" spans="1:6" ht="17.25" customHeight="1">
      <c r="A246" s="25" t="s">
        <v>523</v>
      </c>
      <c r="B246" s="20" t="s">
        <v>167</v>
      </c>
      <c r="C246" s="20" t="s">
        <v>316</v>
      </c>
      <c r="D246" s="20" t="s">
        <v>1101</v>
      </c>
      <c r="E246" s="20"/>
      <c r="F246" s="6">
        <f t="shared" si="43"/>
        <v>3258</v>
      </c>
    </row>
    <row r="247" spans="1:6" ht="34.5" customHeight="1">
      <c r="A247" s="25" t="s">
        <v>148</v>
      </c>
      <c r="B247" s="20" t="s">
        <v>167</v>
      </c>
      <c r="C247" s="20" t="s">
        <v>316</v>
      </c>
      <c r="D247" s="20" t="s">
        <v>1101</v>
      </c>
      <c r="E247" s="20" t="s">
        <v>149</v>
      </c>
      <c r="F247" s="6">
        <f t="shared" si="43"/>
        <v>3258</v>
      </c>
    </row>
    <row r="248" spans="1:6" ht="38.25" customHeight="1">
      <c r="A248" s="25" t="s">
        <v>150</v>
      </c>
      <c r="B248" s="20" t="s">
        <v>167</v>
      </c>
      <c r="C248" s="20" t="s">
        <v>316</v>
      </c>
      <c r="D248" s="20" t="s">
        <v>1101</v>
      </c>
      <c r="E248" s="20" t="s">
        <v>151</v>
      </c>
      <c r="F248" s="59">
        <f>'Пр.6 ведом.20'!G810</f>
        <v>3258</v>
      </c>
    </row>
    <row r="249" spans="1:6" ht="15.75">
      <c r="A249" s="23" t="s">
        <v>525</v>
      </c>
      <c r="B249" s="24" t="s">
        <v>167</v>
      </c>
      <c r="C249" s="24" t="s">
        <v>236</v>
      </c>
      <c r="D249" s="20"/>
      <c r="E249" s="24"/>
      <c r="F249" s="4">
        <f aca="true" t="shared" si="44" ref="F249">F250</f>
        <v>4562.3</v>
      </c>
    </row>
    <row r="250" spans="1:6" ht="47.25">
      <c r="A250" s="35" t="s">
        <v>1190</v>
      </c>
      <c r="B250" s="24" t="s">
        <v>167</v>
      </c>
      <c r="C250" s="24" t="s">
        <v>236</v>
      </c>
      <c r="D250" s="24" t="s">
        <v>527</v>
      </c>
      <c r="E250" s="24"/>
      <c r="F250" s="62">
        <f>F251+F255</f>
        <v>4562.3</v>
      </c>
    </row>
    <row r="251" spans="1:6" ht="31.5" hidden="1">
      <c r="A251" s="35" t="s">
        <v>1159</v>
      </c>
      <c r="B251" s="24" t="s">
        <v>167</v>
      </c>
      <c r="C251" s="24" t="s">
        <v>236</v>
      </c>
      <c r="D251" s="7" t="s">
        <v>1102</v>
      </c>
      <c r="E251" s="24"/>
      <c r="F251" s="62">
        <f>F252</f>
        <v>0</v>
      </c>
    </row>
    <row r="252" spans="1:6" ht="15.75" hidden="1">
      <c r="A252" s="30" t="s">
        <v>1161</v>
      </c>
      <c r="B252" s="20" t="s">
        <v>167</v>
      </c>
      <c r="C252" s="20" t="s">
        <v>236</v>
      </c>
      <c r="D252" s="41" t="s">
        <v>1160</v>
      </c>
      <c r="E252" s="20"/>
      <c r="F252" s="10">
        <f>F253</f>
        <v>0</v>
      </c>
    </row>
    <row r="253" spans="1:6" ht="31.5" hidden="1">
      <c r="A253" s="25" t="s">
        <v>148</v>
      </c>
      <c r="B253" s="20" t="s">
        <v>167</v>
      </c>
      <c r="C253" s="20" t="s">
        <v>236</v>
      </c>
      <c r="D253" s="41" t="s">
        <v>1160</v>
      </c>
      <c r="E253" s="20" t="s">
        <v>149</v>
      </c>
      <c r="F253" s="59">
        <f>F254</f>
        <v>0</v>
      </c>
    </row>
    <row r="254" spans="1:6" ht="31.5" hidden="1">
      <c r="A254" s="25" t="s">
        <v>150</v>
      </c>
      <c r="B254" s="20" t="s">
        <v>167</v>
      </c>
      <c r="C254" s="20" t="s">
        <v>236</v>
      </c>
      <c r="D254" s="41" t="s">
        <v>1160</v>
      </c>
      <c r="E254" s="20" t="s">
        <v>151</v>
      </c>
      <c r="F254" s="59">
        <f>'Пр.6 ведом.20'!G816</f>
        <v>0</v>
      </c>
    </row>
    <row r="255" spans="1:6" ht="31.5">
      <c r="A255" s="35" t="s">
        <v>1254</v>
      </c>
      <c r="B255" s="24" t="s">
        <v>167</v>
      </c>
      <c r="C255" s="24" t="s">
        <v>236</v>
      </c>
      <c r="D255" s="24" t="s">
        <v>1103</v>
      </c>
      <c r="E255" s="24"/>
      <c r="F255" s="61">
        <f>F256</f>
        <v>4562.3</v>
      </c>
    </row>
    <row r="256" spans="1:6" s="252" customFormat="1" ht="15.75">
      <c r="A256" s="30" t="s">
        <v>528</v>
      </c>
      <c r="B256" s="20" t="s">
        <v>167</v>
      </c>
      <c r="C256" s="20" t="s">
        <v>236</v>
      </c>
      <c r="D256" s="41" t="s">
        <v>1162</v>
      </c>
      <c r="E256" s="20"/>
      <c r="F256" s="59">
        <f>F257+F259</f>
        <v>4562.3</v>
      </c>
    </row>
    <row r="257" spans="1:6" s="252" customFormat="1" ht="31.5">
      <c r="A257" s="25" t="s">
        <v>148</v>
      </c>
      <c r="B257" s="20" t="s">
        <v>167</v>
      </c>
      <c r="C257" s="20" t="s">
        <v>236</v>
      </c>
      <c r="D257" s="41" t="s">
        <v>1162</v>
      </c>
      <c r="E257" s="20" t="s">
        <v>149</v>
      </c>
      <c r="F257" s="59">
        <f>F258</f>
        <v>4562.3</v>
      </c>
    </row>
    <row r="258" spans="1:6" s="252" customFormat="1" ht="35.25" customHeight="1">
      <c r="A258" s="25" t="s">
        <v>150</v>
      </c>
      <c r="B258" s="20" t="s">
        <v>167</v>
      </c>
      <c r="C258" s="20" t="s">
        <v>236</v>
      </c>
      <c r="D258" s="41" t="s">
        <v>1162</v>
      </c>
      <c r="E258" s="20" t="s">
        <v>151</v>
      </c>
      <c r="F258" s="59">
        <f>'Пр.6 ведом.20'!G820</f>
        <v>4562.3</v>
      </c>
    </row>
    <row r="259" spans="1:6" s="252" customFormat="1" ht="15.75">
      <c r="A259" s="25" t="s">
        <v>152</v>
      </c>
      <c r="B259" s="20" t="s">
        <v>167</v>
      </c>
      <c r="C259" s="20" t="s">
        <v>236</v>
      </c>
      <c r="D259" s="41" t="s">
        <v>1162</v>
      </c>
      <c r="E259" s="20" t="s">
        <v>162</v>
      </c>
      <c r="F259" s="59">
        <f>F260</f>
        <v>0</v>
      </c>
    </row>
    <row r="260" spans="1:6" s="252" customFormat="1" ht="15.75">
      <c r="A260" s="25" t="s">
        <v>585</v>
      </c>
      <c r="B260" s="20" t="s">
        <v>167</v>
      </c>
      <c r="C260" s="20" t="s">
        <v>236</v>
      </c>
      <c r="D260" s="41" t="s">
        <v>1162</v>
      </c>
      <c r="E260" s="20" t="s">
        <v>155</v>
      </c>
      <c r="F260" s="59">
        <f>'Пр.6 ведом.20'!G822</f>
        <v>0</v>
      </c>
    </row>
    <row r="261" spans="1:6" ht="22.5" customHeight="1">
      <c r="A261" s="23" t="s">
        <v>254</v>
      </c>
      <c r="B261" s="24" t="s">
        <v>167</v>
      </c>
      <c r="C261" s="24" t="s">
        <v>255</v>
      </c>
      <c r="D261" s="24"/>
      <c r="E261" s="24"/>
      <c r="F261" s="62">
        <f>F262+F269+F296</f>
        <v>774.9999999999999</v>
      </c>
    </row>
    <row r="262" spans="1:6" ht="31.5">
      <c r="A262" s="23" t="s">
        <v>995</v>
      </c>
      <c r="B262" s="24" t="s">
        <v>167</v>
      </c>
      <c r="C262" s="24" t="s">
        <v>255</v>
      </c>
      <c r="D262" s="24" t="s">
        <v>909</v>
      </c>
      <c r="E262" s="24"/>
      <c r="F262" s="62">
        <f>F263</f>
        <v>604.9999999999999</v>
      </c>
    </row>
    <row r="263" spans="1:6" ht="31.5">
      <c r="A263" s="23" t="s">
        <v>937</v>
      </c>
      <c r="B263" s="24" t="s">
        <v>167</v>
      </c>
      <c r="C263" s="24" t="s">
        <v>255</v>
      </c>
      <c r="D263" s="24" t="s">
        <v>914</v>
      </c>
      <c r="E263" s="24"/>
      <c r="F263" s="62">
        <f>F264</f>
        <v>604.9999999999999</v>
      </c>
    </row>
    <row r="264" spans="1:6" ht="63">
      <c r="A264" s="32" t="s">
        <v>258</v>
      </c>
      <c r="B264" s="20" t="s">
        <v>167</v>
      </c>
      <c r="C264" s="20" t="s">
        <v>255</v>
      </c>
      <c r="D264" s="20" t="s">
        <v>1004</v>
      </c>
      <c r="E264" s="20"/>
      <c r="F264" s="10">
        <f>F265+F267</f>
        <v>604.9999999999999</v>
      </c>
    </row>
    <row r="265" spans="1:6" ht="78.75">
      <c r="A265" s="25" t="s">
        <v>144</v>
      </c>
      <c r="B265" s="20" t="s">
        <v>167</v>
      </c>
      <c r="C265" s="20" t="s">
        <v>255</v>
      </c>
      <c r="D265" s="20" t="s">
        <v>1004</v>
      </c>
      <c r="E265" s="20" t="s">
        <v>145</v>
      </c>
      <c r="F265" s="10">
        <f>F266</f>
        <v>393.0599999999999</v>
      </c>
    </row>
    <row r="266" spans="1:6" ht="32.25" customHeight="1">
      <c r="A266" s="25" t="s">
        <v>146</v>
      </c>
      <c r="B266" s="20" t="s">
        <v>167</v>
      </c>
      <c r="C266" s="20" t="s">
        <v>255</v>
      </c>
      <c r="D266" s="20" t="s">
        <v>1004</v>
      </c>
      <c r="E266" s="20" t="s">
        <v>147</v>
      </c>
      <c r="F266" s="10">
        <f>'Пр.6 ведом.20'!G166</f>
        <v>393.0599999999999</v>
      </c>
    </row>
    <row r="267" spans="1:6" ht="31.5">
      <c r="A267" s="25" t="s">
        <v>148</v>
      </c>
      <c r="B267" s="20" t="s">
        <v>167</v>
      </c>
      <c r="C267" s="20" t="s">
        <v>255</v>
      </c>
      <c r="D267" s="20" t="s">
        <v>1004</v>
      </c>
      <c r="E267" s="20" t="s">
        <v>149</v>
      </c>
      <c r="F267" s="10">
        <f>F268</f>
        <v>211.94000000000003</v>
      </c>
    </row>
    <row r="268" spans="1:6" ht="31.5">
      <c r="A268" s="25" t="s">
        <v>150</v>
      </c>
      <c r="B268" s="20" t="s">
        <v>167</v>
      </c>
      <c r="C268" s="20" t="s">
        <v>255</v>
      </c>
      <c r="D268" s="20" t="s">
        <v>1004</v>
      </c>
      <c r="E268" s="20" t="s">
        <v>151</v>
      </c>
      <c r="F268" s="10">
        <f>'Пр.6 ведом.20'!G168</f>
        <v>211.94000000000003</v>
      </c>
    </row>
    <row r="269" spans="1:6" s="252" customFormat="1" ht="47.25">
      <c r="A269" s="23" t="s">
        <v>360</v>
      </c>
      <c r="B269" s="24" t="s">
        <v>167</v>
      </c>
      <c r="C269" s="24" t="s">
        <v>255</v>
      </c>
      <c r="D269" s="24" t="s">
        <v>361</v>
      </c>
      <c r="E269" s="324"/>
      <c r="F269" s="62">
        <f>F270</f>
        <v>70</v>
      </c>
    </row>
    <row r="270" spans="1:6" s="252" customFormat="1" ht="63">
      <c r="A270" s="23" t="s">
        <v>384</v>
      </c>
      <c r="B270" s="24" t="s">
        <v>167</v>
      </c>
      <c r="C270" s="24" t="s">
        <v>255</v>
      </c>
      <c r="D270" s="24" t="s">
        <v>385</v>
      </c>
      <c r="E270" s="24"/>
      <c r="F270" s="62">
        <f>F271+F278+F285+F292</f>
        <v>70</v>
      </c>
    </row>
    <row r="271" spans="1:6" s="252" customFormat="1" ht="47.25" hidden="1">
      <c r="A271" s="315" t="s">
        <v>1228</v>
      </c>
      <c r="B271" s="24" t="s">
        <v>167</v>
      </c>
      <c r="C271" s="24" t="s">
        <v>255</v>
      </c>
      <c r="D271" s="24" t="s">
        <v>942</v>
      </c>
      <c r="E271" s="24"/>
      <c r="F271" s="62">
        <f>F272+F275</f>
        <v>0</v>
      </c>
    </row>
    <row r="272" spans="1:6" s="252" customFormat="1" ht="47.25" hidden="1">
      <c r="A272" s="25" t="s">
        <v>392</v>
      </c>
      <c r="B272" s="20" t="s">
        <v>167</v>
      </c>
      <c r="C272" s="20" t="s">
        <v>255</v>
      </c>
      <c r="D272" s="20" t="s">
        <v>1229</v>
      </c>
      <c r="E272" s="20"/>
      <c r="F272" s="10">
        <f>F273</f>
        <v>0</v>
      </c>
    </row>
    <row r="273" spans="1:6" s="252" customFormat="1" ht="21" customHeight="1" hidden="1">
      <c r="A273" s="25" t="s">
        <v>265</v>
      </c>
      <c r="B273" s="20" t="s">
        <v>167</v>
      </c>
      <c r="C273" s="20" t="s">
        <v>255</v>
      </c>
      <c r="D273" s="20" t="s">
        <v>1229</v>
      </c>
      <c r="E273" s="20" t="s">
        <v>266</v>
      </c>
      <c r="F273" s="10">
        <f>F274</f>
        <v>0</v>
      </c>
    </row>
    <row r="274" spans="1:6" s="252" customFormat="1" ht="31.5" hidden="1">
      <c r="A274" s="25" t="s">
        <v>267</v>
      </c>
      <c r="B274" s="20" t="s">
        <v>167</v>
      </c>
      <c r="C274" s="20" t="s">
        <v>255</v>
      </c>
      <c r="D274" s="20" t="s">
        <v>1229</v>
      </c>
      <c r="E274" s="20" t="s">
        <v>268</v>
      </c>
      <c r="F274" s="10">
        <f>'Пр.6 ведом.20'!G239</f>
        <v>0</v>
      </c>
    </row>
    <row r="275" spans="1:6" s="252" customFormat="1" ht="47.25" hidden="1">
      <c r="A275" s="25" t="s">
        <v>392</v>
      </c>
      <c r="B275" s="20" t="s">
        <v>167</v>
      </c>
      <c r="C275" s="20" t="s">
        <v>255</v>
      </c>
      <c r="D275" s="20" t="s">
        <v>1230</v>
      </c>
      <c r="E275" s="20"/>
      <c r="F275" s="10">
        <f>F276</f>
        <v>0</v>
      </c>
    </row>
    <row r="276" spans="1:6" s="252" customFormat="1" ht="18.75" customHeight="1" hidden="1">
      <c r="A276" s="25" t="s">
        <v>265</v>
      </c>
      <c r="B276" s="20" t="s">
        <v>167</v>
      </c>
      <c r="C276" s="20" t="s">
        <v>255</v>
      </c>
      <c r="D276" s="20" t="s">
        <v>1230</v>
      </c>
      <c r="E276" s="20" t="s">
        <v>266</v>
      </c>
      <c r="F276" s="10">
        <f>F277</f>
        <v>0</v>
      </c>
    </row>
    <row r="277" spans="1:6" s="252" customFormat="1" ht="31.5" hidden="1">
      <c r="A277" s="25" t="s">
        <v>267</v>
      </c>
      <c r="B277" s="20" t="s">
        <v>167</v>
      </c>
      <c r="C277" s="20" t="s">
        <v>255</v>
      </c>
      <c r="D277" s="20" t="s">
        <v>1230</v>
      </c>
      <c r="E277" s="20" t="s">
        <v>268</v>
      </c>
      <c r="F277" s="10">
        <f>'Пр.6 ведом.20'!G242</f>
        <v>0</v>
      </c>
    </row>
    <row r="278" spans="1:6" s="252" customFormat="1" ht="31.5">
      <c r="A278" s="23" t="s">
        <v>1226</v>
      </c>
      <c r="B278" s="24" t="s">
        <v>167</v>
      </c>
      <c r="C278" s="24" t="s">
        <v>255</v>
      </c>
      <c r="D278" s="24" t="s">
        <v>943</v>
      </c>
      <c r="E278" s="24"/>
      <c r="F278" s="62">
        <f>F279+F282</f>
        <v>60</v>
      </c>
    </row>
    <row r="279" spans="1:6" s="252" customFormat="1" ht="31.5">
      <c r="A279" s="25" t="s">
        <v>1227</v>
      </c>
      <c r="B279" s="20" t="s">
        <v>167</v>
      </c>
      <c r="C279" s="20" t="s">
        <v>255</v>
      </c>
      <c r="D279" s="20" t="s">
        <v>1231</v>
      </c>
      <c r="E279" s="20"/>
      <c r="F279" s="10">
        <f>F280</f>
        <v>60</v>
      </c>
    </row>
    <row r="280" spans="1:6" s="252" customFormat="1" ht="15.75">
      <c r="A280" s="25" t="s">
        <v>152</v>
      </c>
      <c r="B280" s="20" t="s">
        <v>167</v>
      </c>
      <c r="C280" s="20" t="s">
        <v>255</v>
      </c>
      <c r="D280" s="20" t="s">
        <v>1231</v>
      </c>
      <c r="E280" s="20" t="s">
        <v>162</v>
      </c>
      <c r="F280" s="10">
        <f>F281</f>
        <v>60</v>
      </c>
    </row>
    <row r="281" spans="1:6" s="252" customFormat="1" ht="47.25">
      <c r="A281" s="25" t="s">
        <v>201</v>
      </c>
      <c r="B281" s="20" t="s">
        <v>167</v>
      </c>
      <c r="C281" s="20" t="s">
        <v>255</v>
      </c>
      <c r="D281" s="20" t="s">
        <v>1231</v>
      </c>
      <c r="E281" s="20" t="s">
        <v>177</v>
      </c>
      <c r="F281" s="10">
        <f>'Пр.6 ведом.20'!G246</f>
        <v>60</v>
      </c>
    </row>
    <row r="282" spans="1:6" s="252" customFormat="1" ht="110.25" hidden="1">
      <c r="A282" s="25" t="s">
        <v>390</v>
      </c>
      <c r="B282" s="20" t="s">
        <v>167</v>
      </c>
      <c r="C282" s="20" t="s">
        <v>255</v>
      </c>
      <c r="D282" s="20" t="s">
        <v>1232</v>
      </c>
      <c r="E282" s="20"/>
      <c r="F282" s="10">
        <f>F283</f>
        <v>0</v>
      </c>
    </row>
    <row r="283" spans="1:6" s="252" customFormat="1" ht="15.75" hidden="1">
      <c r="A283" s="25" t="s">
        <v>152</v>
      </c>
      <c r="B283" s="20" t="s">
        <v>167</v>
      </c>
      <c r="C283" s="20" t="s">
        <v>255</v>
      </c>
      <c r="D283" s="20" t="s">
        <v>1232</v>
      </c>
      <c r="E283" s="20" t="s">
        <v>162</v>
      </c>
      <c r="F283" s="10">
        <f>F284</f>
        <v>0</v>
      </c>
    </row>
    <row r="284" spans="1:6" s="252" customFormat="1" ht="47.25" hidden="1">
      <c r="A284" s="25" t="s">
        <v>201</v>
      </c>
      <c r="B284" s="20" t="s">
        <v>167</v>
      </c>
      <c r="C284" s="20" t="s">
        <v>255</v>
      </c>
      <c r="D284" s="20" t="s">
        <v>1232</v>
      </c>
      <c r="E284" s="20" t="s">
        <v>177</v>
      </c>
      <c r="F284" s="10">
        <f>'Пр.6 ведом.20'!G249</f>
        <v>0</v>
      </c>
    </row>
    <row r="285" spans="1:6" s="252" customFormat="1" ht="31.5" hidden="1">
      <c r="A285" s="23" t="s">
        <v>1153</v>
      </c>
      <c r="B285" s="24" t="s">
        <v>167</v>
      </c>
      <c r="C285" s="24" t="s">
        <v>255</v>
      </c>
      <c r="D285" s="24" t="s">
        <v>944</v>
      </c>
      <c r="E285" s="24"/>
      <c r="F285" s="62">
        <f>F286+F289</f>
        <v>0</v>
      </c>
    </row>
    <row r="286" spans="1:6" s="252" customFormat="1" ht="31.5" hidden="1">
      <c r="A286" s="384" t="s">
        <v>1235</v>
      </c>
      <c r="B286" s="20" t="s">
        <v>167</v>
      </c>
      <c r="C286" s="20" t="s">
        <v>255</v>
      </c>
      <c r="D286" s="20" t="s">
        <v>1233</v>
      </c>
      <c r="E286" s="20"/>
      <c r="F286" s="10">
        <f>F287</f>
        <v>0</v>
      </c>
    </row>
    <row r="287" spans="1:6" s="252" customFormat="1" ht="31.5" hidden="1">
      <c r="A287" s="25" t="s">
        <v>148</v>
      </c>
      <c r="B287" s="20" t="s">
        <v>167</v>
      </c>
      <c r="C287" s="20" t="s">
        <v>255</v>
      </c>
      <c r="D287" s="20" t="s">
        <v>1233</v>
      </c>
      <c r="E287" s="20" t="s">
        <v>149</v>
      </c>
      <c r="F287" s="10">
        <f>F288</f>
        <v>0</v>
      </c>
    </row>
    <row r="288" spans="1:6" s="252" customFormat="1" ht="31.5" hidden="1">
      <c r="A288" s="25" t="s">
        <v>150</v>
      </c>
      <c r="B288" s="20" t="s">
        <v>167</v>
      </c>
      <c r="C288" s="20" t="s">
        <v>255</v>
      </c>
      <c r="D288" s="20" t="s">
        <v>1233</v>
      </c>
      <c r="E288" s="20" t="s">
        <v>151</v>
      </c>
      <c r="F288" s="10">
        <f>'Пр.6 ведом.20'!G253</f>
        <v>0</v>
      </c>
    </row>
    <row r="289" spans="1:6" s="252" customFormat="1" ht="31.5" hidden="1">
      <c r="A289" s="25" t="s">
        <v>394</v>
      </c>
      <c r="B289" s="20" t="s">
        <v>167</v>
      </c>
      <c r="C289" s="20" t="s">
        <v>255</v>
      </c>
      <c r="D289" s="20" t="s">
        <v>1234</v>
      </c>
      <c r="E289" s="20"/>
      <c r="F289" s="10">
        <f>F290</f>
        <v>0</v>
      </c>
    </row>
    <row r="290" spans="1:6" s="252" customFormat="1" ht="31.5" hidden="1">
      <c r="A290" s="25" t="s">
        <v>148</v>
      </c>
      <c r="B290" s="20" t="s">
        <v>167</v>
      </c>
      <c r="C290" s="20" t="s">
        <v>255</v>
      </c>
      <c r="D290" s="20" t="s">
        <v>1234</v>
      </c>
      <c r="E290" s="20" t="s">
        <v>149</v>
      </c>
      <c r="F290" s="10">
        <f>F291</f>
        <v>0</v>
      </c>
    </row>
    <row r="291" spans="1:6" s="252" customFormat="1" ht="31.5" hidden="1">
      <c r="A291" s="25" t="s">
        <v>150</v>
      </c>
      <c r="B291" s="20" t="s">
        <v>167</v>
      </c>
      <c r="C291" s="20" t="s">
        <v>255</v>
      </c>
      <c r="D291" s="20" t="s">
        <v>1234</v>
      </c>
      <c r="E291" s="20" t="s">
        <v>151</v>
      </c>
      <c r="F291" s="10">
        <f>'Пр.6 ведом.20'!G256</f>
        <v>0</v>
      </c>
    </row>
    <row r="292" spans="1:6" s="252" customFormat="1" ht="31.5">
      <c r="A292" s="312" t="s">
        <v>1334</v>
      </c>
      <c r="B292" s="24" t="s">
        <v>167</v>
      </c>
      <c r="C292" s="24" t="s">
        <v>255</v>
      </c>
      <c r="D292" s="24" t="s">
        <v>1333</v>
      </c>
      <c r="E292" s="24"/>
      <c r="F292" s="21">
        <f>F293</f>
        <v>10</v>
      </c>
    </row>
    <row r="293" spans="1:6" s="252" customFormat="1" ht="31.5">
      <c r="A293" s="352" t="s">
        <v>1335</v>
      </c>
      <c r="B293" s="20" t="s">
        <v>167</v>
      </c>
      <c r="C293" s="20" t="s">
        <v>255</v>
      </c>
      <c r="D293" s="20" t="s">
        <v>1377</v>
      </c>
      <c r="E293" s="20"/>
      <c r="F293" s="26">
        <f>F294</f>
        <v>10</v>
      </c>
    </row>
    <row r="294" spans="1:6" s="252" customFormat="1" ht="31.5">
      <c r="A294" s="25" t="s">
        <v>148</v>
      </c>
      <c r="B294" s="20" t="s">
        <v>167</v>
      </c>
      <c r="C294" s="20" t="s">
        <v>255</v>
      </c>
      <c r="D294" s="20" t="s">
        <v>1377</v>
      </c>
      <c r="E294" s="20" t="s">
        <v>149</v>
      </c>
      <c r="F294" s="26">
        <f>F295</f>
        <v>10</v>
      </c>
    </row>
    <row r="295" spans="1:6" s="252" customFormat="1" ht="31.5">
      <c r="A295" s="25" t="s">
        <v>150</v>
      </c>
      <c r="B295" s="20" t="s">
        <v>167</v>
      </c>
      <c r="C295" s="20" t="s">
        <v>255</v>
      </c>
      <c r="D295" s="20" t="s">
        <v>1377</v>
      </c>
      <c r="E295" s="20" t="s">
        <v>151</v>
      </c>
      <c r="F295" s="26">
        <f>'Пр.6 ведом.20'!G260</f>
        <v>10</v>
      </c>
    </row>
    <row r="296" spans="1:6" ht="47.25">
      <c r="A296" s="23" t="s">
        <v>1256</v>
      </c>
      <c r="B296" s="24" t="s">
        <v>167</v>
      </c>
      <c r="C296" s="24" t="s">
        <v>255</v>
      </c>
      <c r="D296" s="24" t="s">
        <v>173</v>
      </c>
      <c r="E296" s="24"/>
      <c r="F296" s="62">
        <f>F297</f>
        <v>100</v>
      </c>
    </row>
    <row r="297" spans="1:6" ht="47.25">
      <c r="A297" s="23" t="s">
        <v>1260</v>
      </c>
      <c r="B297" s="24" t="s">
        <v>167</v>
      </c>
      <c r="C297" s="24" t="s">
        <v>255</v>
      </c>
      <c r="D297" s="24" t="s">
        <v>1257</v>
      </c>
      <c r="E297" s="24"/>
      <c r="F297" s="62">
        <f>F298+F301</f>
        <v>100</v>
      </c>
    </row>
    <row r="298" spans="1:6" ht="31.5">
      <c r="A298" s="25" t="s">
        <v>1261</v>
      </c>
      <c r="B298" s="20" t="s">
        <v>167</v>
      </c>
      <c r="C298" s="20" t="s">
        <v>255</v>
      </c>
      <c r="D298" s="20" t="s">
        <v>1258</v>
      </c>
      <c r="E298" s="20"/>
      <c r="F298" s="10">
        <f>F299</f>
        <v>100</v>
      </c>
    </row>
    <row r="299" spans="1:6" ht="15.75">
      <c r="A299" s="25" t="s">
        <v>152</v>
      </c>
      <c r="B299" s="20" t="s">
        <v>167</v>
      </c>
      <c r="C299" s="20" t="s">
        <v>255</v>
      </c>
      <c r="D299" s="20" t="s">
        <v>1258</v>
      </c>
      <c r="E299" s="20" t="s">
        <v>162</v>
      </c>
      <c r="F299" s="10">
        <f>F300</f>
        <v>100</v>
      </c>
    </row>
    <row r="300" spans="1:6" ht="47.25">
      <c r="A300" s="25" t="s">
        <v>201</v>
      </c>
      <c r="B300" s="20" t="s">
        <v>167</v>
      </c>
      <c r="C300" s="20" t="s">
        <v>255</v>
      </c>
      <c r="D300" s="20" t="s">
        <v>1258</v>
      </c>
      <c r="E300" s="20" t="s">
        <v>177</v>
      </c>
      <c r="F300" s="10">
        <f>'Пр.6 ведом.20'!G173</f>
        <v>100</v>
      </c>
    </row>
    <row r="301" spans="1:6" ht="31.5" hidden="1">
      <c r="A301" s="25" t="s">
        <v>256</v>
      </c>
      <c r="B301" s="20" t="s">
        <v>167</v>
      </c>
      <c r="C301" s="20" t="s">
        <v>255</v>
      </c>
      <c r="D301" s="20" t="s">
        <v>1259</v>
      </c>
      <c r="E301" s="24"/>
      <c r="F301" s="10">
        <f>F302</f>
        <v>0</v>
      </c>
    </row>
    <row r="302" spans="1:6" ht="15.75" hidden="1">
      <c r="A302" s="25" t="s">
        <v>152</v>
      </c>
      <c r="B302" s="20" t="s">
        <v>167</v>
      </c>
      <c r="C302" s="20" t="s">
        <v>255</v>
      </c>
      <c r="D302" s="20" t="s">
        <v>1259</v>
      </c>
      <c r="E302" s="20" t="s">
        <v>162</v>
      </c>
      <c r="F302" s="10">
        <f>F303</f>
        <v>0</v>
      </c>
    </row>
    <row r="303" spans="1:6" ht="47.25" hidden="1">
      <c r="A303" s="25" t="s">
        <v>201</v>
      </c>
      <c r="B303" s="20" t="s">
        <v>167</v>
      </c>
      <c r="C303" s="20" t="s">
        <v>255</v>
      </c>
      <c r="D303" s="20" t="s">
        <v>1259</v>
      </c>
      <c r="E303" s="20" t="s">
        <v>177</v>
      </c>
      <c r="F303" s="10">
        <f>'Пр.6 ведом.20'!G176</f>
        <v>0</v>
      </c>
    </row>
    <row r="304" spans="1:8" ht="15.75">
      <c r="A304" s="23" t="s">
        <v>407</v>
      </c>
      <c r="B304" s="24" t="s">
        <v>251</v>
      </c>
      <c r="C304" s="24"/>
      <c r="D304" s="24"/>
      <c r="E304" s="24"/>
      <c r="F304" s="4">
        <f>F305++F319+F378+F427</f>
        <v>39794.296</v>
      </c>
      <c r="H304" s="22"/>
    </row>
    <row r="305" spans="1:12" ht="15.75">
      <c r="A305" s="23" t="s">
        <v>408</v>
      </c>
      <c r="B305" s="24" t="s">
        <v>251</v>
      </c>
      <c r="C305" s="24" t="s">
        <v>135</v>
      </c>
      <c r="D305" s="24"/>
      <c r="E305" s="24"/>
      <c r="F305" s="4">
        <f aca="true" t="shared" si="45" ref="F305:F306">F306</f>
        <v>6341</v>
      </c>
      <c r="G305" s="22"/>
      <c r="H305" s="22"/>
      <c r="I305" s="22"/>
      <c r="L305" s="22"/>
    </row>
    <row r="306" spans="1:6" ht="15.75">
      <c r="A306" s="23" t="s">
        <v>158</v>
      </c>
      <c r="B306" s="24" t="s">
        <v>251</v>
      </c>
      <c r="C306" s="24" t="s">
        <v>135</v>
      </c>
      <c r="D306" s="24" t="s">
        <v>917</v>
      </c>
      <c r="E306" s="24"/>
      <c r="F306" s="4">
        <f t="shared" si="45"/>
        <v>6341</v>
      </c>
    </row>
    <row r="307" spans="1:6" ht="31.5">
      <c r="A307" s="23" t="s">
        <v>921</v>
      </c>
      <c r="B307" s="24" t="s">
        <v>251</v>
      </c>
      <c r="C307" s="24" t="s">
        <v>135</v>
      </c>
      <c r="D307" s="24" t="s">
        <v>916</v>
      </c>
      <c r="E307" s="24"/>
      <c r="F307" s="4">
        <f>F308+F313+F316</f>
        <v>6341</v>
      </c>
    </row>
    <row r="308" spans="1:6" ht="15.75" hidden="1">
      <c r="A308" s="25" t="s">
        <v>532</v>
      </c>
      <c r="B308" s="20" t="s">
        <v>799</v>
      </c>
      <c r="C308" s="20" t="s">
        <v>135</v>
      </c>
      <c r="D308" s="20" t="s">
        <v>1104</v>
      </c>
      <c r="E308" s="24"/>
      <c r="F308" s="6">
        <f aca="true" t="shared" si="46" ref="F308">F309+F311</f>
        <v>0</v>
      </c>
    </row>
    <row r="309" spans="1:6" ht="31.5" hidden="1">
      <c r="A309" s="25" t="s">
        <v>148</v>
      </c>
      <c r="B309" s="20" t="s">
        <v>251</v>
      </c>
      <c r="C309" s="20" t="s">
        <v>135</v>
      </c>
      <c r="D309" s="20" t="s">
        <v>1104</v>
      </c>
      <c r="E309" s="20" t="s">
        <v>149</v>
      </c>
      <c r="F309" s="6">
        <f aca="true" t="shared" si="47" ref="F309">F310</f>
        <v>0</v>
      </c>
    </row>
    <row r="310" spans="1:6" ht="31.5" hidden="1">
      <c r="A310" s="25" t="s">
        <v>150</v>
      </c>
      <c r="B310" s="20" t="s">
        <v>251</v>
      </c>
      <c r="C310" s="20" t="s">
        <v>135</v>
      </c>
      <c r="D310" s="20" t="s">
        <v>1104</v>
      </c>
      <c r="E310" s="20" t="s">
        <v>151</v>
      </c>
      <c r="F310" s="6">
        <f>'Пр.6 ведом.20'!G829</f>
        <v>0</v>
      </c>
    </row>
    <row r="311" spans="1:6" ht="15.75" hidden="1">
      <c r="A311" s="25" t="s">
        <v>152</v>
      </c>
      <c r="B311" s="20" t="s">
        <v>251</v>
      </c>
      <c r="C311" s="20" t="s">
        <v>135</v>
      </c>
      <c r="D311" s="20" t="s">
        <v>1104</v>
      </c>
      <c r="E311" s="20" t="s">
        <v>162</v>
      </c>
      <c r="F311" s="6">
        <f aca="true" t="shared" si="48" ref="F311">F312</f>
        <v>0</v>
      </c>
    </row>
    <row r="312" spans="1:6" ht="47.25" hidden="1">
      <c r="A312" s="25" t="s">
        <v>201</v>
      </c>
      <c r="B312" s="20" t="s">
        <v>251</v>
      </c>
      <c r="C312" s="20" t="s">
        <v>135</v>
      </c>
      <c r="D312" s="20" t="s">
        <v>1104</v>
      </c>
      <c r="E312" s="20" t="s">
        <v>177</v>
      </c>
      <c r="F312" s="6">
        <f>'Пр.6 ведом.20'!G831</f>
        <v>0</v>
      </c>
    </row>
    <row r="313" spans="1:6" ht="31.5">
      <c r="A313" s="30" t="s">
        <v>415</v>
      </c>
      <c r="B313" s="20" t="s">
        <v>251</v>
      </c>
      <c r="C313" s="20" t="s">
        <v>135</v>
      </c>
      <c r="D313" s="20" t="s">
        <v>1105</v>
      </c>
      <c r="E313" s="24"/>
      <c r="F313" s="6">
        <f aca="true" t="shared" si="49" ref="F313:F314">F314</f>
        <v>4290.4</v>
      </c>
    </row>
    <row r="314" spans="1:6" ht="31.5">
      <c r="A314" s="25" t="s">
        <v>148</v>
      </c>
      <c r="B314" s="20" t="s">
        <v>251</v>
      </c>
      <c r="C314" s="20" t="s">
        <v>135</v>
      </c>
      <c r="D314" s="20" t="s">
        <v>1105</v>
      </c>
      <c r="E314" s="20" t="s">
        <v>149</v>
      </c>
      <c r="F314" s="6">
        <f t="shared" si="49"/>
        <v>4290.4</v>
      </c>
    </row>
    <row r="315" spans="1:6" ht="31.5">
      <c r="A315" s="25" t="s">
        <v>150</v>
      </c>
      <c r="B315" s="20" t="s">
        <v>251</v>
      </c>
      <c r="C315" s="20" t="s">
        <v>135</v>
      </c>
      <c r="D315" s="20" t="s">
        <v>1105</v>
      </c>
      <c r="E315" s="20" t="s">
        <v>151</v>
      </c>
      <c r="F315" s="6">
        <f>'Пр.6 ведом.20'!G482+'Пр.6 ведом.20'!G834</f>
        <v>4290.4</v>
      </c>
    </row>
    <row r="316" spans="1:6" ht="31.5">
      <c r="A316" s="30" t="s">
        <v>1012</v>
      </c>
      <c r="B316" s="20" t="s">
        <v>251</v>
      </c>
      <c r="C316" s="20" t="s">
        <v>135</v>
      </c>
      <c r="D316" s="20" t="s">
        <v>1106</v>
      </c>
      <c r="E316" s="24"/>
      <c r="F316" s="6">
        <f>F317</f>
        <v>2050.6</v>
      </c>
    </row>
    <row r="317" spans="1:6" ht="31.5">
      <c r="A317" s="25" t="s">
        <v>148</v>
      </c>
      <c r="B317" s="20" t="s">
        <v>251</v>
      </c>
      <c r="C317" s="20" t="s">
        <v>135</v>
      </c>
      <c r="D317" s="20" t="s">
        <v>1106</v>
      </c>
      <c r="E317" s="20" t="s">
        <v>149</v>
      </c>
      <c r="F317" s="6">
        <f>F318</f>
        <v>2050.6</v>
      </c>
    </row>
    <row r="318" spans="1:6" ht="31.5">
      <c r="A318" s="25" t="s">
        <v>150</v>
      </c>
      <c r="B318" s="20" t="s">
        <v>251</v>
      </c>
      <c r="C318" s="20" t="s">
        <v>135</v>
      </c>
      <c r="D318" s="20" t="s">
        <v>1106</v>
      </c>
      <c r="E318" s="20" t="s">
        <v>151</v>
      </c>
      <c r="F318" s="6">
        <f>'Пр.6 ведом.20'!G837+'Пр.6 ведом.20'!G485</f>
        <v>2050.6</v>
      </c>
    </row>
    <row r="319" spans="1:8" ht="15.75">
      <c r="A319" s="23" t="s">
        <v>534</v>
      </c>
      <c r="B319" s="24" t="s">
        <v>251</v>
      </c>
      <c r="C319" s="24" t="s">
        <v>230</v>
      </c>
      <c r="D319" s="24"/>
      <c r="E319" s="24"/>
      <c r="F319" s="4">
        <f aca="true" t="shared" si="50" ref="F319">F349+F320</f>
        <v>5000</v>
      </c>
      <c r="H319" s="22"/>
    </row>
    <row r="320" spans="1:6" ht="15.75">
      <c r="A320" s="23" t="s">
        <v>158</v>
      </c>
      <c r="B320" s="24" t="s">
        <v>251</v>
      </c>
      <c r="C320" s="24" t="s">
        <v>230</v>
      </c>
      <c r="D320" s="24" t="s">
        <v>917</v>
      </c>
      <c r="E320" s="24"/>
      <c r="F320" s="4">
        <f>F321+F332</f>
        <v>5000</v>
      </c>
    </row>
    <row r="321" spans="1:6" ht="33" customHeight="1">
      <c r="A321" s="23" t="s">
        <v>921</v>
      </c>
      <c r="B321" s="24" t="s">
        <v>251</v>
      </c>
      <c r="C321" s="24" t="s">
        <v>230</v>
      </c>
      <c r="D321" s="24" t="s">
        <v>916</v>
      </c>
      <c r="E321" s="24"/>
      <c r="F321" s="4">
        <f>F322+F327</f>
        <v>5000</v>
      </c>
    </row>
    <row r="322" spans="1:6" ht="17.25" customHeight="1" hidden="1">
      <c r="A322" s="36" t="s">
        <v>554</v>
      </c>
      <c r="B322" s="20" t="s">
        <v>251</v>
      </c>
      <c r="C322" s="20" t="s">
        <v>230</v>
      </c>
      <c r="D322" s="20" t="s">
        <v>1123</v>
      </c>
      <c r="E322" s="20"/>
      <c r="F322" s="6">
        <f>F323+F325</f>
        <v>0</v>
      </c>
    </row>
    <row r="323" spans="1:6" ht="35.25" customHeight="1" hidden="1">
      <c r="A323" s="25" t="s">
        <v>148</v>
      </c>
      <c r="B323" s="20" t="s">
        <v>251</v>
      </c>
      <c r="C323" s="20" t="s">
        <v>230</v>
      </c>
      <c r="D323" s="20" t="s">
        <v>1123</v>
      </c>
      <c r="E323" s="20" t="s">
        <v>149</v>
      </c>
      <c r="F323" s="6">
        <f>F324</f>
        <v>0</v>
      </c>
    </row>
    <row r="324" spans="1:6" ht="31.5" hidden="1">
      <c r="A324" s="25" t="s">
        <v>150</v>
      </c>
      <c r="B324" s="20" t="s">
        <v>251</v>
      </c>
      <c r="C324" s="20" t="s">
        <v>230</v>
      </c>
      <c r="D324" s="20" t="s">
        <v>1123</v>
      </c>
      <c r="E324" s="20" t="s">
        <v>151</v>
      </c>
      <c r="F324" s="6">
        <f>'Пр.6 ведом.20'!G843</f>
        <v>0</v>
      </c>
    </row>
    <row r="325" spans="1:6" ht="15.75" hidden="1">
      <c r="A325" s="25" t="s">
        <v>152</v>
      </c>
      <c r="B325" s="20" t="s">
        <v>251</v>
      </c>
      <c r="C325" s="20" t="s">
        <v>230</v>
      </c>
      <c r="D325" s="20" t="s">
        <v>1123</v>
      </c>
      <c r="E325" s="20" t="s">
        <v>162</v>
      </c>
      <c r="F325" s="6">
        <f aca="true" t="shared" si="51" ref="F325">F326</f>
        <v>0</v>
      </c>
    </row>
    <row r="326" spans="1:6" ht="47.25" hidden="1">
      <c r="A326" s="25" t="s">
        <v>201</v>
      </c>
      <c r="B326" s="20" t="s">
        <v>251</v>
      </c>
      <c r="C326" s="20" t="s">
        <v>230</v>
      </c>
      <c r="D326" s="20" t="s">
        <v>1123</v>
      </c>
      <c r="E326" s="20" t="s">
        <v>177</v>
      </c>
      <c r="F326" s="6">
        <f>'Пр.6 ведом.20'!G845</f>
        <v>0</v>
      </c>
    </row>
    <row r="327" spans="1:6" ht="31.5">
      <c r="A327" s="30" t="s">
        <v>1012</v>
      </c>
      <c r="B327" s="20" t="s">
        <v>251</v>
      </c>
      <c r="C327" s="20" t="s">
        <v>230</v>
      </c>
      <c r="D327" s="20" t="s">
        <v>1106</v>
      </c>
      <c r="E327" s="20"/>
      <c r="F327" s="6">
        <f>F328+F330</f>
        <v>5000</v>
      </c>
    </row>
    <row r="328" spans="1:6" ht="31.5">
      <c r="A328" s="25" t="s">
        <v>148</v>
      </c>
      <c r="B328" s="20" t="s">
        <v>251</v>
      </c>
      <c r="C328" s="20" t="s">
        <v>230</v>
      </c>
      <c r="D328" s="20" t="s">
        <v>1106</v>
      </c>
      <c r="E328" s="20" t="s">
        <v>149</v>
      </c>
      <c r="F328" s="6">
        <f aca="true" t="shared" si="52" ref="F328">F329</f>
        <v>5000</v>
      </c>
    </row>
    <row r="329" spans="1:6" ht="31.5">
      <c r="A329" s="25" t="s">
        <v>150</v>
      </c>
      <c r="B329" s="20" t="s">
        <v>251</v>
      </c>
      <c r="C329" s="20" t="s">
        <v>230</v>
      </c>
      <c r="D329" s="20" t="s">
        <v>1106</v>
      </c>
      <c r="E329" s="20" t="s">
        <v>151</v>
      </c>
      <c r="F329" s="6">
        <f>'Пр.6 ведом.20'!G848</f>
        <v>5000</v>
      </c>
    </row>
    <row r="330" spans="1:6" ht="15.75" hidden="1">
      <c r="A330" s="25" t="s">
        <v>152</v>
      </c>
      <c r="B330" s="20" t="s">
        <v>251</v>
      </c>
      <c r="C330" s="20" t="s">
        <v>230</v>
      </c>
      <c r="D330" s="20" t="s">
        <v>1106</v>
      </c>
      <c r="E330" s="20" t="s">
        <v>162</v>
      </c>
      <c r="F330" s="6">
        <f>F331</f>
        <v>0</v>
      </c>
    </row>
    <row r="331" spans="1:6" ht="15.75" hidden="1">
      <c r="A331" s="25" t="s">
        <v>163</v>
      </c>
      <c r="B331" s="20" t="s">
        <v>251</v>
      </c>
      <c r="C331" s="20" t="s">
        <v>230</v>
      </c>
      <c r="D331" s="20" t="s">
        <v>1106</v>
      </c>
      <c r="E331" s="20" t="s">
        <v>164</v>
      </c>
      <c r="F331" s="6">
        <f>'Пр.6 ведом.20'!G850</f>
        <v>0</v>
      </c>
    </row>
    <row r="332" spans="1:6" ht="47.25" hidden="1">
      <c r="A332" s="23" t="s">
        <v>1180</v>
      </c>
      <c r="B332" s="24" t="s">
        <v>251</v>
      </c>
      <c r="C332" s="24" t="s">
        <v>230</v>
      </c>
      <c r="D332" s="24" t="s">
        <v>1124</v>
      </c>
      <c r="E332" s="24"/>
      <c r="F332" s="4">
        <f>F333+F338+F341+F346</f>
        <v>0</v>
      </c>
    </row>
    <row r="333" spans="1:6" ht="47.25" hidden="1">
      <c r="A333" s="25" t="s">
        <v>877</v>
      </c>
      <c r="B333" s="20" t="s">
        <v>251</v>
      </c>
      <c r="C333" s="20" t="s">
        <v>230</v>
      </c>
      <c r="D333" s="20" t="s">
        <v>1125</v>
      </c>
      <c r="E333" s="20"/>
      <c r="F333" s="6">
        <f>F334+F336</f>
        <v>0</v>
      </c>
    </row>
    <row r="334" spans="1:6" ht="31.5" hidden="1">
      <c r="A334" s="25" t="s">
        <v>148</v>
      </c>
      <c r="B334" s="20" t="s">
        <v>251</v>
      </c>
      <c r="C334" s="20" t="s">
        <v>230</v>
      </c>
      <c r="D334" s="20" t="s">
        <v>1125</v>
      </c>
      <c r="E334" s="20" t="s">
        <v>149</v>
      </c>
      <c r="F334" s="6">
        <f>F335</f>
        <v>0</v>
      </c>
    </row>
    <row r="335" spans="1:6" ht="31.5" hidden="1">
      <c r="A335" s="25" t="s">
        <v>150</v>
      </c>
      <c r="B335" s="20" t="s">
        <v>251</v>
      </c>
      <c r="C335" s="20" t="s">
        <v>230</v>
      </c>
      <c r="D335" s="20" t="s">
        <v>1125</v>
      </c>
      <c r="E335" s="20" t="s">
        <v>151</v>
      </c>
      <c r="F335" s="6">
        <f>'Пр.6 ведом.20'!G854</f>
        <v>0</v>
      </c>
    </row>
    <row r="336" spans="1:6" ht="15.75" hidden="1">
      <c r="A336" s="25" t="s">
        <v>152</v>
      </c>
      <c r="B336" s="20" t="s">
        <v>251</v>
      </c>
      <c r="C336" s="20" t="s">
        <v>230</v>
      </c>
      <c r="D336" s="20" t="s">
        <v>1125</v>
      </c>
      <c r="E336" s="20" t="s">
        <v>887</v>
      </c>
      <c r="F336" s="6">
        <f>F337</f>
        <v>0</v>
      </c>
    </row>
    <row r="337" spans="1:6" ht="15.75" hidden="1">
      <c r="A337" s="25" t="s">
        <v>585</v>
      </c>
      <c r="B337" s="20" t="s">
        <v>251</v>
      </c>
      <c r="C337" s="20" t="s">
        <v>230</v>
      </c>
      <c r="D337" s="20" t="s">
        <v>1125</v>
      </c>
      <c r="E337" s="20" t="s">
        <v>1263</v>
      </c>
      <c r="F337" s="6">
        <f>'Пр.6 ведом.20'!G856</f>
        <v>0</v>
      </c>
    </row>
    <row r="338" spans="1:6" ht="49.5" customHeight="1" hidden="1">
      <c r="A338" s="25" t="s">
        <v>826</v>
      </c>
      <c r="B338" s="20" t="s">
        <v>251</v>
      </c>
      <c r="C338" s="20" t="s">
        <v>230</v>
      </c>
      <c r="D338" s="20" t="s">
        <v>1126</v>
      </c>
      <c r="E338" s="20"/>
      <c r="F338" s="6">
        <f>F339</f>
        <v>0</v>
      </c>
    </row>
    <row r="339" spans="1:6" ht="31.5" hidden="1">
      <c r="A339" s="25" t="s">
        <v>148</v>
      </c>
      <c r="B339" s="20" t="s">
        <v>251</v>
      </c>
      <c r="C339" s="20" t="s">
        <v>230</v>
      </c>
      <c r="D339" s="20" t="s">
        <v>1126</v>
      </c>
      <c r="E339" s="20" t="s">
        <v>149</v>
      </c>
      <c r="F339" s="6">
        <f>F340</f>
        <v>0</v>
      </c>
    </row>
    <row r="340" spans="1:6" ht="31.5" hidden="1">
      <c r="A340" s="25" t="s">
        <v>150</v>
      </c>
      <c r="B340" s="20" t="s">
        <v>251</v>
      </c>
      <c r="C340" s="20" t="s">
        <v>230</v>
      </c>
      <c r="D340" s="20" t="s">
        <v>1126</v>
      </c>
      <c r="E340" s="20" t="s">
        <v>151</v>
      </c>
      <c r="F340" s="6">
        <f>'Пр.6 ведом.20'!G859</f>
        <v>0</v>
      </c>
    </row>
    <row r="341" spans="1:6" ht="47.25" hidden="1">
      <c r="A341" s="105" t="s">
        <v>883</v>
      </c>
      <c r="B341" s="20" t="s">
        <v>251</v>
      </c>
      <c r="C341" s="20" t="s">
        <v>230</v>
      </c>
      <c r="D341" s="20" t="s">
        <v>1127</v>
      </c>
      <c r="E341" s="20"/>
      <c r="F341" s="6">
        <f>F342+F344</f>
        <v>0</v>
      </c>
    </row>
    <row r="342" spans="1:6" ht="31.5" hidden="1">
      <c r="A342" s="25" t="s">
        <v>888</v>
      </c>
      <c r="B342" s="20" t="s">
        <v>251</v>
      </c>
      <c r="C342" s="20" t="s">
        <v>230</v>
      </c>
      <c r="D342" s="20" t="s">
        <v>1127</v>
      </c>
      <c r="E342" s="20" t="s">
        <v>887</v>
      </c>
      <c r="F342" s="6">
        <f>F343</f>
        <v>0</v>
      </c>
    </row>
    <row r="343" spans="1:6" ht="31.5" customHeight="1" hidden="1">
      <c r="A343" s="25" t="s">
        <v>1241</v>
      </c>
      <c r="B343" s="20" t="s">
        <v>251</v>
      </c>
      <c r="C343" s="20" t="s">
        <v>230</v>
      </c>
      <c r="D343" s="20" t="s">
        <v>1127</v>
      </c>
      <c r="E343" s="20" t="s">
        <v>1263</v>
      </c>
      <c r="F343" s="6">
        <f>'Пр.6 ведом.20'!G862</f>
        <v>0</v>
      </c>
    </row>
    <row r="344" spans="1:6" ht="21" customHeight="1" hidden="1">
      <c r="A344" s="25" t="s">
        <v>152</v>
      </c>
      <c r="B344" s="20" t="s">
        <v>251</v>
      </c>
      <c r="C344" s="20" t="s">
        <v>230</v>
      </c>
      <c r="D344" s="20" t="s">
        <v>1127</v>
      </c>
      <c r="E344" s="20" t="s">
        <v>162</v>
      </c>
      <c r="F344" s="6">
        <f>F345</f>
        <v>0</v>
      </c>
    </row>
    <row r="345" spans="1:6" ht="21.75" customHeight="1" hidden="1">
      <c r="A345" s="25" t="s">
        <v>729</v>
      </c>
      <c r="B345" s="20" t="s">
        <v>251</v>
      </c>
      <c r="C345" s="20" t="s">
        <v>230</v>
      </c>
      <c r="D345" s="20" t="s">
        <v>1127</v>
      </c>
      <c r="E345" s="20" t="s">
        <v>155</v>
      </c>
      <c r="F345" s="6">
        <f>'Пр.6 ведом.20'!G864</f>
        <v>0</v>
      </c>
    </row>
    <row r="346" spans="1:6" ht="31.5" hidden="1">
      <c r="A346" s="25" t="s">
        <v>1264</v>
      </c>
      <c r="B346" s="20" t="s">
        <v>251</v>
      </c>
      <c r="C346" s="20" t="s">
        <v>230</v>
      </c>
      <c r="D346" s="20" t="s">
        <v>1265</v>
      </c>
      <c r="E346" s="20"/>
      <c r="F346" s="6">
        <f aca="true" t="shared" si="53" ref="F346:F347">F347</f>
        <v>0</v>
      </c>
    </row>
    <row r="347" spans="1:6" ht="31.5" hidden="1">
      <c r="A347" s="25" t="s">
        <v>148</v>
      </c>
      <c r="B347" s="20" t="s">
        <v>251</v>
      </c>
      <c r="C347" s="20" t="s">
        <v>230</v>
      </c>
      <c r="D347" s="20" t="s">
        <v>1265</v>
      </c>
      <c r="E347" s="20" t="s">
        <v>149</v>
      </c>
      <c r="F347" s="6">
        <f t="shared" si="53"/>
        <v>0</v>
      </c>
    </row>
    <row r="348" spans="1:6" ht="31.5" hidden="1">
      <c r="A348" s="25" t="s">
        <v>150</v>
      </c>
      <c r="B348" s="20" t="s">
        <v>251</v>
      </c>
      <c r="C348" s="20" t="s">
        <v>230</v>
      </c>
      <c r="D348" s="20" t="s">
        <v>1265</v>
      </c>
      <c r="E348" s="20" t="s">
        <v>151</v>
      </c>
      <c r="F348" s="6">
        <f>'Пр.6 ведом.20'!G867</f>
        <v>0</v>
      </c>
    </row>
    <row r="349" spans="1:6" ht="63" hidden="1">
      <c r="A349" s="23" t="s">
        <v>1187</v>
      </c>
      <c r="B349" s="24" t="s">
        <v>251</v>
      </c>
      <c r="C349" s="24" t="s">
        <v>230</v>
      </c>
      <c r="D349" s="24" t="s">
        <v>535</v>
      </c>
      <c r="E349" s="24"/>
      <c r="F349" s="4">
        <f>F350+F354+F358+F362+F366+F370+F374</f>
        <v>0</v>
      </c>
    </row>
    <row r="350" spans="1:6" ht="31.5" hidden="1">
      <c r="A350" s="23" t="s">
        <v>1107</v>
      </c>
      <c r="B350" s="24" t="s">
        <v>251</v>
      </c>
      <c r="C350" s="24" t="s">
        <v>230</v>
      </c>
      <c r="D350" s="24" t="s">
        <v>1109</v>
      </c>
      <c r="E350" s="24"/>
      <c r="F350" s="4">
        <f>F351</f>
        <v>0</v>
      </c>
    </row>
    <row r="351" spans="1:6" ht="15.75" hidden="1">
      <c r="A351" s="46" t="s">
        <v>1108</v>
      </c>
      <c r="B351" s="41" t="s">
        <v>251</v>
      </c>
      <c r="C351" s="41" t="s">
        <v>230</v>
      </c>
      <c r="D351" s="20" t="s">
        <v>1110</v>
      </c>
      <c r="E351" s="41"/>
      <c r="F351" s="6">
        <f aca="true" t="shared" si="54" ref="F351:F352">F352</f>
        <v>0</v>
      </c>
    </row>
    <row r="352" spans="1:6" ht="31.5" hidden="1">
      <c r="A352" s="32" t="s">
        <v>148</v>
      </c>
      <c r="B352" s="41" t="s">
        <v>251</v>
      </c>
      <c r="C352" s="41" t="s">
        <v>230</v>
      </c>
      <c r="D352" s="20" t="s">
        <v>1110</v>
      </c>
      <c r="E352" s="41" t="s">
        <v>149</v>
      </c>
      <c r="F352" s="6">
        <f t="shared" si="54"/>
        <v>0</v>
      </c>
    </row>
    <row r="353" spans="1:6" ht="31.5" hidden="1">
      <c r="A353" s="32" t="s">
        <v>150</v>
      </c>
      <c r="B353" s="41" t="s">
        <v>251</v>
      </c>
      <c r="C353" s="41" t="s">
        <v>230</v>
      </c>
      <c r="D353" s="20" t="s">
        <v>1110</v>
      </c>
      <c r="E353" s="41" t="s">
        <v>151</v>
      </c>
      <c r="F353" s="6">
        <f>'Пр.6 ведом.20'!G872</f>
        <v>0</v>
      </c>
    </row>
    <row r="354" spans="1:6" ht="31.5" hidden="1">
      <c r="A354" s="35" t="s">
        <v>1111</v>
      </c>
      <c r="B354" s="7" t="s">
        <v>251</v>
      </c>
      <c r="C354" s="7" t="s">
        <v>230</v>
      </c>
      <c r="D354" s="24" t="s">
        <v>1112</v>
      </c>
      <c r="E354" s="7"/>
      <c r="F354" s="4">
        <f>F355</f>
        <v>0</v>
      </c>
    </row>
    <row r="355" spans="1:6" ht="15.75" hidden="1">
      <c r="A355" s="46" t="s">
        <v>540</v>
      </c>
      <c r="B355" s="41" t="s">
        <v>251</v>
      </c>
      <c r="C355" s="41" t="s">
        <v>230</v>
      </c>
      <c r="D355" s="20" t="s">
        <v>1115</v>
      </c>
      <c r="E355" s="41"/>
      <c r="F355" s="6">
        <f>F356</f>
        <v>0</v>
      </c>
    </row>
    <row r="356" spans="1:6" ht="31.5" hidden="1">
      <c r="A356" s="32" t="s">
        <v>148</v>
      </c>
      <c r="B356" s="41" t="s">
        <v>251</v>
      </c>
      <c r="C356" s="41" t="s">
        <v>230</v>
      </c>
      <c r="D356" s="20" t="s">
        <v>1115</v>
      </c>
      <c r="E356" s="41" t="s">
        <v>149</v>
      </c>
      <c r="F356" s="6">
        <f>F357</f>
        <v>0</v>
      </c>
    </row>
    <row r="357" spans="1:6" ht="31.5" hidden="1">
      <c r="A357" s="32" t="s">
        <v>150</v>
      </c>
      <c r="B357" s="41" t="s">
        <v>251</v>
      </c>
      <c r="C357" s="41" t="s">
        <v>230</v>
      </c>
      <c r="D357" s="20" t="s">
        <v>1115</v>
      </c>
      <c r="E357" s="41" t="s">
        <v>151</v>
      </c>
      <c r="F357" s="6">
        <f>'Пр.6 ведом.20'!G876</f>
        <v>0</v>
      </c>
    </row>
    <row r="358" spans="1:6" ht="31.5" hidden="1">
      <c r="A358" s="60" t="s">
        <v>1113</v>
      </c>
      <c r="B358" s="7" t="s">
        <v>251</v>
      </c>
      <c r="C358" s="7" t="s">
        <v>230</v>
      </c>
      <c r="D358" s="24" t="s">
        <v>1114</v>
      </c>
      <c r="E358" s="7"/>
      <c r="F358" s="4">
        <f>F359</f>
        <v>0</v>
      </c>
    </row>
    <row r="359" spans="1:6" ht="15.75" hidden="1">
      <c r="A359" s="46" t="s">
        <v>542</v>
      </c>
      <c r="B359" s="41" t="s">
        <v>251</v>
      </c>
      <c r="C359" s="41" t="s">
        <v>230</v>
      </c>
      <c r="D359" s="20" t="s">
        <v>1116</v>
      </c>
      <c r="E359" s="41"/>
      <c r="F359" s="6">
        <f>F360</f>
        <v>0</v>
      </c>
    </row>
    <row r="360" spans="1:6" ht="31.5" hidden="1">
      <c r="A360" s="32" t="s">
        <v>148</v>
      </c>
      <c r="B360" s="41" t="s">
        <v>251</v>
      </c>
      <c r="C360" s="41" t="s">
        <v>230</v>
      </c>
      <c r="D360" s="20" t="s">
        <v>1116</v>
      </c>
      <c r="E360" s="41" t="s">
        <v>149</v>
      </c>
      <c r="F360" s="6">
        <f>F361</f>
        <v>0</v>
      </c>
    </row>
    <row r="361" spans="1:6" ht="31.5" hidden="1">
      <c r="A361" s="32" t="s">
        <v>150</v>
      </c>
      <c r="B361" s="41" t="s">
        <v>251</v>
      </c>
      <c r="C361" s="41" t="s">
        <v>230</v>
      </c>
      <c r="D361" s="20" t="s">
        <v>1116</v>
      </c>
      <c r="E361" s="41" t="s">
        <v>151</v>
      </c>
      <c r="F361" s="6">
        <f>'Пр.6 ведом.20'!G880</f>
        <v>0</v>
      </c>
    </row>
    <row r="362" spans="1:6" ht="31.5" hidden="1">
      <c r="A362" s="60" t="s">
        <v>1117</v>
      </c>
      <c r="B362" s="7" t="s">
        <v>251</v>
      </c>
      <c r="C362" s="7" t="s">
        <v>230</v>
      </c>
      <c r="D362" s="24" t="s">
        <v>1118</v>
      </c>
      <c r="E362" s="7"/>
      <c r="F362" s="4">
        <f>F363</f>
        <v>0</v>
      </c>
    </row>
    <row r="363" spans="1:6" ht="15.75" hidden="1">
      <c r="A363" s="46" t="s">
        <v>544</v>
      </c>
      <c r="B363" s="41" t="s">
        <v>251</v>
      </c>
      <c r="C363" s="41" t="s">
        <v>230</v>
      </c>
      <c r="D363" s="20" t="s">
        <v>1119</v>
      </c>
      <c r="E363" s="41"/>
      <c r="F363" s="6">
        <f>F364</f>
        <v>0</v>
      </c>
    </row>
    <row r="364" spans="1:6" ht="31.5" hidden="1">
      <c r="A364" s="32" t="s">
        <v>148</v>
      </c>
      <c r="B364" s="41" t="s">
        <v>251</v>
      </c>
      <c r="C364" s="41" t="s">
        <v>230</v>
      </c>
      <c r="D364" s="20" t="s">
        <v>1119</v>
      </c>
      <c r="E364" s="41" t="s">
        <v>149</v>
      </c>
      <c r="F364" s="6">
        <f>F365</f>
        <v>0</v>
      </c>
    </row>
    <row r="365" spans="1:6" ht="31.5" hidden="1">
      <c r="A365" s="32" t="s">
        <v>150</v>
      </c>
      <c r="B365" s="41" t="s">
        <v>251</v>
      </c>
      <c r="C365" s="41" t="s">
        <v>230</v>
      </c>
      <c r="D365" s="20" t="s">
        <v>1119</v>
      </c>
      <c r="E365" s="41" t="s">
        <v>151</v>
      </c>
      <c r="F365" s="6">
        <f>'Пр.6 ведом.20'!G884</f>
        <v>0</v>
      </c>
    </row>
    <row r="366" spans="1:6" ht="31.5" hidden="1">
      <c r="A366" s="35" t="s">
        <v>1181</v>
      </c>
      <c r="B366" s="7" t="s">
        <v>251</v>
      </c>
      <c r="C366" s="7" t="s">
        <v>230</v>
      </c>
      <c r="D366" s="24" t="s">
        <v>1182</v>
      </c>
      <c r="E366" s="7"/>
      <c r="F366" s="4">
        <f>F367</f>
        <v>0</v>
      </c>
    </row>
    <row r="367" spans="1:6" ht="18" customHeight="1" hidden="1">
      <c r="A367" s="46" t="s">
        <v>546</v>
      </c>
      <c r="B367" s="41" t="s">
        <v>251</v>
      </c>
      <c r="C367" s="41" t="s">
        <v>230</v>
      </c>
      <c r="D367" s="20" t="s">
        <v>1185</v>
      </c>
      <c r="E367" s="41"/>
      <c r="F367" s="6">
        <f>F368</f>
        <v>0</v>
      </c>
    </row>
    <row r="368" spans="1:6" ht="31.5" hidden="1">
      <c r="A368" s="32" t="s">
        <v>148</v>
      </c>
      <c r="B368" s="41" t="s">
        <v>251</v>
      </c>
      <c r="C368" s="41" t="s">
        <v>230</v>
      </c>
      <c r="D368" s="20" t="s">
        <v>1185</v>
      </c>
      <c r="E368" s="41" t="s">
        <v>149</v>
      </c>
      <c r="F368" s="6">
        <f>F369</f>
        <v>0</v>
      </c>
    </row>
    <row r="369" spans="1:6" ht="31.5" hidden="1">
      <c r="A369" s="32" t="s">
        <v>150</v>
      </c>
      <c r="B369" s="41" t="s">
        <v>251</v>
      </c>
      <c r="C369" s="41" t="s">
        <v>230</v>
      </c>
      <c r="D369" s="20" t="s">
        <v>1185</v>
      </c>
      <c r="E369" s="41" t="s">
        <v>151</v>
      </c>
      <c r="F369" s="6">
        <f>'Пр.6 ведом.20'!G888</f>
        <v>0</v>
      </c>
    </row>
    <row r="370" spans="1:6" ht="31.5" hidden="1">
      <c r="A370" s="321" t="s">
        <v>1183</v>
      </c>
      <c r="B370" s="7" t="s">
        <v>251</v>
      </c>
      <c r="C370" s="7" t="s">
        <v>230</v>
      </c>
      <c r="D370" s="24" t="s">
        <v>1184</v>
      </c>
      <c r="E370" s="7"/>
      <c r="F370" s="4">
        <f>F371</f>
        <v>0</v>
      </c>
    </row>
    <row r="371" spans="1:6" ht="31.5" hidden="1">
      <c r="A371" s="188" t="s">
        <v>548</v>
      </c>
      <c r="B371" s="41" t="s">
        <v>251</v>
      </c>
      <c r="C371" s="41" t="s">
        <v>230</v>
      </c>
      <c r="D371" s="20" t="s">
        <v>1186</v>
      </c>
      <c r="E371" s="41"/>
      <c r="F371" s="6">
        <f>F372</f>
        <v>0</v>
      </c>
    </row>
    <row r="372" spans="1:6" ht="31.5" hidden="1">
      <c r="A372" s="32" t="s">
        <v>148</v>
      </c>
      <c r="B372" s="41" t="s">
        <v>251</v>
      </c>
      <c r="C372" s="41" t="s">
        <v>230</v>
      </c>
      <c r="D372" s="20" t="s">
        <v>1186</v>
      </c>
      <c r="E372" s="41" t="s">
        <v>149</v>
      </c>
      <c r="F372" s="6">
        <f>F373</f>
        <v>0</v>
      </c>
    </row>
    <row r="373" spans="1:6" ht="31.5" hidden="1">
      <c r="A373" s="32" t="s">
        <v>150</v>
      </c>
      <c r="B373" s="41" t="s">
        <v>251</v>
      </c>
      <c r="C373" s="41" t="s">
        <v>230</v>
      </c>
      <c r="D373" s="20" t="s">
        <v>1186</v>
      </c>
      <c r="E373" s="41" t="s">
        <v>151</v>
      </c>
      <c r="F373" s="6">
        <f>'Пр.6 ведом.20'!G892</f>
        <v>0</v>
      </c>
    </row>
    <row r="374" spans="1:6" ht="31.5" hidden="1">
      <c r="A374" s="321" t="s">
        <v>1121</v>
      </c>
      <c r="B374" s="7" t="s">
        <v>251</v>
      </c>
      <c r="C374" s="7" t="s">
        <v>230</v>
      </c>
      <c r="D374" s="24" t="s">
        <v>1122</v>
      </c>
      <c r="E374" s="7"/>
      <c r="F374" s="4">
        <f>F375</f>
        <v>0</v>
      </c>
    </row>
    <row r="375" spans="1:6" ht="15.75" hidden="1">
      <c r="A375" s="188" t="s">
        <v>550</v>
      </c>
      <c r="B375" s="41" t="s">
        <v>251</v>
      </c>
      <c r="C375" s="41" t="s">
        <v>230</v>
      </c>
      <c r="D375" s="20" t="s">
        <v>1120</v>
      </c>
      <c r="E375" s="41"/>
      <c r="F375" s="6">
        <f>F376</f>
        <v>0</v>
      </c>
    </row>
    <row r="376" spans="1:6" ht="31.5" hidden="1">
      <c r="A376" s="25" t="s">
        <v>148</v>
      </c>
      <c r="B376" s="41" t="s">
        <v>251</v>
      </c>
      <c r="C376" s="41" t="s">
        <v>230</v>
      </c>
      <c r="D376" s="20" t="s">
        <v>1120</v>
      </c>
      <c r="E376" s="41" t="s">
        <v>149</v>
      </c>
      <c r="F376" s="6">
        <f>F377</f>
        <v>0</v>
      </c>
    </row>
    <row r="377" spans="1:6" s="252" customFormat="1" ht="31.5" hidden="1">
      <c r="A377" s="25" t="s">
        <v>150</v>
      </c>
      <c r="B377" s="41" t="s">
        <v>251</v>
      </c>
      <c r="C377" s="41" t="s">
        <v>230</v>
      </c>
      <c r="D377" s="20" t="s">
        <v>1120</v>
      </c>
      <c r="E377" s="41" t="s">
        <v>151</v>
      </c>
      <c r="F377" s="6">
        <f>'Пр.6 ведом.20'!G896</f>
        <v>0</v>
      </c>
    </row>
    <row r="378" spans="1:8" ht="15.75">
      <c r="A378" s="42" t="s">
        <v>558</v>
      </c>
      <c r="B378" s="7" t="s">
        <v>251</v>
      </c>
      <c r="C378" s="7" t="s">
        <v>232</v>
      </c>
      <c r="D378" s="7"/>
      <c r="E378" s="7"/>
      <c r="F378" s="4">
        <f>F379+F384+F422</f>
        <v>4683.9</v>
      </c>
      <c r="H378" s="22"/>
    </row>
    <row r="379" spans="1:8" s="252" customFormat="1" ht="15.75">
      <c r="A379" s="23" t="s">
        <v>158</v>
      </c>
      <c r="B379" s="24" t="s">
        <v>251</v>
      </c>
      <c r="C379" s="24" t="s">
        <v>232</v>
      </c>
      <c r="D379" s="24" t="s">
        <v>917</v>
      </c>
      <c r="E379" s="24"/>
      <c r="F379" s="4">
        <f>F380</f>
        <v>390</v>
      </c>
      <c r="H379" s="22"/>
    </row>
    <row r="380" spans="1:8" s="252" customFormat="1" ht="31.5">
      <c r="A380" s="23" t="s">
        <v>921</v>
      </c>
      <c r="B380" s="24" t="s">
        <v>251</v>
      </c>
      <c r="C380" s="24" t="s">
        <v>232</v>
      </c>
      <c r="D380" s="24" t="s">
        <v>916</v>
      </c>
      <c r="E380" s="24"/>
      <c r="F380" s="4">
        <f>F381</f>
        <v>390</v>
      </c>
      <c r="H380" s="22"/>
    </row>
    <row r="381" spans="1:8" s="252" customFormat="1" ht="15.75">
      <c r="A381" s="25" t="s">
        <v>581</v>
      </c>
      <c r="B381" s="20" t="s">
        <v>251</v>
      </c>
      <c r="C381" s="20" t="s">
        <v>232</v>
      </c>
      <c r="D381" s="20" t="s">
        <v>1278</v>
      </c>
      <c r="E381" s="20"/>
      <c r="F381" s="6">
        <f>F382</f>
        <v>390</v>
      </c>
      <c r="H381" s="22"/>
    </row>
    <row r="382" spans="1:8" s="252" customFormat="1" ht="31.5">
      <c r="A382" s="25" t="s">
        <v>148</v>
      </c>
      <c r="B382" s="20" t="s">
        <v>251</v>
      </c>
      <c r="C382" s="20" t="s">
        <v>232</v>
      </c>
      <c r="D382" s="20" t="s">
        <v>1278</v>
      </c>
      <c r="E382" s="20" t="s">
        <v>149</v>
      </c>
      <c r="F382" s="6">
        <f>F383</f>
        <v>390</v>
      </c>
      <c r="H382" s="22"/>
    </row>
    <row r="383" spans="1:8" s="252" customFormat="1" ht="31.5">
      <c r="A383" s="25" t="s">
        <v>150</v>
      </c>
      <c r="B383" s="20" t="s">
        <v>251</v>
      </c>
      <c r="C383" s="20" t="s">
        <v>232</v>
      </c>
      <c r="D383" s="20" t="s">
        <v>1278</v>
      </c>
      <c r="E383" s="20" t="s">
        <v>151</v>
      </c>
      <c r="F383" s="6">
        <f>'Пр.6 ведом.20'!G902</f>
        <v>390</v>
      </c>
      <c r="H383" s="22"/>
    </row>
    <row r="384" spans="1:6" ht="48" customHeight="1">
      <c r="A384" s="23" t="s">
        <v>559</v>
      </c>
      <c r="B384" s="7" t="s">
        <v>251</v>
      </c>
      <c r="C384" s="7" t="s">
        <v>232</v>
      </c>
      <c r="D384" s="7" t="s">
        <v>560</v>
      </c>
      <c r="E384" s="7"/>
      <c r="F384" s="4">
        <f aca="true" t="shared" si="55" ref="F384">F385+F399</f>
        <v>3793.9</v>
      </c>
    </row>
    <row r="385" spans="1:6" ht="47.25">
      <c r="A385" s="23" t="s">
        <v>561</v>
      </c>
      <c r="B385" s="24" t="s">
        <v>251</v>
      </c>
      <c r="C385" s="24" t="s">
        <v>232</v>
      </c>
      <c r="D385" s="24" t="s">
        <v>562</v>
      </c>
      <c r="E385" s="24"/>
      <c r="F385" s="4">
        <f>F386</f>
        <v>1740</v>
      </c>
    </row>
    <row r="386" spans="1:6" s="252" customFormat="1" ht="31.5">
      <c r="A386" s="23" t="s">
        <v>1130</v>
      </c>
      <c r="B386" s="24" t="s">
        <v>251</v>
      </c>
      <c r="C386" s="24" t="s">
        <v>232</v>
      </c>
      <c r="D386" s="24" t="s">
        <v>1128</v>
      </c>
      <c r="E386" s="24"/>
      <c r="F386" s="4">
        <f>F387+F390+F396</f>
        <v>1740</v>
      </c>
    </row>
    <row r="387" spans="1:6" ht="24" customHeight="1">
      <c r="A387" s="25" t="s">
        <v>563</v>
      </c>
      <c r="B387" s="20" t="s">
        <v>251</v>
      </c>
      <c r="C387" s="20" t="s">
        <v>232</v>
      </c>
      <c r="D387" s="20" t="s">
        <v>1129</v>
      </c>
      <c r="E387" s="20"/>
      <c r="F387" s="6">
        <f aca="true" t="shared" si="56" ref="F387:F388">F388</f>
        <v>90</v>
      </c>
    </row>
    <row r="388" spans="1:6" ht="31.5">
      <c r="A388" s="25" t="s">
        <v>148</v>
      </c>
      <c r="B388" s="20" t="s">
        <v>251</v>
      </c>
      <c r="C388" s="20" t="s">
        <v>232</v>
      </c>
      <c r="D388" s="20" t="s">
        <v>1129</v>
      </c>
      <c r="E388" s="20" t="s">
        <v>149</v>
      </c>
      <c r="F388" s="6">
        <f t="shared" si="56"/>
        <v>90</v>
      </c>
    </row>
    <row r="389" spans="1:6" ht="31.5">
      <c r="A389" s="25" t="s">
        <v>150</v>
      </c>
      <c r="B389" s="20" t="s">
        <v>251</v>
      </c>
      <c r="C389" s="20" t="s">
        <v>232</v>
      </c>
      <c r="D389" s="20" t="s">
        <v>1129</v>
      </c>
      <c r="E389" s="20" t="s">
        <v>151</v>
      </c>
      <c r="F389" s="6">
        <f>'Пр.6 ведом.20'!G908</f>
        <v>90</v>
      </c>
    </row>
    <row r="390" spans="1:6" ht="15.75">
      <c r="A390" s="25" t="s">
        <v>565</v>
      </c>
      <c r="B390" s="20" t="s">
        <v>251</v>
      </c>
      <c r="C390" s="20" t="s">
        <v>232</v>
      </c>
      <c r="D390" s="20" t="s">
        <v>1131</v>
      </c>
      <c r="E390" s="20"/>
      <c r="F390" s="6">
        <f>F391+F393</f>
        <v>650</v>
      </c>
    </row>
    <row r="391" spans="1:6" ht="31.5">
      <c r="A391" s="25" t="s">
        <v>148</v>
      </c>
      <c r="B391" s="20" t="s">
        <v>251</v>
      </c>
      <c r="C391" s="20" t="s">
        <v>232</v>
      </c>
      <c r="D391" s="20" t="s">
        <v>1131</v>
      </c>
      <c r="E391" s="20" t="s">
        <v>149</v>
      </c>
      <c r="F391" s="6">
        <f aca="true" t="shared" si="57" ref="F391">F392</f>
        <v>650</v>
      </c>
    </row>
    <row r="392" spans="1:6" ht="31.5">
      <c r="A392" s="25" t="s">
        <v>150</v>
      </c>
      <c r="B392" s="20" t="s">
        <v>251</v>
      </c>
      <c r="C392" s="20" t="s">
        <v>232</v>
      </c>
      <c r="D392" s="20" t="s">
        <v>1131</v>
      </c>
      <c r="E392" s="20" t="s">
        <v>151</v>
      </c>
      <c r="F392" s="6">
        <f>'Пр.6 ведом.20'!G911</f>
        <v>650</v>
      </c>
    </row>
    <row r="393" spans="1:6" ht="15.75" hidden="1">
      <c r="A393" s="30" t="s">
        <v>152</v>
      </c>
      <c r="B393" s="20" t="s">
        <v>251</v>
      </c>
      <c r="C393" s="20" t="s">
        <v>232</v>
      </c>
      <c r="D393" s="20" t="s">
        <v>1131</v>
      </c>
      <c r="E393" s="20" t="s">
        <v>162</v>
      </c>
      <c r="F393" s="6">
        <f>F395+F394</f>
        <v>0</v>
      </c>
    </row>
    <row r="394" spans="1:6" s="252" customFormat="1" ht="47.25" hidden="1">
      <c r="A394" s="25" t="s">
        <v>886</v>
      </c>
      <c r="B394" s="20" t="s">
        <v>251</v>
      </c>
      <c r="C394" s="20" t="s">
        <v>232</v>
      </c>
      <c r="D394" s="20" t="s">
        <v>1131</v>
      </c>
      <c r="E394" s="20" t="s">
        <v>164</v>
      </c>
      <c r="F394" s="6">
        <f>'Пр.6 ведом.20'!G913</f>
        <v>0</v>
      </c>
    </row>
    <row r="395" spans="1:6" ht="15.75" hidden="1">
      <c r="A395" s="30" t="s">
        <v>585</v>
      </c>
      <c r="B395" s="20" t="s">
        <v>251</v>
      </c>
      <c r="C395" s="20" t="s">
        <v>232</v>
      </c>
      <c r="D395" s="20" t="s">
        <v>1131</v>
      </c>
      <c r="E395" s="20" t="s">
        <v>155</v>
      </c>
      <c r="F395" s="6">
        <f>'Пр.6 ведом.20'!G914</f>
        <v>0</v>
      </c>
    </row>
    <row r="396" spans="1:6" ht="15.75">
      <c r="A396" s="25" t="s">
        <v>567</v>
      </c>
      <c r="B396" s="20" t="s">
        <v>251</v>
      </c>
      <c r="C396" s="20" t="s">
        <v>232</v>
      </c>
      <c r="D396" s="20" t="s">
        <v>1132</v>
      </c>
      <c r="E396" s="20"/>
      <c r="F396" s="6">
        <f aca="true" t="shared" si="58" ref="F396:F397">F397</f>
        <v>1000</v>
      </c>
    </row>
    <row r="397" spans="1:6" ht="31.5">
      <c r="A397" s="25" t="s">
        <v>148</v>
      </c>
      <c r="B397" s="20" t="s">
        <v>251</v>
      </c>
      <c r="C397" s="20" t="s">
        <v>232</v>
      </c>
      <c r="D397" s="20" t="s">
        <v>1132</v>
      </c>
      <c r="E397" s="20" t="s">
        <v>149</v>
      </c>
      <c r="F397" s="6">
        <f t="shared" si="58"/>
        <v>1000</v>
      </c>
    </row>
    <row r="398" spans="1:6" ht="31.5">
      <c r="A398" s="25" t="s">
        <v>150</v>
      </c>
      <c r="B398" s="20" t="s">
        <v>251</v>
      </c>
      <c r="C398" s="20" t="s">
        <v>232</v>
      </c>
      <c r="D398" s="20" t="s">
        <v>1132</v>
      </c>
      <c r="E398" s="20" t="s">
        <v>151</v>
      </c>
      <c r="F398" s="6">
        <f>'Пр.6 ведом.20'!G917</f>
        <v>1000</v>
      </c>
    </row>
    <row r="399" spans="1:6" ht="47.25">
      <c r="A399" s="23" t="s">
        <v>569</v>
      </c>
      <c r="B399" s="24" t="s">
        <v>251</v>
      </c>
      <c r="C399" s="24" t="s">
        <v>232</v>
      </c>
      <c r="D399" s="24" t="s">
        <v>570</v>
      </c>
      <c r="E399" s="24"/>
      <c r="F399" s="4">
        <f>F400+F415</f>
        <v>2053.9</v>
      </c>
    </row>
    <row r="400" spans="1:6" s="252" customFormat="1" ht="31.5">
      <c r="A400" s="23" t="s">
        <v>1148</v>
      </c>
      <c r="B400" s="24" t="s">
        <v>251</v>
      </c>
      <c r="C400" s="24" t="s">
        <v>232</v>
      </c>
      <c r="D400" s="24" t="s">
        <v>1133</v>
      </c>
      <c r="E400" s="24"/>
      <c r="F400" s="4">
        <f>F401+F404+F407+F412</f>
        <v>390</v>
      </c>
    </row>
    <row r="401" spans="1:6" ht="15.75">
      <c r="A401" s="25" t="s">
        <v>567</v>
      </c>
      <c r="B401" s="20" t="s">
        <v>251</v>
      </c>
      <c r="C401" s="20" t="s">
        <v>232</v>
      </c>
      <c r="D401" s="20" t="s">
        <v>1134</v>
      </c>
      <c r="E401" s="20"/>
      <c r="F401" s="6">
        <f>F402</f>
        <v>11</v>
      </c>
    </row>
    <row r="402" spans="1:6" ht="31.5">
      <c r="A402" s="25" t="s">
        <v>148</v>
      </c>
      <c r="B402" s="20" t="s">
        <v>251</v>
      </c>
      <c r="C402" s="20" t="s">
        <v>232</v>
      </c>
      <c r="D402" s="20" t="s">
        <v>1134</v>
      </c>
      <c r="E402" s="20" t="s">
        <v>149</v>
      </c>
      <c r="F402" s="6">
        <f aca="true" t="shared" si="59" ref="F402">F403</f>
        <v>11</v>
      </c>
    </row>
    <row r="403" spans="1:6" ht="31.5">
      <c r="A403" s="25" t="s">
        <v>150</v>
      </c>
      <c r="B403" s="20" t="s">
        <v>251</v>
      </c>
      <c r="C403" s="20" t="s">
        <v>232</v>
      </c>
      <c r="D403" s="20" t="s">
        <v>1134</v>
      </c>
      <c r="E403" s="20" t="s">
        <v>151</v>
      </c>
      <c r="F403" s="6">
        <f>'Пр.6 ведом.20'!G933</f>
        <v>11</v>
      </c>
    </row>
    <row r="404" spans="1:6" ht="15.75">
      <c r="A404" s="25" t="s">
        <v>572</v>
      </c>
      <c r="B404" s="20" t="s">
        <v>251</v>
      </c>
      <c r="C404" s="20" t="s">
        <v>232</v>
      </c>
      <c r="D404" s="20" t="s">
        <v>1135</v>
      </c>
      <c r="E404" s="20"/>
      <c r="F404" s="6">
        <f aca="true" t="shared" si="60" ref="F404:F405">F405</f>
        <v>4</v>
      </c>
    </row>
    <row r="405" spans="1:6" ht="31.5">
      <c r="A405" s="25" t="s">
        <v>148</v>
      </c>
      <c r="B405" s="20" t="s">
        <v>251</v>
      </c>
      <c r="C405" s="20" t="s">
        <v>232</v>
      </c>
      <c r="D405" s="20" t="s">
        <v>1135</v>
      </c>
      <c r="E405" s="20" t="s">
        <v>149</v>
      </c>
      <c r="F405" s="6">
        <f t="shared" si="60"/>
        <v>4</v>
      </c>
    </row>
    <row r="406" spans="1:6" ht="31.5">
      <c r="A406" s="25" t="s">
        <v>150</v>
      </c>
      <c r="B406" s="20" t="s">
        <v>251</v>
      </c>
      <c r="C406" s="20" t="s">
        <v>232</v>
      </c>
      <c r="D406" s="20" t="s">
        <v>1135</v>
      </c>
      <c r="E406" s="20" t="s">
        <v>151</v>
      </c>
      <c r="F406" s="6">
        <f>'Пр.6 ведом.20'!G922</f>
        <v>4</v>
      </c>
    </row>
    <row r="407" spans="1:6" ht="47.25">
      <c r="A407" s="107" t="s">
        <v>574</v>
      </c>
      <c r="B407" s="20" t="s">
        <v>251</v>
      </c>
      <c r="C407" s="20" t="s">
        <v>232</v>
      </c>
      <c r="D407" s="20" t="s">
        <v>1136</v>
      </c>
      <c r="E407" s="20"/>
      <c r="F407" s="6">
        <f>F408+F410</f>
        <v>375</v>
      </c>
    </row>
    <row r="408" spans="1:6" ht="31.5">
      <c r="A408" s="25" t="s">
        <v>148</v>
      </c>
      <c r="B408" s="20" t="s">
        <v>251</v>
      </c>
      <c r="C408" s="20" t="s">
        <v>232</v>
      </c>
      <c r="D408" s="20" t="s">
        <v>1136</v>
      </c>
      <c r="E408" s="20" t="s">
        <v>149</v>
      </c>
      <c r="F408" s="6">
        <f aca="true" t="shared" si="61" ref="F408">F409</f>
        <v>300</v>
      </c>
    </row>
    <row r="409" spans="1:6" ht="31.5">
      <c r="A409" s="25" t="s">
        <v>150</v>
      </c>
      <c r="B409" s="20" t="s">
        <v>251</v>
      </c>
      <c r="C409" s="20" t="s">
        <v>232</v>
      </c>
      <c r="D409" s="20" t="s">
        <v>1136</v>
      </c>
      <c r="E409" s="20" t="s">
        <v>151</v>
      </c>
      <c r="F409" s="6">
        <f>'Пр.6 ведом.20'!G925</f>
        <v>300</v>
      </c>
    </row>
    <row r="410" spans="1:6" s="252" customFormat="1" ht="15.75">
      <c r="A410" s="30" t="s">
        <v>152</v>
      </c>
      <c r="B410" s="20" t="s">
        <v>251</v>
      </c>
      <c r="C410" s="20" t="s">
        <v>232</v>
      </c>
      <c r="D410" s="20" t="s">
        <v>1136</v>
      </c>
      <c r="E410" s="20" t="s">
        <v>162</v>
      </c>
      <c r="F410" s="6">
        <f>F411</f>
        <v>75</v>
      </c>
    </row>
    <row r="411" spans="1:6" s="252" customFormat="1" ht="15.75">
      <c r="A411" s="30" t="s">
        <v>585</v>
      </c>
      <c r="B411" s="20" t="s">
        <v>251</v>
      </c>
      <c r="C411" s="20" t="s">
        <v>232</v>
      </c>
      <c r="D411" s="20" t="s">
        <v>1136</v>
      </c>
      <c r="E411" s="20" t="s">
        <v>155</v>
      </c>
      <c r="F411" s="6">
        <f>'Пр.6 ведом.20'!G927</f>
        <v>75</v>
      </c>
    </row>
    <row r="412" spans="1:6" ht="15.75" hidden="1">
      <c r="A412" s="107" t="s">
        <v>576</v>
      </c>
      <c r="B412" s="20" t="s">
        <v>251</v>
      </c>
      <c r="C412" s="20" t="s">
        <v>232</v>
      </c>
      <c r="D412" s="20" t="s">
        <v>1137</v>
      </c>
      <c r="E412" s="20"/>
      <c r="F412" s="6">
        <f aca="true" t="shared" si="62" ref="F412:F413">F413</f>
        <v>0</v>
      </c>
    </row>
    <row r="413" spans="1:6" ht="31.5" hidden="1">
      <c r="A413" s="25" t="s">
        <v>148</v>
      </c>
      <c r="B413" s="20" t="s">
        <v>251</v>
      </c>
      <c r="C413" s="20" t="s">
        <v>232</v>
      </c>
      <c r="D413" s="20" t="s">
        <v>1137</v>
      </c>
      <c r="E413" s="20" t="s">
        <v>149</v>
      </c>
      <c r="F413" s="6">
        <f t="shared" si="62"/>
        <v>0</v>
      </c>
    </row>
    <row r="414" spans="1:6" ht="31.5" hidden="1">
      <c r="A414" s="25" t="s">
        <v>150</v>
      </c>
      <c r="B414" s="20" t="s">
        <v>251</v>
      </c>
      <c r="C414" s="20" t="s">
        <v>232</v>
      </c>
      <c r="D414" s="20" t="s">
        <v>1137</v>
      </c>
      <c r="E414" s="20" t="s">
        <v>151</v>
      </c>
      <c r="F414" s="6">
        <f>'Пр.6 ведом.20'!G930</f>
        <v>0</v>
      </c>
    </row>
    <row r="415" spans="1:6" s="252" customFormat="1" ht="31.5">
      <c r="A415" s="23" t="s">
        <v>955</v>
      </c>
      <c r="B415" s="7" t="s">
        <v>251</v>
      </c>
      <c r="C415" s="7" t="s">
        <v>232</v>
      </c>
      <c r="D415" s="24" t="s">
        <v>1138</v>
      </c>
      <c r="E415" s="24"/>
      <c r="F415" s="4">
        <f>F416+F419</f>
        <v>1663.9</v>
      </c>
    </row>
    <row r="416" spans="1:6" s="252" customFormat="1" ht="31.5">
      <c r="A416" s="25" t="s">
        <v>708</v>
      </c>
      <c r="B416" s="20" t="s">
        <v>251</v>
      </c>
      <c r="C416" s="20" t="s">
        <v>232</v>
      </c>
      <c r="D416" s="20" t="s">
        <v>1139</v>
      </c>
      <c r="E416" s="20"/>
      <c r="F416" s="6">
        <f aca="true" t="shared" si="63" ref="F416">F417</f>
        <v>244</v>
      </c>
    </row>
    <row r="417" spans="1:6" s="252" customFormat="1" ht="31.5">
      <c r="A417" s="25" t="s">
        <v>148</v>
      </c>
      <c r="B417" s="20" t="s">
        <v>251</v>
      </c>
      <c r="C417" s="20" t="s">
        <v>232</v>
      </c>
      <c r="D417" s="20" t="s">
        <v>1139</v>
      </c>
      <c r="E417" s="20" t="s">
        <v>149</v>
      </c>
      <c r="F417" s="6">
        <f>F418</f>
        <v>244</v>
      </c>
    </row>
    <row r="418" spans="1:6" s="252" customFormat="1" ht="31.5">
      <c r="A418" s="25" t="s">
        <v>150</v>
      </c>
      <c r="B418" s="20" t="s">
        <v>251</v>
      </c>
      <c r="C418" s="20" t="s">
        <v>232</v>
      </c>
      <c r="D418" s="20" t="s">
        <v>1139</v>
      </c>
      <c r="E418" s="20" t="s">
        <v>151</v>
      </c>
      <c r="F418" s="6">
        <f>'Пр.6 ведом.20'!G937</f>
        <v>244</v>
      </c>
    </row>
    <row r="419" spans="1:6" s="252" customFormat="1" ht="63">
      <c r="A419" s="25" t="s">
        <v>1266</v>
      </c>
      <c r="B419" s="20" t="s">
        <v>251</v>
      </c>
      <c r="C419" s="20" t="s">
        <v>232</v>
      </c>
      <c r="D419" s="20" t="s">
        <v>1267</v>
      </c>
      <c r="E419" s="20"/>
      <c r="F419" s="6">
        <f>F420</f>
        <v>1419.9</v>
      </c>
    </row>
    <row r="420" spans="1:6" s="252" customFormat="1" ht="31.5">
      <c r="A420" s="25" t="s">
        <v>148</v>
      </c>
      <c r="B420" s="20" t="s">
        <v>251</v>
      </c>
      <c r="C420" s="20" t="s">
        <v>232</v>
      </c>
      <c r="D420" s="20" t="s">
        <v>1267</v>
      </c>
      <c r="E420" s="20" t="s">
        <v>149</v>
      </c>
      <c r="F420" s="6">
        <f>F421</f>
        <v>1419.9</v>
      </c>
    </row>
    <row r="421" spans="1:6" s="252" customFormat="1" ht="31.5">
      <c r="A421" s="25" t="s">
        <v>150</v>
      </c>
      <c r="B421" s="20" t="s">
        <v>251</v>
      </c>
      <c r="C421" s="20" t="s">
        <v>232</v>
      </c>
      <c r="D421" s="20" t="s">
        <v>1267</v>
      </c>
      <c r="E421" s="20" t="s">
        <v>151</v>
      </c>
      <c r="F421" s="6">
        <f>'Пр.6 ведом.20'!G940</f>
        <v>1419.9</v>
      </c>
    </row>
    <row r="422" spans="1:6" ht="63">
      <c r="A422" s="23" t="s">
        <v>824</v>
      </c>
      <c r="B422" s="24" t="s">
        <v>251</v>
      </c>
      <c r="C422" s="24" t="s">
        <v>232</v>
      </c>
      <c r="D422" s="24" t="s">
        <v>736</v>
      </c>
      <c r="E422" s="24"/>
      <c r="F422" s="4">
        <f aca="true" t="shared" si="64" ref="F422">F424</f>
        <v>500</v>
      </c>
    </row>
    <row r="423" spans="1:6" s="252" customFormat="1" ht="31.5">
      <c r="A423" s="23" t="s">
        <v>1262</v>
      </c>
      <c r="B423" s="24" t="s">
        <v>251</v>
      </c>
      <c r="C423" s="24" t="s">
        <v>232</v>
      </c>
      <c r="D423" s="24" t="s">
        <v>885</v>
      </c>
      <c r="E423" s="20"/>
      <c r="F423" s="4">
        <f>F424</f>
        <v>500</v>
      </c>
    </row>
    <row r="424" spans="1:6" ht="31.5">
      <c r="A424" s="385" t="s">
        <v>735</v>
      </c>
      <c r="B424" s="20" t="s">
        <v>251</v>
      </c>
      <c r="C424" s="20" t="s">
        <v>232</v>
      </c>
      <c r="D424" s="20" t="s">
        <v>885</v>
      </c>
      <c r="E424" s="20"/>
      <c r="F424" s="6">
        <f aca="true" t="shared" si="65" ref="F424:F425">F425</f>
        <v>500</v>
      </c>
    </row>
    <row r="425" spans="1:6" ht="31.5">
      <c r="A425" s="25" t="s">
        <v>148</v>
      </c>
      <c r="B425" s="20" t="s">
        <v>251</v>
      </c>
      <c r="C425" s="20" t="s">
        <v>232</v>
      </c>
      <c r="D425" s="20" t="s">
        <v>885</v>
      </c>
      <c r="E425" s="20" t="s">
        <v>149</v>
      </c>
      <c r="F425" s="6">
        <f t="shared" si="65"/>
        <v>500</v>
      </c>
    </row>
    <row r="426" spans="1:6" ht="31.5">
      <c r="A426" s="25" t="s">
        <v>150</v>
      </c>
      <c r="B426" s="20" t="s">
        <v>251</v>
      </c>
      <c r="C426" s="20" t="s">
        <v>232</v>
      </c>
      <c r="D426" s="20" t="s">
        <v>885</v>
      </c>
      <c r="E426" s="20" t="s">
        <v>151</v>
      </c>
      <c r="F426" s="6">
        <f>'Пр.6 ведом.20'!G945</f>
        <v>500</v>
      </c>
    </row>
    <row r="427" spans="1:8" ht="31.5">
      <c r="A427" s="42" t="s">
        <v>586</v>
      </c>
      <c r="B427" s="7" t="s">
        <v>251</v>
      </c>
      <c r="C427" s="7" t="s">
        <v>251</v>
      </c>
      <c r="D427" s="7"/>
      <c r="E427" s="7"/>
      <c r="F427" s="4">
        <f>F428+F440+F457</f>
        <v>23769.396</v>
      </c>
      <c r="H427" s="22"/>
    </row>
    <row r="428" spans="1:6" ht="31.5">
      <c r="A428" s="23" t="s">
        <v>995</v>
      </c>
      <c r="B428" s="24" t="s">
        <v>251</v>
      </c>
      <c r="C428" s="24" t="s">
        <v>251</v>
      </c>
      <c r="D428" s="24" t="s">
        <v>909</v>
      </c>
      <c r="E428" s="24"/>
      <c r="F428" s="4">
        <f>F429</f>
        <v>13391.887999999999</v>
      </c>
    </row>
    <row r="429" spans="1:6" ht="15.75">
      <c r="A429" s="23" t="s">
        <v>996</v>
      </c>
      <c r="B429" s="24" t="s">
        <v>251</v>
      </c>
      <c r="C429" s="24" t="s">
        <v>251</v>
      </c>
      <c r="D429" s="24" t="s">
        <v>910</v>
      </c>
      <c r="E429" s="24"/>
      <c r="F429" s="4">
        <f>F430+F437</f>
        <v>13391.887999999999</v>
      </c>
    </row>
    <row r="430" spans="1:6" ht="31.5">
      <c r="A430" s="25" t="s">
        <v>972</v>
      </c>
      <c r="B430" s="20" t="s">
        <v>251</v>
      </c>
      <c r="C430" s="20" t="s">
        <v>251</v>
      </c>
      <c r="D430" s="20" t="s">
        <v>911</v>
      </c>
      <c r="E430" s="20"/>
      <c r="F430" s="6">
        <f aca="true" t="shared" si="66" ref="F430">F431+F433+F435</f>
        <v>13021.887999999999</v>
      </c>
    </row>
    <row r="431" spans="1:6" ht="81.75" customHeight="1">
      <c r="A431" s="25" t="s">
        <v>144</v>
      </c>
      <c r="B431" s="20" t="s">
        <v>251</v>
      </c>
      <c r="C431" s="20" t="s">
        <v>251</v>
      </c>
      <c r="D431" s="20" t="s">
        <v>911</v>
      </c>
      <c r="E431" s="20" t="s">
        <v>145</v>
      </c>
      <c r="F431" s="59">
        <f aca="true" t="shared" si="67" ref="F431">F432</f>
        <v>12949.887999999999</v>
      </c>
    </row>
    <row r="432" spans="1:6" ht="31.5">
      <c r="A432" s="25" t="s">
        <v>146</v>
      </c>
      <c r="B432" s="20" t="s">
        <v>251</v>
      </c>
      <c r="C432" s="20" t="s">
        <v>251</v>
      </c>
      <c r="D432" s="20" t="s">
        <v>911</v>
      </c>
      <c r="E432" s="20" t="s">
        <v>147</v>
      </c>
      <c r="F432" s="59">
        <f>'Пр.6 ведом.20'!G951</f>
        <v>12949.887999999999</v>
      </c>
    </row>
    <row r="433" spans="1:6" ht="31.5">
      <c r="A433" s="25" t="s">
        <v>148</v>
      </c>
      <c r="B433" s="20" t="s">
        <v>251</v>
      </c>
      <c r="C433" s="20" t="s">
        <v>251</v>
      </c>
      <c r="D433" s="20" t="s">
        <v>911</v>
      </c>
      <c r="E433" s="20" t="s">
        <v>149</v>
      </c>
      <c r="F433" s="59">
        <f aca="true" t="shared" si="68" ref="F433">F434</f>
        <v>25</v>
      </c>
    </row>
    <row r="434" spans="1:6" ht="31.5">
      <c r="A434" s="25" t="s">
        <v>150</v>
      </c>
      <c r="B434" s="20" t="s">
        <v>251</v>
      </c>
      <c r="C434" s="20" t="s">
        <v>251</v>
      </c>
      <c r="D434" s="20" t="s">
        <v>911</v>
      </c>
      <c r="E434" s="20" t="s">
        <v>151</v>
      </c>
      <c r="F434" s="59">
        <f>'Пр.6 ведом.20'!G953</f>
        <v>25</v>
      </c>
    </row>
    <row r="435" spans="1:6" ht="15.75">
      <c r="A435" s="25" t="s">
        <v>152</v>
      </c>
      <c r="B435" s="20" t="s">
        <v>251</v>
      </c>
      <c r="C435" s="20" t="s">
        <v>251</v>
      </c>
      <c r="D435" s="20" t="s">
        <v>911</v>
      </c>
      <c r="E435" s="20" t="s">
        <v>162</v>
      </c>
      <c r="F435" s="59">
        <f aca="true" t="shared" si="69" ref="F435">F436</f>
        <v>47</v>
      </c>
    </row>
    <row r="436" spans="1:6" ht="15.75">
      <c r="A436" s="25" t="s">
        <v>585</v>
      </c>
      <c r="B436" s="20" t="s">
        <v>251</v>
      </c>
      <c r="C436" s="20" t="s">
        <v>251</v>
      </c>
      <c r="D436" s="20" t="s">
        <v>911</v>
      </c>
      <c r="E436" s="20" t="s">
        <v>155</v>
      </c>
      <c r="F436" s="59">
        <f>'Пр.6 ведом.20'!G955</f>
        <v>47</v>
      </c>
    </row>
    <row r="437" spans="1:6" s="252" customFormat="1" ht="47.25">
      <c r="A437" s="25" t="s">
        <v>889</v>
      </c>
      <c r="B437" s="20" t="s">
        <v>251</v>
      </c>
      <c r="C437" s="20" t="s">
        <v>251</v>
      </c>
      <c r="D437" s="20" t="s">
        <v>913</v>
      </c>
      <c r="E437" s="20"/>
      <c r="F437" s="59">
        <f>F438</f>
        <v>370</v>
      </c>
    </row>
    <row r="438" spans="1:6" s="252" customFormat="1" ht="78.75">
      <c r="A438" s="25" t="s">
        <v>144</v>
      </c>
      <c r="B438" s="20" t="s">
        <v>251</v>
      </c>
      <c r="C438" s="20" t="s">
        <v>251</v>
      </c>
      <c r="D438" s="20" t="s">
        <v>913</v>
      </c>
      <c r="E438" s="20" t="s">
        <v>145</v>
      </c>
      <c r="F438" s="59">
        <f>F439</f>
        <v>370</v>
      </c>
    </row>
    <row r="439" spans="1:6" s="252" customFormat="1" ht="31.5">
      <c r="A439" s="25" t="s">
        <v>146</v>
      </c>
      <c r="B439" s="20" t="s">
        <v>251</v>
      </c>
      <c r="C439" s="20" t="s">
        <v>251</v>
      </c>
      <c r="D439" s="20" t="s">
        <v>913</v>
      </c>
      <c r="E439" s="20" t="s">
        <v>147</v>
      </c>
      <c r="F439" s="59">
        <f>'Пр.6 ведом.20'!G958</f>
        <v>370</v>
      </c>
    </row>
    <row r="440" spans="1:6" ht="15.75">
      <c r="A440" s="23" t="s">
        <v>158</v>
      </c>
      <c r="B440" s="24" t="s">
        <v>251</v>
      </c>
      <c r="C440" s="24" t="s">
        <v>251</v>
      </c>
      <c r="D440" s="24" t="s">
        <v>917</v>
      </c>
      <c r="E440" s="24"/>
      <c r="F440" s="4">
        <f>F441+F448</f>
        <v>10320.508</v>
      </c>
    </row>
    <row r="441" spans="1:6" ht="31.5">
      <c r="A441" s="23" t="s">
        <v>921</v>
      </c>
      <c r="B441" s="24" t="s">
        <v>251</v>
      </c>
      <c r="C441" s="24" t="s">
        <v>251</v>
      </c>
      <c r="D441" s="24" t="s">
        <v>916</v>
      </c>
      <c r="E441" s="24"/>
      <c r="F441" s="61">
        <f>F442+F445</f>
        <v>982</v>
      </c>
    </row>
    <row r="442" spans="1:6" ht="31.5">
      <c r="A442" s="25" t="s">
        <v>587</v>
      </c>
      <c r="B442" s="20" t="s">
        <v>251</v>
      </c>
      <c r="C442" s="20" t="s">
        <v>251</v>
      </c>
      <c r="D442" s="20" t="s">
        <v>1140</v>
      </c>
      <c r="E442" s="20"/>
      <c r="F442" s="59">
        <f aca="true" t="shared" si="70" ref="F442">F443</f>
        <v>982</v>
      </c>
    </row>
    <row r="443" spans="1:6" ht="15.75">
      <c r="A443" s="25" t="s">
        <v>152</v>
      </c>
      <c r="B443" s="20" t="s">
        <v>251</v>
      </c>
      <c r="C443" s="20" t="s">
        <v>251</v>
      </c>
      <c r="D443" s="20" t="s">
        <v>1140</v>
      </c>
      <c r="E443" s="20" t="s">
        <v>162</v>
      </c>
      <c r="F443" s="59">
        <f>F444</f>
        <v>982</v>
      </c>
    </row>
    <row r="444" spans="1:6" ht="47.25">
      <c r="A444" s="25" t="s">
        <v>201</v>
      </c>
      <c r="B444" s="20" t="s">
        <v>251</v>
      </c>
      <c r="C444" s="20" t="s">
        <v>251</v>
      </c>
      <c r="D444" s="20" t="s">
        <v>1140</v>
      </c>
      <c r="E444" s="20" t="s">
        <v>177</v>
      </c>
      <c r="F444" s="6">
        <f>'Пр.6 ведом.20'!G963</f>
        <v>982</v>
      </c>
    </row>
    <row r="445" spans="1:6" ht="31.5" hidden="1">
      <c r="A445" s="25" t="s">
        <v>872</v>
      </c>
      <c r="B445" s="20" t="s">
        <v>251</v>
      </c>
      <c r="C445" s="20" t="s">
        <v>251</v>
      </c>
      <c r="D445" s="20" t="s">
        <v>1268</v>
      </c>
      <c r="E445" s="20"/>
      <c r="F445" s="59">
        <f aca="true" t="shared" si="71" ref="F445">F446</f>
        <v>0</v>
      </c>
    </row>
    <row r="446" spans="1:6" ht="15.75" hidden="1">
      <c r="A446" s="25" t="s">
        <v>152</v>
      </c>
      <c r="B446" s="20" t="s">
        <v>251</v>
      </c>
      <c r="C446" s="20" t="s">
        <v>251</v>
      </c>
      <c r="D446" s="20" t="s">
        <v>1268</v>
      </c>
      <c r="E446" s="20" t="s">
        <v>162</v>
      </c>
      <c r="F446" s="59">
        <f>F447</f>
        <v>0</v>
      </c>
    </row>
    <row r="447" spans="1:6" ht="47.25" hidden="1">
      <c r="A447" s="25" t="s">
        <v>201</v>
      </c>
      <c r="B447" s="20" t="s">
        <v>251</v>
      </c>
      <c r="C447" s="20" t="s">
        <v>251</v>
      </c>
      <c r="D447" s="20" t="s">
        <v>1268</v>
      </c>
      <c r="E447" s="20" t="s">
        <v>177</v>
      </c>
      <c r="F447" s="59">
        <f>'Пр.6 ведом.20'!G966</f>
        <v>0</v>
      </c>
    </row>
    <row r="448" spans="1:6" ht="31.5">
      <c r="A448" s="23" t="s">
        <v>1009</v>
      </c>
      <c r="B448" s="24" t="s">
        <v>251</v>
      </c>
      <c r="C448" s="24" t="s">
        <v>251</v>
      </c>
      <c r="D448" s="24" t="s">
        <v>992</v>
      </c>
      <c r="E448" s="24"/>
      <c r="F448" s="61">
        <f>F449+F454</f>
        <v>9338.508</v>
      </c>
    </row>
    <row r="449" spans="1:6" ht="31.5">
      <c r="A449" s="25" t="s">
        <v>979</v>
      </c>
      <c r="B449" s="20" t="s">
        <v>251</v>
      </c>
      <c r="C449" s="20" t="s">
        <v>251</v>
      </c>
      <c r="D449" s="20" t="s">
        <v>993</v>
      </c>
      <c r="E449" s="20"/>
      <c r="F449" s="59">
        <f>F450+F452</f>
        <v>8838.508</v>
      </c>
    </row>
    <row r="450" spans="1:6" ht="78.75">
      <c r="A450" s="25" t="s">
        <v>144</v>
      </c>
      <c r="B450" s="20" t="s">
        <v>251</v>
      </c>
      <c r="C450" s="20" t="s">
        <v>251</v>
      </c>
      <c r="D450" s="20" t="s">
        <v>993</v>
      </c>
      <c r="E450" s="20" t="s">
        <v>145</v>
      </c>
      <c r="F450" s="59">
        <f>F451</f>
        <v>7046.508</v>
      </c>
    </row>
    <row r="451" spans="1:6" ht="31.5">
      <c r="A451" s="25" t="s">
        <v>359</v>
      </c>
      <c r="B451" s="20" t="s">
        <v>251</v>
      </c>
      <c r="C451" s="20" t="s">
        <v>251</v>
      </c>
      <c r="D451" s="20" t="s">
        <v>993</v>
      </c>
      <c r="E451" s="20" t="s">
        <v>226</v>
      </c>
      <c r="F451" s="59">
        <f>'Пр.6 ведом.20'!G970</f>
        <v>7046.508</v>
      </c>
    </row>
    <row r="452" spans="1:6" s="252" customFormat="1" ht="31.5">
      <c r="A452" s="25" t="s">
        <v>148</v>
      </c>
      <c r="B452" s="20" t="s">
        <v>251</v>
      </c>
      <c r="C452" s="20" t="s">
        <v>251</v>
      </c>
      <c r="D452" s="20" t="s">
        <v>993</v>
      </c>
      <c r="E452" s="20" t="s">
        <v>149</v>
      </c>
      <c r="F452" s="59">
        <f>F453</f>
        <v>1792</v>
      </c>
    </row>
    <row r="453" spans="1:6" s="252" customFormat="1" ht="31.5">
      <c r="A453" s="25" t="s">
        <v>150</v>
      </c>
      <c r="B453" s="20" t="s">
        <v>251</v>
      </c>
      <c r="C453" s="20" t="s">
        <v>251</v>
      </c>
      <c r="D453" s="20" t="s">
        <v>993</v>
      </c>
      <c r="E453" s="20" t="s">
        <v>151</v>
      </c>
      <c r="F453" s="59">
        <f>'Пр.6 ведом.20'!G972</f>
        <v>1792</v>
      </c>
    </row>
    <row r="454" spans="1:6" s="252" customFormat="1" ht="47.25">
      <c r="A454" s="25" t="s">
        <v>889</v>
      </c>
      <c r="B454" s="20" t="s">
        <v>251</v>
      </c>
      <c r="C454" s="20" t="s">
        <v>251</v>
      </c>
      <c r="D454" s="20" t="s">
        <v>994</v>
      </c>
      <c r="E454" s="20"/>
      <c r="F454" s="59">
        <f>F455</f>
        <v>500</v>
      </c>
    </row>
    <row r="455" spans="1:6" s="252" customFormat="1" ht="78.75">
      <c r="A455" s="25" t="s">
        <v>144</v>
      </c>
      <c r="B455" s="20" t="s">
        <v>251</v>
      </c>
      <c r="C455" s="20" t="s">
        <v>251</v>
      </c>
      <c r="D455" s="20" t="s">
        <v>994</v>
      </c>
      <c r="E455" s="20" t="s">
        <v>145</v>
      </c>
      <c r="F455" s="59">
        <f>F456</f>
        <v>500</v>
      </c>
    </row>
    <row r="456" spans="1:6" s="252" customFormat="1" ht="31.5">
      <c r="A456" s="25" t="s">
        <v>146</v>
      </c>
      <c r="B456" s="20" t="s">
        <v>251</v>
      </c>
      <c r="C456" s="20" t="s">
        <v>251</v>
      </c>
      <c r="D456" s="20" t="s">
        <v>994</v>
      </c>
      <c r="E456" s="20" t="s">
        <v>147</v>
      </c>
      <c r="F456" s="59">
        <f>'Пр.6 ведом.20'!G975</f>
        <v>500</v>
      </c>
    </row>
    <row r="457" spans="1:6" s="252" customFormat="1" ht="63">
      <c r="A457" s="35" t="s">
        <v>807</v>
      </c>
      <c r="B457" s="24" t="s">
        <v>251</v>
      </c>
      <c r="C457" s="24" t="s">
        <v>251</v>
      </c>
      <c r="D457" s="24" t="s">
        <v>341</v>
      </c>
      <c r="E457" s="24"/>
      <c r="F457" s="21">
        <f>F458</f>
        <v>57</v>
      </c>
    </row>
    <row r="458" spans="1:6" s="252" customFormat="1" ht="63">
      <c r="A458" s="35" t="s">
        <v>1171</v>
      </c>
      <c r="B458" s="24" t="s">
        <v>251</v>
      </c>
      <c r="C458" s="24" t="s">
        <v>251</v>
      </c>
      <c r="D458" s="24" t="s">
        <v>1033</v>
      </c>
      <c r="E458" s="24"/>
      <c r="F458" s="21">
        <f>F459</f>
        <v>57</v>
      </c>
    </row>
    <row r="459" spans="1:6" s="252" customFormat="1" ht="47.25">
      <c r="A459" s="32" t="s">
        <v>1290</v>
      </c>
      <c r="B459" s="20" t="s">
        <v>251</v>
      </c>
      <c r="C459" s="20" t="s">
        <v>251</v>
      </c>
      <c r="D459" s="20" t="s">
        <v>1204</v>
      </c>
      <c r="E459" s="20"/>
      <c r="F459" s="26">
        <f>F460</f>
        <v>57</v>
      </c>
    </row>
    <row r="460" spans="1:6" s="252" customFormat="1" ht="31.5">
      <c r="A460" s="25" t="s">
        <v>148</v>
      </c>
      <c r="B460" s="20" t="s">
        <v>251</v>
      </c>
      <c r="C460" s="20" t="s">
        <v>251</v>
      </c>
      <c r="D460" s="20" t="s">
        <v>1204</v>
      </c>
      <c r="E460" s="20" t="s">
        <v>149</v>
      </c>
      <c r="F460" s="26">
        <f>F461</f>
        <v>57</v>
      </c>
    </row>
    <row r="461" spans="1:6" s="252" customFormat="1" ht="31.5">
      <c r="A461" s="25" t="s">
        <v>150</v>
      </c>
      <c r="B461" s="20" t="s">
        <v>251</v>
      </c>
      <c r="C461" s="20" t="s">
        <v>251</v>
      </c>
      <c r="D461" s="20" t="s">
        <v>1204</v>
      </c>
      <c r="E461" s="20" t="s">
        <v>151</v>
      </c>
      <c r="F461" s="26">
        <f>'Пр.6 ведом.20'!G980</f>
        <v>57</v>
      </c>
    </row>
    <row r="462" spans="1:8" ht="15.75">
      <c r="A462" s="42" t="s">
        <v>280</v>
      </c>
      <c r="B462" s="7" t="s">
        <v>281</v>
      </c>
      <c r="C462" s="41"/>
      <c r="D462" s="41"/>
      <c r="E462" s="41"/>
      <c r="F462" s="4">
        <f>F463+F524+F699+F602+F670</f>
        <v>317454.281</v>
      </c>
      <c r="H462" s="22"/>
    </row>
    <row r="463" spans="1:8" ht="15.75">
      <c r="A463" s="42" t="s">
        <v>421</v>
      </c>
      <c r="B463" s="7" t="s">
        <v>281</v>
      </c>
      <c r="C463" s="7" t="s">
        <v>135</v>
      </c>
      <c r="D463" s="7"/>
      <c r="E463" s="7"/>
      <c r="F463" s="4">
        <f>F464+F514+F519</f>
        <v>96706</v>
      </c>
      <c r="H463" s="22"/>
    </row>
    <row r="464" spans="1:6" ht="47.25">
      <c r="A464" s="23" t="s">
        <v>422</v>
      </c>
      <c r="B464" s="24" t="s">
        <v>281</v>
      </c>
      <c r="C464" s="24" t="s">
        <v>135</v>
      </c>
      <c r="D464" s="24" t="s">
        <v>423</v>
      </c>
      <c r="E464" s="24"/>
      <c r="F464" s="4">
        <f>F465+F486</f>
        <v>96241.7</v>
      </c>
    </row>
    <row r="465" spans="1:7" ht="35.25" customHeight="1">
      <c r="A465" s="23" t="s">
        <v>424</v>
      </c>
      <c r="B465" s="24" t="s">
        <v>281</v>
      </c>
      <c r="C465" s="24" t="s">
        <v>135</v>
      </c>
      <c r="D465" s="24" t="s">
        <v>425</v>
      </c>
      <c r="E465" s="24"/>
      <c r="F465" s="4">
        <f>F466+F473</f>
        <v>86566.4</v>
      </c>
      <c r="G465" s="22"/>
    </row>
    <row r="466" spans="1:6" s="252" customFormat="1" ht="31.5">
      <c r="A466" s="23" t="s">
        <v>1036</v>
      </c>
      <c r="B466" s="24" t="s">
        <v>281</v>
      </c>
      <c r="C466" s="24" t="s">
        <v>135</v>
      </c>
      <c r="D466" s="24" t="s">
        <v>1014</v>
      </c>
      <c r="E466" s="24"/>
      <c r="F466" s="4">
        <f>F467+F470</f>
        <v>13527</v>
      </c>
    </row>
    <row r="467" spans="1:6" ht="52.5" customHeight="1">
      <c r="A467" s="25" t="s">
        <v>1071</v>
      </c>
      <c r="B467" s="20" t="s">
        <v>281</v>
      </c>
      <c r="C467" s="20" t="s">
        <v>135</v>
      </c>
      <c r="D467" s="20" t="s">
        <v>1070</v>
      </c>
      <c r="E467" s="20"/>
      <c r="F467" s="6">
        <f>F468</f>
        <v>8224.3</v>
      </c>
    </row>
    <row r="468" spans="1:6" ht="40.5" customHeight="1">
      <c r="A468" s="25" t="s">
        <v>289</v>
      </c>
      <c r="B468" s="20" t="s">
        <v>281</v>
      </c>
      <c r="C468" s="20" t="s">
        <v>135</v>
      </c>
      <c r="D468" s="20" t="s">
        <v>1070</v>
      </c>
      <c r="E468" s="20" t="s">
        <v>290</v>
      </c>
      <c r="F468" s="6">
        <f>F469</f>
        <v>8224.3</v>
      </c>
    </row>
    <row r="469" spans="1:8" ht="15.75">
      <c r="A469" s="25" t="s">
        <v>291</v>
      </c>
      <c r="B469" s="20" t="s">
        <v>281</v>
      </c>
      <c r="C469" s="20" t="s">
        <v>135</v>
      </c>
      <c r="D469" s="20" t="s">
        <v>1070</v>
      </c>
      <c r="E469" s="20" t="s">
        <v>292</v>
      </c>
      <c r="F469" s="59">
        <f>'Пр.6 ведом.20'!G504</f>
        <v>8224.3</v>
      </c>
      <c r="H469" s="22"/>
    </row>
    <row r="470" spans="1:8" s="252" customFormat="1" ht="51" customHeight="1">
      <c r="A470" s="25" t="s">
        <v>1255</v>
      </c>
      <c r="B470" s="20" t="s">
        <v>281</v>
      </c>
      <c r="C470" s="20" t="s">
        <v>135</v>
      </c>
      <c r="D470" s="20" t="s">
        <v>1072</v>
      </c>
      <c r="E470" s="20"/>
      <c r="F470" s="59">
        <f>F471</f>
        <v>5302.7</v>
      </c>
      <c r="H470" s="22"/>
    </row>
    <row r="471" spans="1:8" s="252" customFormat="1" ht="31.5">
      <c r="A471" s="25" t="s">
        <v>289</v>
      </c>
      <c r="B471" s="20" t="s">
        <v>281</v>
      </c>
      <c r="C471" s="20" t="s">
        <v>135</v>
      </c>
      <c r="D471" s="20" t="s">
        <v>1072</v>
      </c>
      <c r="E471" s="20" t="s">
        <v>290</v>
      </c>
      <c r="F471" s="59">
        <f>F472</f>
        <v>5302.7</v>
      </c>
      <c r="H471" s="22"/>
    </row>
    <row r="472" spans="1:8" s="252" customFormat="1" ht="15.75">
      <c r="A472" s="25" t="s">
        <v>291</v>
      </c>
      <c r="B472" s="20" t="s">
        <v>281</v>
      </c>
      <c r="C472" s="20" t="s">
        <v>135</v>
      </c>
      <c r="D472" s="20" t="s">
        <v>1072</v>
      </c>
      <c r="E472" s="20" t="s">
        <v>292</v>
      </c>
      <c r="F472" s="59">
        <f>'Пр.6 ведом.20'!G507</f>
        <v>5302.7</v>
      </c>
      <c r="H472" s="22"/>
    </row>
    <row r="473" spans="1:6" ht="47.25">
      <c r="A473" s="23" t="s">
        <v>976</v>
      </c>
      <c r="B473" s="24" t="s">
        <v>281</v>
      </c>
      <c r="C473" s="24" t="s">
        <v>135</v>
      </c>
      <c r="D473" s="24" t="s">
        <v>1029</v>
      </c>
      <c r="E473" s="24"/>
      <c r="F473" s="4">
        <f>F474+F477+F480+F483</f>
        <v>73039.4</v>
      </c>
    </row>
    <row r="474" spans="1:6" ht="47.25" customHeight="1">
      <c r="A474" s="32" t="s">
        <v>306</v>
      </c>
      <c r="B474" s="20" t="s">
        <v>281</v>
      </c>
      <c r="C474" s="20" t="s">
        <v>135</v>
      </c>
      <c r="D474" s="20" t="s">
        <v>1028</v>
      </c>
      <c r="E474" s="20"/>
      <c r="F474" s="6">
        <f aca="true" t="shared" si="72" ref="F474:F475">F475</f>
        <v>363.7</v>
      </c>
    </row>
    <row r="475" spans="1:6" ht="47.25" customHeight="1">
      <c r="A475" s="25" t="s">
        <v>289</v>
      </c>
      <c r="B475" s="20" t="s">
        <v>281</v>
      </c>
      <c r="C475" s="20" t="s">
        <v>135</v>
      </c>
      <c r="D475" s="20" t="s">
        <v>1028</v>
      </c>
      <c r="E475" s="20" t="s">
        <v>290</v>
      </c>
      <c r="F475" s="6">
        <f t="shared" si="72"/>
        <v>363.7</v>
      </c>
    </row>
    <row r="476" spans="1:6" ht="15.75" customHeight="1">
      <c r="A476" s="25" t="s">
        <v>291</v>
      </c>
      <c r="B476" s="20" t="s">
        <v>281</v>
      </c>
      <c r="C476" s="20" t="s">
        <v>135</v>
      </c>
      <c r="D476" s="20" t="s">
        <v>1028</v>
      </c>
      <c r="E476" s="20" t="s">
        <v>292</v>
      </c>
      <c r="F476" s="6">
        <f>'Пр.6 ведом.20'!G511</f>
        <v>363.7</v>
      </c>
    </row>
    <row r="477" spans="1:6" ht="31.5" customHeight="1">
      <c r="A477" s="32" t="s">
        <v>437</v>
      </c>
      <c r="B477" s="20" t="s">
        <v>281</v>
      </c>
      <c r="C477" s="20" t="s">
        <v>135</v>
      </c>
      <c r="D477" s="20" t="s">
        <v>1031</v>
      </c>
      <c r="E477" s="20"/>
      <c r="F477" s="6">
        <f aca="true" t="shared" si="73" ref="F477:F478">F478</f>
        <v>1755.8</v>
      </c>
    </row>
    <row r="478" spans="1:6" ht="47.25" customHeight="1">
      <c r="A478" s="25" t="s">
        <v>289</v>
      </c>
      <c r="B478" s="20" t="s">
        <v>281</v>
      </c>
      <c r="C478" s="20" t="s">
        <v>135</v>
      </c>
      <c r="D478" s="20" t="s">
        <v>1031</v>
      </c>
      <c r="E478" s="20" t="s">
        <v>290</v>
      </c>
      <c r="F478" s="6">
        <f t="shared" si="73"/>
        <v>1755.8</v>
      </c>
    </row>
    <row r="479" spans="1:6" ht="15.75" customHeight="1">
      <c r="A479" s="25" t="s">
        <v>291</v>
      </c>
      <c r="B479" s="20" t="s">
        <v>281</v>
      </c>
      <c r="C479" s="20" t="s">
        <v>135</v>
      </c>
      <c r="D479" s="20" t="s">
        <v>1031</v>
      </c>
      <c r="E479" s="20" t="s">
        <v>292</v>
      </c>
      <c r="F479" s="6">
        <f>'Пр.6 ведом.20'!G514</f>
        <v>1755.8</v>
      </c>
    </row>
    <row r="480" spans="1:6" ht="94.5">
      <c r="A480" s="32" t="s">
        <v>438</v>
      </c>
      <c r="B480" s="20" t="s">
        <v>281</v>
      </c>
      <c r="C480" s="20" t="s">
        <v>135</v>
      </c>
      <c r="D480" s="20" t="s">
        <v>1030</v>
      </c>
      <c r="E480" s="20"/>
      <c r="F480" s="6">
        <f aca="true" t="shared" si="74" ref="F480:F481">F481</f>
        <v>68207.5</v>
      </c>
    </row>
    <row r="481" spans="1:6" ht="31.5">
      <c r="A481" s="25" t="s">
        <v>289</v>
      </c>
      <c r="B481" s="20" t="s">
        <v>281</v>
      </c>
      <c r="C481" s="20" t="s">
        <v>135</v>
      </c>
      <c r="D481" s="20" t="s">
        <v>1030</v>
      </c>
      <c r="E481" s="20" t="s">
        <v>290</v>
      </c>
      <c r="F481" s="6">
        <f t="shared" si="74"/>
        <v>68207.5</v>
      </c>
    </row>
    <row r="482" spans="1:6" ht="15.75">
      <c r="A482" s="25" t="s">
        <v>291</v>
      </c>
      <c r="B482" s="20" t="s">
        <v>281</v>
      </c>
      <c r="C482" s="20" t="s">
        <v>135</v>
      </c>
      <c r="D482" s="20" t="s">
        <v>1030</v>
      </c>
      <c r="E482" s="20" t="s">
        <v>292</v>
      </c>
      <c r="F482" s="6">
        <f>'Пр.6 ведом.20'!G517</f>
        <v>68207.5</v>
      </c>
    </row>
    <row r="483" spans="1:6" ht="94.5">
      <c r="A483" s="32" t="s">
        <v>310</v>
      </c>
      <c r="B483" s="20" t="s">
        <v>281</v>
      </c>
      <c r="C483" s="20" t="s">
        <v>135</v>
      </c>
      <c r="D483" s="20" t="s">
        <v>1032</v>
      </c>
      <c r="E483" s="20"/>
      <c r="F483" s="6">
        <f aca="true" t="shared" si="75" ref="F483:F484">F484</f>
        <v>2712.4</v>
      </c>
    </row>
    <row r="484" spans="1:6" ht="31.5">
      <c r="A484" s="25" t="s">
        <v>289</v>
      </c>
      <c r="B484" s="20" t="s">
        <v>281</v>
      </c>
      <c r="C484" s="20" t="s">
        <v>135</v>
      </c>
      <c r="D484" s="20" t="s">
        <v>1032</v>
      </c>
      <c r="E484" s="20" t="s">
        <v>290</v>
      </c>
      <c r="F484" s="6">
        <f t="shared" si="75"/>
        <v>2712.4</v>
      </c>
    </row>
    <row r="485" spans="1:6" ht="15.75">
      <c r="A485" s="25" t="s">
        <v>291</v>
      </c>
      <c r="B485" s="20" t="s">
        <v>281</v>
      </c>
      <c r="C485" s="20" t="s">
        <v>135</v>
      </c>
      <c r="D485" s="20" t="s">
        <v>1032</v>
      </c>
      <c r="E485" s="20" t="s">
        <v>292</v>
      </c>
      <c r="F485" s="6">
        <f>'Пр.6 ведом.20'!G520</f>
        <v>2712.4</v>
      </c>
    </row>
    <row r="486" spans="1:6" ht="31.5" customHeight="1">
      <c r="A486" s="23" t="s">
        <v>428</v>
      </c>
      <c r="B486" s="24" t="s">
        <v>281</v>
      </c>
      <c r="C486" s="24" t="s">
        <v>135</v>
      </c>
      <c r="D486" s="24" t="s">
        <v>429</v>
      </c>
      <c r="E486" s="24"/>
      <c r="F486" s="4">
        <f>F487+F497+F507</f>
        <v>9675.3</v>
      </c>
    </row>
    <row r="487" spans="1:6" ht="36" customHeight="1">
      <c r="A487" s="23" t="s">
        <v>1015</v>
      </c>
      <c r="B487" s="24" t="s">
        <v>281</v>
      </c>
      <c r="C487" s="24" t="s">
        <v>135</v>
      </c>
      <c r="D487" s="24" t="s">
        <v>1016</v>
      </c>
      <c r="E487" s="24"/>
      <c r="F487" s="4">
        <f>F488+F491+F494</f>
        <v>5170</v>
      </c>
    </row>
    <row r="488" spans="1:6" ht="40.5" customHeight="1" hidden="1">
      <c r="A488" s="25" t="s">
        <v>295</v>
      </c>
      <c r="B488" s="20" t="s">
        <v>281</v>
      </c>
      <c r="C488" s="20" t="s">
        <v>135</v>
      </c>
      <c r="D488" s="20" t="s">
        <v>1017</v>
      </c>
      <c r="E488" s="20"/>
      <c r="F488" s="6">
        <f>F489</f>
        <v>0</v>
      </c>
    </row>
    <row r="489" spans="1:6" ht="42" customHeight="1" hidden="1">
      <c r="A489" s="25" t="s">
        <v>289</v>
      </c>
      <c r="B489" s="20" t="s">
        <v>281</v>
      </c>
      <c r="C489" s="20" t="s">
        <v>135</v>
      </c>
      <c r="D489" s="20" t="s">
        <v>1017</v>
      </c>
      <c r="E489" s="20" t="s">
        <v>290</v>
      </c>
      <c r="F489" s="6">
        <f aca="true" t="shared" si="76" ref="F489">F490</f>
        <v>0</v>
      </c>
    </row>
    <row r="490" spans="1:6" ht="20.25" customHeight="1" hidden="1">
      <c r="A490" s="25" t="s">
        <v>291</v>
      </c>
      <c r="B490" s="20" t="s">
        <v>281</v>
      </c>
      <c r="C490" s="20" t="s">
        <v>135</v>
      </c>
      <c r="D490" s="20" t="s">
        <v>1017</v>
      </c>
      <c r="E490" s="20" t="s">
        <v>292</v>
      </c>
      <c r="F490" s="6">
        <f>'Пр.6 ведом.20'!G525</f>
        <v>0</v>
      </c>
    </row>
    <row r="491" spans="1:6" ht="39" customHeight="1" hidden="1">
      <c r="A491" s="25" t="s">
        <v>297</v>
      </c>
      <c r="B491" s="20" t="s">
        <v>281</v>
      </c>
      <c r="C491" s="20" t="s">
        <v>135</v>
      </c>
      <c r="D491" s="20" t="s">
        <v>1018</v>
      </c>
      <c r="E491" s="20"/>
      <c r="F491" s="6">
        <f>F492</f>
        <v>0</v>
      </c>
    </row>
    <row r="492" spans="1:6" ht="35.25" customHeight="1" hidden="1">
      <c r="A492" s="25" t="s">
        <v>289</v>
      </c>
      <c r="B492" s="20" t="s">
        <v>281</v>
      </c>
      <c r="C492" s="20" t="s">
        <v>135</v>
      </c>
      <c r="D492" s="20" t="s">
        <v>1018</v>
      </c>
      <c r="E492" s="20" t="s">
        <v>290</v>
      </c>
      <c r="F492" s="6">
        <f aca="true" t="shared" si="77" ref="F492">F493</f>
        <v>0</v>
      </c>
    </row>
    <row r="493" spans="1:6" ht="17.25" customHeight="1" hidden="1">
      <c r="A493" s="25" t="s">
        <v>291</v>
      </c>
      <c r="B493" s="20" t="s">
        <v>281</v>
      </c>
      <c r="C493" s="20" t="s">
        <v>135</v>
      </c>
      <c r="D493" s="20" t="s">
        <v>1018</v>
      </c>
      <c r="E493" s="20" t="s">
        <v>292</v>
      </c>
      <c r="F493" s="6">
        <f>'Пр.6 ведом.20'!G528</f>
        <v>0</v>
      </c>
    </row>
    <row r="494" spans="1:6" ht="15.75" customHeight="1">
      <c r="A494" s="25" t="s">
        <v>432</v>
      </c>
      <c r="B494" s="20" t="s">
        <v>281</v>
      </c>
      <c r="C494" s="20" t="s">
        <v>135</v>
      </c>
      <c r="D494" s="20" t="s">
        <v>1019</v>
      </c>
      <c r="E494" s="20"/>
      <c r="F494" s="6">
        <f>F495</f>
        <v>5170</v>
      </c>
    </row>
    <row r="495" spans="1:6" ht="31.5">
      <c r="A495" s="25" t="s">
        <v>289</v>
      </c>
      <c r="B495" s="20" t="s">
        <v>281</v>
      </c>
      <c r="C495" s="20" t="s">
        <v>135</v>
      </c>
      <c r="D495" s="20" t="s">
        <v>1019</v>
      </c>
      <c r="E495" s="20" t="s">
        <v>290</v>
      </c>
      <c r="F495" s="6">
        <f>F496</f>
        <v>5170</v>
      </c>
    </row>
    <row r="496" spans="1:6" ht="15.75">
      <c r="A496" s="25" t="s">
        <v>291</v>
      </c>
      <c r="B496" s="20" t="s">
        <v>281</v>
      </c>
      <c r="C496" s="20" t="s">
        <v>135</v>
      </c>
      <c r="D496" s="20" t="s">
        <v>1019</v>
      </c>
      <c r="E496" s="20" t="s">
        <v>292</v>
      </c>
      <c r="F496" s="6">
        <f>'Пр.6 ведом.20'!G531</f>
        <v>5170</v>
      </c>
    </row>
    <row r="497" spans="1:6" ht="31.5">
      <c r="A497" s="319" t="s">
        <v>1085</v>
      </c>
      <c r="B497" s="24" t="s">
        <v>281</v>
      </c>
      <c r="C497" s="24" t="s">
        <v>135</v>
      </c>
      <c r="D497" s="24" t="s">
        <v>1020</v>
      </c>
      <c r="E497" s="24"/>
      <c r="F497" s="4">
        <f>F498+F501+F504</f>
        <v>4215</v>
      </c>
    </row>
    <row r="498" spans="1:6" ht="31.5" hidden="1">
      <c r="A498" s="25" t="s">
        <v>301</v>
      </c>
      <c r="B498" s="20" t="s">
        <v>281</v>
      </c>
      <c r="C498" s="20" t="s">
        <v>135</v>
      </c>
      <c r="D498" s="20" t="s">
        <v>1021</v>
      </c>
      <c r="E498" s="20"/>
      <c r="F498" s="6">
        <f>F499</f>
        <v>0</v>
      </c>
    </row>
    <row r="499" spans="1:6" ht="31.5" hidden="1">
      <c r="A499" s="25" t="s">
        <v>289</v>
      </c>
      <c r="B499" s="20" t="s">
        <v>281</v>
      </c>
      <c r="C499" s="20" t="s">
        <v>135</v>
      </c>
      <c r="D499" s="20" t="s">
        <v>1021</v>
      </c>
      <c r="E499" s="20" t="s">
        <v>290</v>
      </c>
      <c r="F499" s="6">
        <f>F500</f>
        <v>0</v>
      </c>
    </row>
    <row r="500" spans="1:6" ht="15.75" hidden="1">
      <c r="A500" s="25" t="s">
        <v>291</v>
      </c>
      <c r="B500" s="20" t="s">
        <v>281</v>
      </c>
      <c r="C500" s="20" t="s">
        <v>135</v>
      </c>
      <c r="D500" s="20" t="s">
        <v>1021</v>
      </c>
      <c r="E500" s="20" t="s">
        <v>292</v>
      </c>
      <c r="F500" s="6">
        <f>'Пр.6 ведом.20'!G535</f>
        <v>0</v>
      </c>
    </row>
    <row r="501" spans="1:6" ht="31.5">
      <c r="A501" s="63" t="s">
        <v>789</v>
      </c>
      <c r="B501" s="20" t="s">
        <v>281</v>
      </c>
      <c r="C501" s="20" t="s">
        <v>135</v>
      </c>
      <c r="D501" s="20" t="s">
        <v>1022</v>
      </c>
      <c r="E501" s="20"/>
      <c r="F501" s="6">
        <f>F502</f>
        <v>2850</v>
      </c>
    </row>
    <row r="502" spans="1:6" ht="31.5">
      <c r="A502" s="30" t="s">
        <v>289</v>
      </c>
      <c r="B502" s="20" t="s">
        <v>281</v>
      </c>
      <c r="C502" s="20" t="s">
        <v>135</v>
      </c>
      <c r="D502" s="20" t="s">
        <v>1022</v>
      </c>
      <c r="E502" s="20" t="s">
        <v>290</v>
      </c>
      <c r="F502" s="6">
        <f>F503</f>
        <v>2850</v>
      </c>
    </row>
    <row r="503" spans="1:6" ht="15.75">
      <c r="A503" s="208" t="s">
        <v>291</v>
      </c>
      <c r="B503" s="20" t="s">
        <v>281</v>
      </c>
      <c r="C503" s="20" t="s">
        <v>135</v>
      </c>
      <c r="D503" s="20" t="s">
        <v>1022</v>
      </c>
      <c r="E503" s="20" t="s">
        <v>292</v>
      </c>
      <c r="F503" s="6">
        <f>'Пр.6 ведом.20'!G538</f>
        <v>2850</v>
      </c>
    </row>
    <row r="504" spans="1:6" ht="47.25">
      <c r="A504" s="63" t="s">
        <v>790</v>
      </c>
      <c r="B504" s="20" t="s">
        <v>281</v>
      </c>
      <c r="C504" s="20" t="s">
        <v>135</v>
      </c>
      <c r="D504" s="20" t="s">
        <v>1023</v>
      </c>
      <c r="E504" s="20"/>
      <c r="F504" s="6">
        <f>F505</f>
        <v>1364.9999999999998</v>
      </c>
    </row>
    <row r="505" spans="1:6" ht="31.5">
      <c r="A505" s="30" t="s">
        <v>289</v>
      </c>
      <c r="B505" s="20" t="s">
        <v>281</v>
      </c>
      <c r="C505" s="20" t="s">
        <v>135</v>
      </c>
      <c r="D505" s="20" t="s">
        <v>1023</v>
      </c>
      <c r="E505" s="20" t="s">
        <v>290</v>
      </c>
      <c r="F505" s="6">
        <f>F506</f>
        <v>1364.9999999999998</v>
      </c>
    </row>
    <row r="506" spans="1:6" ht="15.75">
      <c r="A506" s="208" t="s">
        <v>291</v>
      </c>
      <c r="B506" s="20" t="s">
        <v>281</v>
      </c>
      <c r="C506" s="20" t="s">
        <v>135</v>
      </c>
      <c r="D506" s="20" t="s">
        <v>1023</v>
      </c>
      <c r="E506" s="20" t="s">
        <v>292</v>
      </c>
      <c r="F506" s="6">
        <f>'Пр.6 ведом.20'!G541</f>
        <v>1364.9999999999998</v>
      </c>
    </row>
    <row r="507" spans="1:8" ht="65.25" customHeight="1">
      <c r="A507" s="23" t="s">
        <v>1024</v>
      </c>
      <c r="B507" s="24" t="s">
        <v>281</v>
      </c>
      <c r="C507" s="24" t="s">
        <v>135</v>
      </c>
      <c r="D507" s="24" t="s">
        <v>1025</v>
      </c>
      <c r="E507" s="24"/>
      <c r="F507" s="4">
        <f>F508+F511</f>
        <v>290.3</v>
      </c>
      <c r="H507" s="22"/>
    </row>
    <row r="508" spans="1:8" ht="141.75">
      <c r="A508" s="25" t="s">
        <v>833</v>
      </c>
      <c r="B508" s="20" t="s">
        <v>281</v>
      </c>
      <c r="C508" s="20" t="s">
        <v>135</v>
      </c>
      <c r="D508" s="20" t="s">
        <v>1026</v>
      </c>
      <c r="E508" s="20"/>
      <c r="F508" s="6">
        <f>F509</f>
        <v>124.4</v>
      </c>
      <c r="H508" s="22"/>
    </row>
    <row r="509" spans="1:8" ht="31.5">
      <c r="A509" s="30" t="s">
        <v>289</v>
      </c>
      <c r="B509" s="20" t="s">
        <v>281</v>
      </c>
      <c r="C509" s="20" t="s">
        <v>135</v>
      </c>
      <c r="D509" s="20" t="s">
        <v>1026</v>
      </c>
      <c r="E509" s="20" t="s">
        <v>290</v>
      </c>
      <c r="F509" s="6">
        <f>F510</f>
        <v>124.4</v>
      </c>
      <c r="H509" s="22"/>
    </row>
    <row r="510" spans="1:8" ht="15.75">
      <c r="A510" s="208" t="s">
        <v>291</v>
      </c>
      <c r="B510" s="20" t="s">
        <v>281</v>
      </c>
      <c r="C510" s="20" t="s">
        <v>135</v>
      </c>
      <c r="D510" s="20" t="s">
        <v>1026</v>
      </c>
      <c r="E510" s="20" t="s">
        <v>292</v>
      </c>
      <c r="F510" s="6">
        <f>'Пр.6 ведом.20'!G545</f>
        <v>124.4</v>
      </c>
      <c r="H510" s="22"/>
    </row>
    <row r="511" spans="1:6" ht="126">
      <c r="A511" s="25" t="s">
        <v>440</v>
      </c>
      <c r="B511" s="20" t="s">
        <v>281</v>
      </c>
      <c r="C511" s="20" t="s">
        <v>135</v>
      </c>
      <c r="D511" s="20" t="s">
        <v>1027</v>
      </c>
      <c r="E511" s="20"/>
      <c r="F511" s="6">
        <f aca="true" t="shared" si="78" ref="F511:F512">F512</f>
        <v>165.9</v>
      </c>
    </row>
    <row r="512" spans="1:6" ht="31.5">
      <c r="A512" s="25" t="s">
        <v>289</v>
      </c>
      <c r="B512" s="20" t="s">
        <v>281</v>
      </c>
      <c r="C512" s="20" t="s">
        <v>135</v>
      </c>
      <c r="D512" s="20" t="s">
        <v>1027</v>
      </c>
      <c r="E512" s="20" t="s">
        <v>290</v>
      </c>
      <c r="F512" s="6">
        <f t="shared" si="78"/>
        <v>165.9</v>
      </c>
    </row>
    <row r="513" spans="1:6" ht="15.75">
      <c r="A513" s="25" t="s">
        <v>291</v>
      </c>
      <c r="B513" s="20" t="s">
        <v>281</v>
      </c>
      <c r="C513" s="20" t="s">
        <v>135</v>
      </c>
      <c r="D513" s="20" t="s">
        <v>1027</v>
      </c>
      <c r="E513" s="20" t="s">
        <v>292</v>
      </c>
      <c r="F513" s="6">
        <f>'Пр.6 ведом.20'!G548</f>
        <v>165.9</v>
      </c>
    </row>
    <row r="514" spans="1:6" ht="65.25" customHeight="1" hidden="1">
      <c r="A514" s="35" t="s">
        <v>807</v>
      </c>
      <c r="B514" s="24" t="s">
        <v>281</v>
      </c>
      <c r="C514" s="24" t="s">
        <v>135</v>
      </c>
      <c r="D514" s="24" t="s">
        <v>341</v>
      </c>
      <c r="E514" s="24"/>
      <c r="F514" s="4">
        <f>F515</f>
        <v>0</v>
      </c>
    </row>
    <row r="515" spans="1:6" ht="63" hidden="1">
      <c r="A515" s="35" t="s">
        <v>1171</v>
      </c>
      <c r="B515" s="24" t="s">
        <v>281</v>
      </c>
      <c r="C515" s="24" t="s">
        <v>135</v>
      </c>
      <c r="D515" s="24" t="s">
        <v>1033</v>
      </c>
      <c r="E515" s="24"/>
      <c r="F515" s="4">
        <f>F516</f>
        <v>0</v>
      </c>
    </row>
    <row r="516" spans="1:6" ht="47.25" hidden="1">
      <c r="A516" s="32" t="s">
        <v>1170</v>
      </c>
      <c r="B516" s="20" t="s">
        <v>281</v>
      </c>
      <c r="C516" s="20" t="s">
        <v>135</v>
      </c>
      <c r="D516" s="20" t="s">
        <v>1034</v>
      </c>
      <c r="E516" s="20"/>
      <c r="F516" s="6">
        <f>F517</f>
        <v>0</v>
      </c>
    </row>
    <row r="517" spans="1:6" ht="31.5" hidden="1">
      <c r="A517" s="32" t="s">
        <v>289</v>
      </c>
      <c r="B517" s="20" t="s">
        <v>281</v>
      </c>
      <c r="C517" s="20" t="s">
        <v>135</v>
      </c>
      <c r="D517" s="20" t="s">
        <v>1034</v>
      </c>
      <c r="E517" s="20" t="s">
        <v>290</v>
      </c>
      <c r="F517" s="6">
        <f aca="true" t="shared" si="79" ref="F517">F518</f>
        <v>0</v>
      </c>
    </row>
    <row r="518" spans="1:6" ht="15.75" hidden="1">
      <c r="A518" s="32" t="s">
        <v>291</v>
      </c>
      <c r="B518" s="20" t="s">
        <v>281</v>
      </c>
      <c r="C518" s="20" t="s">
        <v>135</v>
      </c>
      <c r="D518" s="20" t="s">
        <v>1034</v>
      </c>
      <c r="E518" s="20" t="s">
        <v>292</v>
      </c>
      <c r="F518" s="6">
        <f>'Пр.6 ведом.20'!G553</f>
        <v>0</v>
      </c>
    </row>
    <row r="519" spans="1:6" ht="63">
      <c r="A519" s="42" t="s">
        <v>732</v>
      </c>
      <c r="B519" s="24" t="s">
        <v>281</v>
      </c>
      <c r="C519" s="24" t="s">
        <v>135</v>
      </c>
      <c r="D519" s="24" t="s">
        <v>730</v>
      </c>
      <c r="E519" s="324"/>
      <c r="F519" s="4">
        <f>F520</f>
        <v>464.3</v>
      </c>
    </row>
    <row r="520" spans="1:6" ht="47.25">
      <c r="A520" s="42" t="s">
        <v>954</v>
      </c>
      <c r="B520" s="24" t="s">
        <v>281</v>
      </c>
      <c r="C520" s="24" t="s">
        <v>135</v>
      </c>
      <c r="D520" s="24" t="s">
        <v>952</v>
      </c>
      <c r="E520" s="324"/>
      <c r="F520" s="4">
        <f aca="true" t="shared" si="80" ref="F520:F521">F521</f>
        <v>464.3</v>
      </c>
    </row>
    <row r="521" spans="1:6" ht="47.25">
      <c r="A521" s="107" t="s">
        <v>805</v>
      </c>
      <c r="B521" s="20" t="s">
        <v>281</v>
      </c>
      <c r="C521" s="20" t="s">
        <v>135</v>
      </c>
      <c r="D521" s="20" t="s">
        <v>1035</v>
      </c>
      <c r="E521" s="33"/>
      <c r="F521" s="6">
        <f t="shared" si="80"/>
        <v>464.3</v>
      </c>
    </row>
    <row r="522" spans="1:6" ht="31.5">
      <c r="A522" s="30" t="s">
        <v>289</v>
      </c>
      <c r="B522" s="20" t="s">
        <v>281</v>
      </c>
      <c r="C522" s="20" t="s">
        <v>135</v>
      </c>
      <c r="D522" s="20" t="s">
        <v>1035</v>
      </c>
      <c r="E522" s="33" t="s">
        <v>290</v>
      </c>
      <c r="F522" s="6">
        <f>F523</f>
        <v>464.3</v>
      </c>
    </row>
    <row r="523" spans="1:6" ht="24.75" customHeight="1">
      <c r="A523" s="208" t="s">
        <v>291</v>
      </c>
      <c r="B523" s="20" t="s">
        <v>281</v>
      </c>
      <c r="C523" s="20" t="s">
        <v>135</v>
      </c>
      <c r="D523" s="20" t="s">
        <v>1035</v>
      </c>
      <c r="E523" s="33" t="s">
        <v>292</v>
      </c>
      <c r="F523" s="6">
        <f>'Пр.6 ведом.20'!G558</f>
        <v>464.3</v>
      </c>
    </row>
    <row r="524" spans="1:8" ht="15.75">
      <c r="A524" s="42" t="s">
        <v>442</v>
      </c>
      <c r="B524" s="7" t="s">
        <v>281</v>
      </c>
      <c r="C524" s="7" t="s">
        <v>230</v>
      </c>
      <c r="D524" s="7"/>
      <c r="E524" s="7"/>
      <c r="F524" s="4">
        <f>F525+F592+F597</f>
        <v>139817.9</v>
      </c>
      <c r="H524" s="22"/>
    </row>
    <row r="525" spans="1:6" ht="47.25">
      <c r="A525" s="23" t="s">
        <v>443</v>
      </c>
      <c r="B525" s="24" t="s">
        <v>281</v>
      </c>
      <c r="C525" s="24" t="s">
        <v>230</v>
      </c>
      <c r="D525" s="24" t="s">
        <v>423</v>
      </c>
      <c r="E525" s="24"/>
      <c r="F525" s="4">
        <f>F526+F553</f>
        <v>139094.6</v>
      </c>
    </row>
    <row r="526" spans="1:6" ht="36" customHeight="1">
      <c r="A526" s="23" t="s">
        <v>424</v>
      </c>
      <c r="B526" s="24" t="s">
        <v>281</v>
      </c>
      <c r="C526" s="24" t="s">
        <v>230</v>
      </c>
      <c r="D526" s="24" t="s">
        <v>425</v>
      </c>
      <c r="E526" s="24"/>
      <c r="F526" s="4">
        <f>F527+F537</f>
        <v>130119.3</v>
      </c>
    </row>
    <row r="527" spans="1:6" ht="31.5">
      <c r="A527" s="23" t="s">
        <v>1036</v>
      </c>
      <c r="B527" s="24" t="s">
        <v>281</v>
      </c>
      <c r="C527" s="24" t="s">
        <v>230</v>
      </c>
      <c r="D527" s="24" t="s">
        <v>1014</v>
      </c>
      <c r="E527" s="24"/>
      <c r="F527" s="4">
        <f>F528+F531+F534</f>
        <v>29803</v>
      </c>
    </row>
    <row r="528" spans="1:6" ht="47.25">
      <c r="A528" s="25" t="s">
        <v>1076</v>
      </c>
      <c r="B528" s="20" t="s">
        <v>281</v>
      </c>
      <c r="C528" s="20" t="s">
        <v>230</v>
      </c>
      <c r="D528" s="20" t="s">
        <v>1073</v>
      </c>
      <c r="E528" s="20"/>
      <c r="F528" s="59">
        <f aca="true" t="shared" si="81" ref="F528">F529</f>
        <v>9775.400000000001</v>
      </c>
    </row>
    <row r="529" spans="1:6" ht="39.75" customHeight="1">
      <c r="A529" s="25" t="s">
        <v>289</v>
      </c>
      <c r="B529" s="20" t="s">
        <v>281</v>
      </c>
      <c r="C529" s="20" t="s">
        <v>230</v>
      </c>
      <c r="D529" s="20" t="s">
        <v>1073</v>
      </c>
      <c r="E529" s="20" t="s">
        <v>290</v>
      </c>
      <c r="F529" s="59">
        <f>'Пр.6 ведом.20'!G565</f>
        <v>9775.400000000001</v>
      </c>
    </row>
    <row r="530" spans="1:6" ht="15.75">
      <c r="A530" s="25" t="s">
        <v>291</v>
      </c>
      <c r="B530" s="20" t="s">
        <v>281</v>
      </c>
      <c r="C530" s="20" t="s">
        <v>230</v>
      </c>
      <c r="D530" s="20" t="s">
        <v>1073</v>
      </c>
      <c r="E530" s="20" t="s">
        <v>292</v>
      </c>
      <c r="F530" s="6">
        <f>'Пр.6 ведом.20'!G565</f>
        <v>9775.400000000001</v>
      </c>
    </row>
    <row r="531" spans="1:6" ht="47.25" customHeight="1">
      <c r="A531" s="25" t="s">
        <v>1077</v>
      </c>
      <c r="B531" s="20" t="s">
        <v>281</v>
      </c>
      <c r="C531" s="20" t="s">
        <v>230</v>
      </c>
      <c r="D531" s="20" t="s">
        <v>1074</v>
      </c>
      <c r="E531" s="20"/>
      <c r="F531" s="6">
        <f aca="true" t="shared" si="82" ref="F531:F532">F532</f>
        <v>13351.7</v>
      </c>
    </row>
    <row r="532" spans="1:6" ht="35.25" customHeight="1">
      <c r="A532" s="25" t="s">
        <v>289</v>
      </c>
      <c r="B532" s="20" t="s">
        <v>281</v>
      </c>
      <c r="C532" s="20" t="s">
        <v>230</v>
      </c>
      <c r="D532" s="20" t="s">
        <v>1074</v>
      </c>
      <c r="E532" s="20" t="s">
        <v>290</v>
      </c>
      <c r="F532" s="6">
        <f t="shared" si="82"/>
        <v>13351.7</v>
      </c>
    </row>
    <row r="533" spans="1:6" ht="15.75" customHeight="1">
      <c r="A533" s="25" t="s">
        <v>291</v>
      </c>
      <c r="B533" s="20" t="s">
        <v>281</v>
      </c>
      <c r="C533" s="20" t="s">
        <v>230</v>
      </c>
      <c r="D533" s="20" t="s">
        <v>1074</v>
      </c>
      <c r="E533" s="20" t="s">
        <v>292</v>
      </c>
      <c r="F533" s="6">
        <f>'Пр.6 ведом.20'!G568</f>
        <v>13351.7</v>
      </c>
    </row>
    <row r="534" spans="1:6" ht="52.5" customHeight="1">
      <c r="A534" s="25" t="s">
        <v>1078</v>
      </c>
      <c r="B534" s="20" t="s">
        <v>281</v>
      </c>
      <c r="C534" s="20" t="s">
        <v>230</v>
      </c>
      <c r="D534" s="20" t="s">
        <v>1075</v>
      </c>
      <c r="E534" s="20"/>
      <c r="F534" s="6">
        <f>F535</f>
        <v>6675.9</v>
      </c>
    </row>
    <row r="535" spans="1:6" ht="34.5" customHeight="1">
      <c r="A535" s="25" t="s">
        <v>289</v>
      </c>
      <c r="B535" s="20" t="s">
        <v>281</v>
      </c>
      <c r="C535" s="20" t="s">
        <v>230</v>
      </c>
      <c r="D535" s="20" t="s">
        <v>1075</v>
      </c>
      <c r="E535" s="20" t="s">
        <v>290</v>
      </c>
      <c r="F535" s="6">
        <f aca="true" t="shared" si="83" ref="F535">F536</f>
        <v>6675.9</v>
      </c>
    </row>
    <row r="536" spans="1:6" ht="15" customHeight="1">
      <c r="A536" s="25" t="s">
        <v>291</v>
      </c>
      <c r="B536" s="20" t="s">
        <v>281</v>
      </c>
      <c r="C536" s="20" t="s">
        <v>230</v>
      </c>
      <c r="D536" s="20" t="s">
        <v>1075</v>
      </c>
      <c r="E536" s="20" t="s">
        <v>292</v>
      </c>
      <c r="F536" s="6">
        <f>'Пр.6 ведом.20'!G571</f>
        <v>6675.9</v>
      </c>
    </row>
    <row r="537" spans="1:6" ht="47.25" customHeight="1">
      <c r="A537" s="23" t="s">
        <v>976</v>
      </c>
      <c r="B537" s="24" t="s">
        <v>281</v>
      </c>
      <c r="C537" s="24" t="s">
        <v>230</v>
      </c>
      <c r="D537" s="24" t="s">
        <v>1029</v>
      </c>
      <c r="E537" s="24"/>
      <c r="F537" s="4">
        <f>F538+F541+F544+F547+F550</f>
        <v>100316.3</v>
      </c>
    </row>
    <row r="538" spans="1:6" ht="31.5" customHeight="1">
      <c r="A538" s="32" t="s">
        <v>477</v>
      </c>
      <c r="B538" s="20" t="s">
        <v>281</v>
      </c>
      <c r="C538" s="20" t="s">
        <v>230</v>
      </c>
      <c r="D538" s="20" t="s">
        <v>1057</v>
      </c>
      <c r="E538" s="20"/>
      <c r="F538" s="6">
        <f>F539</f>
        <v>91447.9</v>
      </c>
    </row>
    <row r="539" spans="1:6" ht="35.25" customHeight="1">
      <c r="A539" s="25" t="s">
        <v>289</v>
      </c>
      <c r="B539" s="20" t="s">
        <v>281</v>
      </c>
      <c r="C539" s="20" t="s">
        <v>230</v>
      </c>
      <c r="D539" s="20" t="s">
        <v>1057</v>
      </c>
      <c r="E539" s="20" t="s">
        <v>290</v>
      </c>
      <c r="F539" s="6">
        <f aca="true" t="shared" si="84" ref="F539">F540</f>
        <v>91447.9</v>
      </c>
    </row>
    <row r="540" spans="1:6" ht="15.75" customHeight="1">
      <c r="A540" s="25" t="s">
        <v>291</v>
      </c>
      <c r="B540" s="20" t="s">
        <v>281</v>
      </c>
      <c r="C540" s="20" t="s">
        <v>230</v>
      </c>
      <c r="D540" s="20" t="s">
        <v>1057</v>
      </c>
      <c r="E540" s="20" t="s">
        <v>292</v>
      </c>
      <c r="F540" s="6">
        <f>'Пр.6 ведом.20'!G575</f>
        <v>91447.9</v>
      </c>
    </row>
    <row r="541" spans="1:6" ht="15.75" customHeight="1">
      <c r="A541" s="32" t="s">
        <v>306</v>
      </c>
      <c r="B541" s="20" t="s">
        <v>281</v>
      </c>
      <c r="C541" s="20" t="s">
        <v>230</v>
      </c>
      <c r="D541" s="20" t="s">
        <v>1028</v>
      </c>
      <c r="E541" s="20"/>
      <c r="F541" s="6">
        <f>F542</f>
        <v>809.4</v>
      </c>
    </row>
    <row r="542" spans="1:6" ht="31.5" customHeight="1">
      <c r="A542" s="25" t="s">
        <v>289</v>
      </c>
      <c r="B542" s="20" t="s">
        <v>281</v>
      </c>
      <c r="C542" s="20" t="s">
        <v>230</v>
      </c>
      <c r="D542" s="20" t="s">
        <v>1028</v>
      </c>
      <c r="E542" s="20" t="s">
        <v>290</v>
      </c>
      <c r="F542" s="6">
        <f aca="true" t="shared" si="85" ref="F542">F543</f>
        <v>809.4</v>
      </c>
    </row>
    <row r="543" spans="1:6" ht="18" customHeight="1">
      <c r="A543" s="25" t="s">
        <v>291</v>
      </c>
      <c r="B543" s="20" t="s">
        <v>281</v>
      </c>
      <c r="C543" s="20" t="s">
        <v>230</v>
      </c>
      <c r="D543" s="20" t="s">
        <v>1028</v>
      </c>
      <c r="E543" s="20" t="s">
        <v>292</v>
      </c>
      <c r="F543" s="6">
        <f>'Пр.6 ведом.20'!G578</f>
        <v>809.4</v>
      </c>
    </row>
    <row r="544" spans="1:6" ht="67.5" customHeight="1">
      <c r="A544" s="32" t="s">
        <v>308</v>
      </c>
      <c r="B544" s="20" t="s">
        <v>281</v>
      </c>
      <c r="C544" s="20" t="s">
        <v>230</v>
      </c>
      <c r="D544" s="20" t="s">
        <v>1031</v>
      </c>
      <c r="E544" s="20"/>
      <c r="F544" s="6">
        <f>F545</f>
        <v>2442.6</v>
      </c>
    </row>
    <row r="545" spans="1:8" ht="34.5" customHeight="1">
      <c r="A545" s="25" t="s">
        <v>289</v>
      </c>
      <c r="B545" s="20" t="s">
        <v>281</v>
      </c>
      <c r="C545" s="20" t="s">
        <v>230</v>
      </c>
      <c r="D545" s="20" t="s">
        <v>1031</v>
      </c>
      <c r="E545" s="20" t="s">
        <v>290</v>
      </c>
      <c r="F545" s="6">
        <f aca="true" t="shared" si="86" ref="F545">F546</f>
        <v>2442.6</v>
      </c>
      <c r="G545" s="22"/>
      <c r="H545" s="22"/>
    </row>
    <row r="546" spans="1:6" ht="15.75">
      <c r="A546" s="25" t="s">
        <v>291</v>
      </c>
      <c r="B546" s="20" t="s">
        <v>281</v>
      </c>
      <c r="C546" s="20" t="s">
        <v>230</v>
      </c>
      <c r="D546" s="20" t="s">
        <v>1031</v>
      </c>
      <c r="E546" s="20" t="s">
        <v>292</v>
      </c>
      <c r="F546" s="6">
        <f>'Пр.6 ведом.20'!G581</f>
        <v>2442.6</v>
      </c>
    </row>
    <row r="547" spans="1:6" ht="47.25">
      <c r="A547" s="32" t="s">
        <v>479</v>
      </c>
      <c r="B547" s="20" t="s">
        <v>281</v>
      </c>
      <c r="C547" s="20" t="s">
        <v>230</v>
      </c>
      <c r="D547" s="20" t="s">
        <v>1058</v>
      </c>
      <c r="E547" s="20"/>
      <c r="F547" s="6">
        <f>F548</f>
        <v>946.8</v>
      </c>
    </row>
    <row r="548" spans="1:6" ht="36" customHeight="1">
      <c r="A548" s="25" t="s">
        <v>289</v>
      </c>
      <c r="B548" s="20" t="s">
        <v>281</v>
      </c>
      <c r="C548" s="20" t="s">
        <v>230</v>
      </c>
      <c r="D548" s="20" t="s">
        <v>1058</v>
      </c>
      <c r="E548" s="20" t="s">
        <v>290</v>
      </c>
      <c r="F548" s="6">
        <f aca="true" t="shared" si="87" ref="F548">F549</f>
        <v>946.8</v>
      </c>
    </row>
    <row r="549" spans="1:6" ht="15.75">
      <c r="A549" s="25" t="s">
        <v>291</v>
      </c>
      <c r="B549" s="20" t="s">
        <v>281</v>
      </c>
      <c r="C549" s="20" t="s">
        <v>230</v>
      </c>
      <c r="D549" s="20" t="s">
        <v>1058</v>
      </c>
      <c r="E549" s="20" t="s">
        <v>292</v>
      </c>
      <c r="F549" s="6">
        <f>'Пр.6 ведом.20'!G584</f>
        <v>946.8</v>
      </c>
    </row>
    <row r="550" spans="1:6" ht="94.5">
      <c r="A550" s="32" t="s">
        <v>481</v>
      </c>
      <c r="B550" s="20" t="s">
        <v>281</v>
      </c>
      <c r="C550" s="20" t="s">
        <v>230</v>
      </c>
      <c r="D550" s="20" t="s">
        <v>1032</v>
      </c>
      <c r="E550" s="20"/>
      <c r="F550" s="6">
        <f>F551</f>
        <v>4669.6</v>
      </c>
    </row>
    <row r="551" spans="1:6" ht="37.5" customHeight="1">
      <c r="A551" s="25" t="s">
        <v>289</v>
      </c>
      <c r="B551" s="20" t="s">
        <v>281</v>
      </c>
      <c r="C551" s="20" t="s">
        <v>230</v>
      </c>
      <c r="D551" s="20" t="s">
        <v>1032</v>
      </c>
      <c r="E551" s="20" t="s">
        <v>290</v>
      </c>
      <c r="F551" s="6">
        <f>F552</f>
        <v>4669.6</v>
      </c>
    </row>
    <row r="552" spans="1:6" ht="15.75">
      <c r="A552" s="25" t="s">
        <v>291</v>
      </c>
      <c r="B552" s="20" t="s">
        <v>281</v>
      </c>
      <c r="C552" s="20" t="s">
        <v>230</v>
      </c>
      <c r="D552" s="20" t="s">
        <v>1032</v>
      </c>
      <c r="E552" s="20" t="s">
        <v>292</v>
      </c>
      <c r="F552" s="6">
        <f>'Пр.6 ведом.20'!G587</f>
        <v>4669.6</v>
      </c>
    </row>
    <row r="553" spans="1:6" ht="31.5">
      <c r="A553" s="386" t="s">
        <v>447</v>
      </c>
      <c r="B553" s="24" t="s">
        <v>281</v>
      </c>
      <c r="C553" s="24" t="s">
        <v>230</v>
      </c>
      <c r="D553" s="24" t="s">
        <v>448</v>
      </c>
      <c r="E553" s="24"/>
      <c r="F553" s="4">
        <f>F554+F567+F574+F581+F588</f>
        <v>8975.3</v>
      </c>
    </row>
    <row r="554" spans="1:6" ht="31.5">
      <c r="A554" s="23" t="s">
        <v>1285</v>
      </c>
      <c r="B554" s="24" t="s">
        <v>281</v>
      </c>
      <c r="C554" s="24" t="s">
        <v>230</v>
      </c>
      <c r="D554" s="24" t="s">
        <v>1038</v>
      </c>
      <c r="E554" s="24"/>
      <c r="F554" s="4">
        <f>F555+F558+F561+F564</f>
        <v>224</v>
      </c>
    </row>
    <row r="555" spans="1:6" ht="36" customHeight="1" hidden="1">
      <c r="A555" s="25" t="s">
        <v>457</v>
      </c>
      <c r="B555" s="20" t="s">
        <v>281</v>
      </c>
      <c r="C555" s="20" t="s">
        <v>230</v>
      </c>
      <c r="D555" s="20" t="s">
        <v>1042</v>
      </c>
      <c r="E555" s="20"/>
      <c r="F555" s="6">
        <f aca="true" t="shared" si="88" ref="F555">F556</f>
        <v>0</v>
      </c>
    </row>
    <row r="556" spans="1:6" ht="35.25" customHeight="1" hidden="1">
      <c r="A556" s="25" t="s">
        <v>289</v>
      </c>
      <c r="B556" s="20" t="s">
        <v>281</v>
      </c>
      <c r="C556" s="20" t="s">
        <v>230</v>
      </c>
      <c r="D556" s="20" t="s">
        <v>1042</v>
      </c>
      <c r="E556" s="20" t="s">
        <v>290</v>
      </c>
      <c r="F556" s="6">
        <f>F557</f>
        <v>0</v>
      </c>
    </row>
    <row r="557" spans="1:6" ht="15.75" hidden="1">
      <c r="A557" s="25" t="s">
        <v>291</v>
      </c>
      <c r="B557" s="20" t="s">
        <v>281</v>
      </c>
      <c r="C557" s="20" t="s">
        <v>230</v>
      </c>
      <c r="D557" s="20" t="s">
        <v>1042</v>
      </c>
      <c r="E557" s="20" t="s">
        <v>292</v>
      </c>
      <c r="F557" s="6">
        <f>'Пр.6 ведом.20'!G592</f>
        <v>0</v>
      </c>
    </row>
    <row r="558" spans="1:6" ht="31.5" hidden="1">
      <c r="A558" s="25" t="s">
        <v>295</v>
      </c>
      <c r="B558" s="20" t="s">
        <v>281</v>
      </c>
      <c r="C558" s="20" t="s">
        <v>230</v>
      </c>
      <c r="D558" s="20" t="s">
        <v>1043</v>
      </c>
      <c r="E558" s="20"/>
      <c r="F558" s="6">
        <f aca="true" t="shared" si="89" ref="F558">F559</f>
        <v>0</v>
      </c>
    </row>
    <row r="559" spans="1:6" ht="37.5" customHeight="1" hidden="1">
      <c r="A559" s="25" t="s">
        <v>289</v>
      </c>
      <c r="B559" s="20" t="s">
        <v>281</v>
      </c>
      <c r="C559" s="20" t="s">
        <v>230</v>
      </c>
      <c r="D559" s="20" t="s">
        <v>1043</v>
      </c>
      <c r="E559" s="20" t="s">
        <v>290</v>
      </c>
      <c r="F559" s="6">
        <f>F560</f>
        <v>0</v>
      </c>
    </row>
    <row r="560" spans="1:6" ht="15.75" hidden="1">
      <c r="A560" s="25" t="s">
        <v>291</v>
      </c>
      <c r="B560" s="20" t="s">
        <v>281</v>
      </c>
      <c r="C560" s="20" t="s">
        <v>230</v>
      </c>
      <c r="D560" s="20" t="s">
        <v>1043</v>
      </c>
      <c r="E560" s="20" t="s">
        <v>292</v>
      </c>
      <c r="F560" s="6">
        <f>'Пр.6 ведом.20'!G595</f>
        <v>0</v>
      </c>
    </row>
    <row r="561" spans="1:6" ht="31.5" hidden="1">
      <c r="A561" s="25" t="s">
        <v>297</v>
      </c>
      <c r="B561" s="20" t="s">
        <v>281</v>
      </c>
      <c r="C561" s="20" t="s">
        <v>230</v>
      </c>
      <c r="D561" s="20" t="s">
        <v>1044</v>
      </c>
      <c r="E561" s="20"/>
      <c r="F561" s="6">
        <f aca="true" t="shared" si="90" ref="F561">F562</f>
        <v>0</v>
      </c>
    </row>
    <row r="562" spans="1:6" ht="31.5" customHeight="1" hidden="1">
      <c r="A562" s="25" t="s">
        <v>289</v>
      </c>
      <c r="B562" s="20" t="s">
        <v>281</v>
      </c>
      <c r="C562" s="20" t="s">
        <v>230</v>
      </c>
      <c r="D562" s="20" t="s">
        <v>1044</v>
      </c>
      <c r="E562" s="20" t="s">
        <v>290</v>
      </c>
      <c r="F562" s="6">
        <f>F563</f>
        <v>0</v>
      </c>
    </row>
    <row r="563" spans="1:6" ht="15.75" hidden="1">
      <c r="A563" s="25" t="s">
        <v>291</v>
      </c>
      <c r="B563" s="20" t="s">
        <v>281</v>
      </c>
      <c r="C563" s="20" t="s">
        <v>230</v>
      </c>
      <c r="D563" s="20" t="s">
        <v>1044</v>
      </c>
      <c r="E563" s="20" t="s">
        <v>292</v>
      </c>
      <c r="F563" s="6">
        <f>'Пр.6 ведом.20'!G598</f>
        <v>0</v>
      </c>
    </row>
    <row r="564" spans="1:6" ht="31.5">
      <c r="A564" s="25" t="s">
        <v>299</v>
      </c>
      <c r="B564" s="20" t="s">
        <v>281</v>
      </c>
      <c r="C564" s="20" t="s">
        <v>230</v>
      </c>
      <c r="D564" s="20" t="s">
        <v>1045</v>
      </c>
      <c r="E564" s="20"/>
      <c r="F564" s="6">
        <f aca="true" t="shared" si="91" ref="F564">F565</f>
        <v>224</v>
      </c>
    </row>
    <row r="565" spans="1:6" ht="36" customHeight="1">
      <c r="A565" s="25" t="s">
        <v>289</v>
      </c>
      <c r="B565" s="20" t="s">
        <v>281</v>
      </c>
      <c r="C565" s="20" t="s">
        <v>230</v>
      </c>
      <c r="D565" s="20" t="s">
        <v>1045</v>
      </c>
      <c r="E565" s="20" t="s">
        <v>290</v>
      </c>
      <c r="F565" s="6">
        <f>F566</f>
        <v>224</v>
      </c>
    </row>
    <row r="566" spans="1:6" ht="15" customHeight="1">
      <c r="A566" s="25" t="s">
        <v>291</v>
      </c>
      <c r="B566" s="20" t="s">
        <v>281</v>
      </c>
      <c r="C566" s="20" t="s">
        <v>230</v>
      </c>
      <c r="D566" s="20" t="s">
        <v>1045</v>
      </c>
      <c r="E566" s="20" t="s">
        <v>292</v>
      </c>
      <c r="F566" s="6">
        <f>'Пр.6 ведом.20'!G601</f>
        <v>224</v>
      </c>
    </row>
    <row r="567" spans="1:6" ht="35.25" customHeight="1">
      <c r="A567" s="23" t="s">
        <v>1039</v>
      </c>
      <c r="B567" s="24" t="s">
        <v>281</v>
      </c>
      <c r="C567" s="24" t="s">
        <v>230</v>
      </c>
      <c r="D567" s="24" t="s">
        <v>1040</v>
      </c>
      <c r="E567" s="24"/>
      <c r="F567" s="4">
        <f>F568+F571</f>
        <v>4582.6</v>
      </c>
    </row>
    <row r="568" spans="1:6" s="252" customFormat="1" ht="46.5" customHeight="1">
      <c r="A568" s="307" t="s">
        <v>453</v>
      </c>
      <c r="B568" s="20" t="s">
        <v>281</v>
      </c>
      <c r="C568" s="20" t="s">
        <v>230</v>
      </c>
      <c r="D568" s="20" t="s">
        <v>1046</v>
      </c>
      <c r="E568" s="20"/>
      <c r="F568" s="6">
        <f>F569</f>
        <v>2914.0000000000005</v>
      </c>
    </row>
    <row r="569" spans="1:6" s="252" customFormat="1" ht="38.25" customHeight="1">
      <c r="A569" s="25" t="s">
        <v>289</v>
      </c>
      <c r="B569" s="20" t="s">
        <v>281</v>
      </c>
      <c r="C569" s="20" t="s">
        <v>230</v>
      </c>
      <c r="D569" s="20" t="s">
        <v>1046</v>
      </c>
      <c r="E569" s="20" t="s">
        <v>290</v>
      </c>
      <c r="F569" s="6">
        <f>F570</f>
        <v>2914.0000000000005</v>
      </c>
    </row>
    <row r="570" spans="1:6" s="252" customFormat="1" ht="14.25" customHeight="1">
      <c r="A570" s="25" t="s">
        <v>291</v>
      </c>
      <c r="B570" s="20" t="s">
        <v>281</v>
      </c>
      <c r="C570" s="20" t="s">
        <v>230</v>
      </c>
      <c r="D570" s="20" t="s">
        <v>1046</v>
      </c>
      <c r="E570" s="20" t="s">
        <v>292</v>
      </c>
      <c r="F570" s="6">
        <f>'Пр.6 ведом.20'!G605</f>
        <v>2914.0000000000005</v>
      </c>
    </row>
    <row r="571" spans="1:6" ht="30.75" customHeight="1">
      <c r="A571" s="25" t="s">
        <v>473</v>
      </c>
      <c r="B571" s="20" t="s">
        <v>281</v>
      </c>
      <c r="C571" s="20" t="s">
        <v>230</v>
      </c>
      <c r="D571" s="20" t="s">
        <v>1047</v>
      </c>
      <c r="E571" s="20"/>
      <c r="F571" s="6">
        <f>F572</f>
        <v>1668.6</v>
      </c>
    </row>
    <row r="572" spans="1:6" ht="35.25" customHeight="1">
      <c r="A572" s="25" t="s">
        <v>289</v>
      </c>
      <c r="B572" s="20" t="s">
        <v>281</v>
      </c>
      <c r="C572" s="20" t="s">
        <v>230</v>
      </c>
      <c r="D572" s="20" t="s">
        <v>1047</v>
      </c>
      <c r="E572" s="20" t="s">
        <v>290</v>
      </c>
      <c r="F572" s="6">
        <f>F573</f>
        <v>1668.6</v>
      </c>
    </row>
    <row r="573" spans="1:6" ht="18" customHeight="1">
      <c r="A573" s="25" t="s">
        <v>291</v>
      </c>
      <c r="B573" s="20" t="s">
        <v>281</v>
      </c>
      <c r="C573" s="20" t="s">
        <v>230</v>
      </c>
      <c r="D573" s="20" t="s">
        <v>1047</v>
      </c>
      <c r="E573" s="20" t="s">
        <v>292</v>
      </c>
      <c r="F573" s="6">
        <f>'Пр.6 ведом.20'!G608</f>
        <v>1668.6</v>
      </c>
    </row>
    <row r="574" spans="1:6" ht="32.25" customHeight="1">
      <c r="A574" s="23" t="s">
        <v>1041</v>
      </c>
      <c r="B574" s="24" t="s">
        <v>281</v>
      </c>
      <c r="C574" s="24" t="s">
        <v>230</v>
      </c>
      <c r="D574" s="24" t="s">
        <v>1048</v>
      </c>
      <c r="E574" s="24"/>
      <c r="F574" s="4">
        <f>F575+F578</f>
        <v>912.7</v>
      </c>
    </row>
    <row r="575" spans="1:6" ht="48.75" customHeight="1">
      <c r="A575" s="25" t="s">
        <v>455</v>
      </c>
      <c r="B575" s="20" t="s">
        <v>281</v>
      </c>
      <c r="C575" s="20" t="s">
        <v>230</v>
      </c>
      <c r="D575" s="20" t="s">
        <v>1049</v>
      </c>
      <c r="E575" s="20"/>
      <c r="F575" s="6">
        <f>F576</f>
        <v>416</v>
      </c>
    </row>
    <row r="576" spans="1:6" ht="37.5" customHeight="1">
      <c r="A576" s="25" t="s">
        <v>289</v>
      </c>
      <c r="B576" s="20" t="s">
        <v>281</v>
      </c>
      <c r="C576" s="20" t="s">
        <v>230</v>
      </c>
      <c r="D576" s="20" t="s">
        <v>1049</v>
      </c>
      <c r="E576" s="20" t="s">
        <v>290</v>
      </c>
      <c r="F576" s="6">
        <f>F577</f>
        <v>416</v>
      </c>
    </row>
    <row r="577" spans="1:6" ht="15" customHeight="1">
      <c r="A577" s="25" t="s">
        <v>291</v>
      </c>
      <c r="B577" s="20" t="s">
        <v>281</v>
      </c>
      <c r="C577" s="20" t="s">
        <v>230</v>
      </c>
      <c r="D577" s="20" t="s">
        <v>1049</v>
      </c>
      <c r="E577" s="20" t="s">
        <v>292</v>
      </c>
      <c r="F577" s="6">
        <f>'Пр.6 ведом.20'!G612</f>
        <v>416</v>
      </c>
    </row>
    <row r="578" spans="1:6" ht="45" customHeight="1">
      <c r="A578" s="25" t="s">
        <v>475</v>
      </c>
      <c r="B578" s="20" t="s">
        <v>281</v>
      </c>
      <c r="C578" s="20" t="s">
        <v>230</v>
      </c>
      <c r="D578" s="20" t="s">
        <v>1050</v>
      </c>
      <c r="E578" s="20"/>
      <c r="F578" s="6">
        <f>F579</f>
        <v>496.7</v>
      </c>
    </row>
    <row r="579" spans="1:6" ht="36" customHeight="1">
      <c r="A579" s="387" t="s">
        <v>289</v>
      </c>
      <c r="B579" s="20" t="s">
        <v>281</v>
      </c>
      <c r="C579" s="20" t="s">
        <v>230</v>
      </c>
      <c r="D579" s="20" t="s">
        <v>1050</v>
      </c>
      <c r="E579" s="20" t="s">
        <v>290</v>
      </c>
      <c r="F579" s="6">
        <f>F580</f>
        <v>496.7</v>
      </c>
    </row>
    <row r="580" spans="1:6" ht="15.75">
      <c r="A580" s="25" t="s">
        <v>291</v>
      </c>
      <c r="B580" s="20" t="s">
        <v>281</v>
      </c>
      <c r="C580" s="20" t="s">
        <v>230</v>
      </c>
      <c r="D580" s="20" t="s">
        <v>1050</v>
      </c>
      <c r="E580" s="20" t="s">
        <v>292</v>
      </c>
      <c r="F580" s="6">
        <f>'Пр.6 ведом.20'!G615</f>
        <v>496.7</v>
      </c>
    </row>
    <row r="581" spans="1:8" ht="31.5">
      <c r="A581" s="319" t="s">
        <v>1085</v>
      </c>
      <c r="B581" s="24" t="s">
        <v>281</v>
      </c>
      <c r="C581" s="24" t="s">
        <v>230</v>
      </c>
      <c r="D581" s="24" t="s">
        <v>1051</v>
      </c>
      <c r="E581" s="24"/>
      <c r="F581" s="4">
        <f>F582+F585</f>
        <v>2634</v>
      </c>
      <c r="H581" s="22"/>
    </row>
    <row r="582" spans="1:6" ht="33.75" customHeight="1" hidden="1">
      <c r="A582" s="25" t="s">
        <v>301</v>
      </c>
      <c r="B582" s="20" t="s">
        <v>281</v>
      </c>
      <c r="C582" s="20" t="s">
        <v>230</v>
      </c>
      <c r="D582" s="20" t="s">
        <v>1053</v>
      </c>
      <c r="E582" s="20"/>
      <c r="F582" s="6">
        <f aca="true" t="shared" si="92" ref="F582:F583">F583</f>
        <v>0</v>
      </c>
    </row>
    <row r="583" spans="1:6" ht="33.75" customHeight="1" hidden="1">
      <c r="A583" s="25" t="s">
        <v>289</v>
      </c>
      <c r="B583" s="20" t="s">
        <v>281</v>
      </c>
      <c r="C583" s="20" t="s">
        <v>230</v>
      </c>
      <c r="D583" s="20" t="s">
        <v>1053</v>
      </c>
      <c r="E583" s="20" t="s">
        <v>290</v>
      </c>
      <c r="F583" s="6">
        <f t="shared" si="92"/>
        <v>0</v>
      </c>
    </row>
    <row r="584" spans="1:6" ht="15.75" customHeight="1" hidden="1">
      <c r="A584" s="25" t="s">
        <v>291</v>
      </c>
      <c r="B584" s="20" t="s">
        <v>281</v>
      </c>
      <c r="C584" s="20" t="s">
        <v>230</v>
      </c>
      <c r="D584" s="20" t="s">
        <v>1053</v>
      </c>
      <c r="E584" s="20" t="s">
        <v>292</v>
      </c>
      <c r="F584" s="6">
        <f>'Пр.6 ведом.20'!G619</f>
        <v>0</v>
      </c>
    </row>
    <row r="585" spans="1:6" ht="36" customHeight="1">
      <c r="A585" s="63" t="s">
        <v>789</v>
      </c>
      <c r="B585" s="20" t="s">
        <v>281</v>
      </c>
      <c r="C585" s="20" t="s">
        <v>230</v>
      </c>
      <c r="D585" s="20" t="s">
        <v>1054</v>
      </c>
      <c r="E585" s="20"/>
      <c r="F585" s="6">
        <f aca="true" t="shared" si="93" ref="F585:F586">F586</f>
        <v>2634</v>
      </c>
    </row>
    <row r="586" spans="1:6" ht="33.75" customHeight="1">
      <c r="A586" s="30" t="s">
        <v>289</v>
      </c>
      <c r="B586" s="20" t="s">
        <v>281</v>
      </c>
      <c r="C586" s="20" t="s">
        <v>230</v>
      </c>
      <c r="D586" s="20" t="s">
        <v>1054</v>
      </c>
      <c r="E586" s="20" t="s">
        <v>290</v>
      </c>
      <c r="F586" s="6">
        <f t="shared" si="93"/>
        <v>2634</v>
      </c>
    </row>
    <row r="587" spans="1:6" ht="15.75" customHeight="1">
      <c r="A587" s="208" t="s">
        <v>291</v>
      </c>
      <c r="B587" s="20" t="s">
        <v>281</v>
      </c>
      <c r="C587" s="20" t="s">
        <v>230</v>
      </c>
      <c r="D587" s="20" t="s">
        <v>1054</v>
      </c>
      <c r="E587" s="20" t="s">
        <v>292</v>
      </c>
      <c r="F587" s="6">
        <f>'Пр.6 ведом.20'!G622</f>
        <v>2634</v>
      </c>
    </row>
    <row r="588" spans="1:6" ht="31.5" customHeight="1">
      <c r="A588" s="317" t="s">
        <v>1056</v>
      </c>
      <c r="B588" s="24" t="s">
        <v>281</v>
      </c>
      <c r="C588" s="24" t="s">
        <v>230</v>
      </c>
      <c r="D588" s="24" t="s">
        <v>1052</v>
      </c>
      <c r="E588" s="24"/>
      <c r="F588" s="4">
        <f aca="true" t="shared" si="94" ref="F588:F589">F589</f>
        <v>622</v>
      </c>
    </row>
    <row r="589" spans="1:6" ht="51" customHeight="1">
      <c r="A589" s="208" t="s">
        <v>878</v>
      </c>
      <c r="B589" s="20" t="s">
        <v>281</v>
      </c>
      <c r="C589" s="20" t="s">
        <v>230</v>
      </c>
      <c r="D589" s="20" t="s">
        <v>1055</v>
      </c>
      <c r="E589" s="20"/>
      <c r="F589" s="6">
        <f t="shared" si="94"/>
        <v>622</v>
      </c>
    </row>
    <row r="590" spans="1:6" ht="33" customHeight="1">
      <c r="A590" s="32" t="s">
        <v>289</v>
      </c>
      <c r="B590" s="20" t="s">
        <v>281</v>
      </c>
      <c r="C590" s="20" t="s">
        <v>230</v>
      </c>
      <c r="D590" s="20" t="s">
        <v>1055</v>
      </c>
      <c r="E590" s="20" t="s">
        <v>290</v>
      </c>
      <c r="F590" s="6">
        <f>F591</f>
        <v>622</v>
      </c>
    </row>
    <row r="591" spans="1:6" ht="15.75">
      <c r="A591" s="32" t="s">
        <v>291</v>
      </c>
      <c r="B591" s="20" t="s">
        <v>281</v>
      </c>
      <c r="C591" s="20" t="s">
        <v>230</v>
      </c>
      <c r="D591" s="20" t="s">
        <v>1055</v>
      </c>
      <c r="E591" s="20" t="s">
        <v>292</v>
      </c>
      <c r="F591" s="6">
        <f>'Пр.6 ведом.20'!G626</f>
        <v>622</v>
      </c>
    </row>
    <row r="592" spans="1:6" ht="63" customHeight="1" hidden="1">
      <c r="A592" s="35" t="s">
        <v>807</v>
      </c>
      <c r="B592" s="24" t="s">
        <v>281</v>
      </c>
      <c r="C592" s="24" t="s">
        <v>230</v>
      </c>
      <c r="D592" s="24" t="s">
        <v>341</v>
      </c>
      <c r="E592" s="24"/>
      <c r="F592" s="4">
        <f aca="true" t="shared" si="95" ref="F592">F593</f>
        <v>0</v>
      </c>
    </row>
    <row r="593" spans="1:6" ht="63" hidden="1">
      <c r="A593" s="35" t="s">
        <v>1201</v>
      </c>
      <c r="B593" s="24" t="s">
        <v>281</v>
      </c>
      <c r="C593" s="24" t="s">
        <v>230</v>
      </c>
      <c r="D593" s="24" t="s">
        <v>1033</v>
      </c>
      <c r="E593" s="24"/>
      <c r="F593" s="4">
        <f>F594</f>
        <v>0</v>
      </c>
    </row>
    <row r="594" spans="1:6" ht="47.25" hidden="1">
      <c r="A594" s="32" t="s">
        <v>1170</v>
      </c>
      <c r="B594" s="20" t="s">
        <v>281</v>
      </c>
      <c r="C594" s="20" t="s">
        <v>230</v>
      </c>
      <c r="D594" s="20" t="s">
        <v>1034</v>
      </c>
      <c r="E594" s="20"/>
      <c r="F594" s="6">
        <f aca="true" t="shared" si="96" ref="F594:F595">F595</f>
        <v>0</v>
      </c>
    </row>
    <row r="595" spans="1:6" ht="31.5" hidden="1">
      <c r="A595" s="32" t="s">
        <v>289</v>
      </c>
      <c r="B595" s="20" t="s">
        <v>281</v>
      </c>
      <c r="C595" s="20" t="s">
        <v>230</v>
      </c>
      <c r="D595" s="20" t="s">
        <v>1034</v>
      </c>
      <c r="E595" s="20" t="s">
        <v>290</v>
      </c>
      <c r="F595" s="6">
        <f t="shared" si="96"/>
        <v>0</v>
      </c>
    </row>
    <row r="596" spans="1:6" ht="15.75" hidden="1">
      <c r="A596" s="32" t="s">
        <v>291</v>
      </c>
      <c r="B596" s="20" t="s">
        <v>281</v>
      </c>
      <c r="C596" s="20" t="s">
        <v>230</v>
      </c>
      <c r="D596" s="20" t="s">
        <v>1034</v>
      </c>
      <c r="E596" s="20" t="s">
        <v>292</v>
      </c>
      <c r="F596" s="6">
        <f>'Пр.6 ведом.20'!G631</f>
        <v>0</v>
      </c>
    </row>
    <row r="597" spans="1:6" ht="63">
      <c r="A597" s="42" t="s">
        <v>1188</v>
      </c>
      <c r="B597" s="24" t="s">
        <v>281</v>
      </c>
      <c r="C597" s="24" t="s">
        <v>230</v>
      </c>
      <c r="D597" s="24" t="s">
        <v>730</v>
      </c>
      <c r="E597" s="324"/>
      <c r="F597" s="4">
        <f aca="true" t="shared" si="97" ref="F597:F598">F598</f>
        <v>723.3</v>
      </c>
    </row>
    <row r="598" spans="1:6" ht="47.25">
      <c r="A598" s="42" t="s">
        <v>954</v>
      </c>
      <c r="B598" s="24" t="s">
        <v>281</v>
      </c>
      <c r="C598" s="24" t="s">
        <v>230</v>
      </c>
      <c r="D598" s="24" t="s">
        <v>952</v>
      </c>
      <c r="E598" s="324"/>
      <c r="F598" s="4">
        <f t="shared" si="97"/>
        <v>723.3</v>
      </c>
    </row>
    <row r="599" spans="1:6" ht="47.25">
      <c r="A599" s="107" t="s">
        <v>805</v>
      </c>
      <c r="B599" s="20" t="s">
        <v>281</v>
      </c>
      <c r="C599" s="20" t="s">
        <v>230</v>
      </c>
      <c r="D599" s="20" t="s">
        <v>1035</v>
      </c>
      <c r="E599" s="33"/>
      <c r="F599" s="6">
        <f>F600</f>
        <v>723.3</v>
      </c>
    </row>
    <row r="600" spans="1:6" ht="36.75" customHeight="1">
      <c r="A600" s="30" t="s">
        <v>289</v>
      </c>
      <c r="B600" s="20" t="s">
        <v>281</v>
      </c>
      <c r="C600" s="20" t="s">
        <v>230</v>
      </c>
      <c r="D600" s="20" t="s">
        <v>1035</v>
      </c>
      <c r="E600" s="33" t="s">
        <v>290</v>
      </c>
      <c r="F600" s="6">
        <f aca="true" t="shared" si="98" ref="F600">F601</f>
        <v>723.3</v>
      </c>
    </row>
    <row r="601" spans="1:6" ht="15.75">
      <c r="A601" s="208" t="s">
        <v>291</v>
      </c>
      <c r="B601" s="20" t="s">
        <v>281</v>
      </c>
      <c r="C601" s="20" t="s">
        <v>230</v>
      </c>
      <c r="D601" s="20" t="s">
        <v>1035</v>
      </c>
      <c r="E601" s="33" t="s">
        <v>292</v>
      </c>
      <c r="F601" s="6">
        <f>'Пр.6 ведом.20'!G636</f>
        <v>723.3</v>
      </c>
    </row>
    <row r="602" spans="1:6" ht="15.75">
      <c r="A602" s="42" t="s">
        <v>282</v>
      </c>
      <c r="B602" s="7" t="s">
        <v>281</v>
      </c>
      <c r="C602" s="7" t="s">
        <v>232</v>
      </c>
      <c r="D602" s="24"/>
      <c r="E602" s="7"/>
      <c r="F602" s="4">
        <f>F603+F628+F662</f>
        <v>52590.149999999994</v>
      </c>
    </row>
    <row r="603" spans="1:12" ht="47.25">
      <c r="A603" s="23" t="s">
        <v>443</v>
      </c>
      <c r="B603" s="24" t="s">
        <v>281</v>
      </c>
      <c r="C603" s="24" t="s">
        <v>232</v>
      </c>
      <c r="D603" s="24" t="s">
        <v>423</v>
      </c>
      <c r="E603" s="24"/>
      <c r="F603" s="4">
        <f>F604+F619</f>
        <v>34846.399999999994</v>
      </c>
      <c r="G603" s="22"/>
      <c r="L603" s="22"/>
    </row>
    <row r="604" spans="1:12" ht="33.75" customHeight="1">
      <c r="A604" s="23" t="s">
        <v>424</v>
      </c>
      <c r="B604" s="24" t="s">
        <v>281</v>
      </c>
      <c r="C604" s="24" t="s">
        <v>232</v>
      </c>
      <c r="D604" s="24" t="s">
        <v>425</v>
      </c>
      <c r="E604" s="24"/>
      <c r="F604" s="4">
        <f>F605+F609</f>
        <v>34157.399999999994</v>
      </c>
      <c r="G604" s="22"/>
      <c r="L604" s="22"/>
    </row>
    <row r="605" spans="1:6" ht="31.5">
      <c r="A605" s="23" t="s">
        <v>1036</v>
      </c>
      <c r="B605" s="24" t="s">
        <v>281</v>
      </c>
      <c r="C605" s="24" t="s">
        <v>232</v>
      </c>
      <c r="D605" s="24" t="s">
        <v>1014</v>
      </c>
      <c r="E605" s="24"/>
      <c r="F605" s="4">
        <f aca="true" t="shared" si="99" ref="F605:F606">F606</f>
        <v>32614.999999999996</v>
      </c>
    </row>
    <row r="606" spans="1:6" ht="47.25">
      <c r="A606" s="25" t="s">
        <v>287</v>
      </c>
      <c r="B606" s="20" t="s">
        <v>281</v>
      </c>
      <c r="C606" s="20" t="s">
        <v>232</v>
      </c>
      <c r="D606" s="20" t="s">
        <v>1059</v>
      </c>
      <c r="E606" s="20"/>
      <c r="F606" s="6">
        <f t="shared" si="99"/>
        <v>32614.999999999996</v>
      </c>
    </row>
    <row r="607" spans="1:6" ht="40.5" customHeight="1">
      <c r="A607" s="25" t="s">
        <v>289</v>
      </c>
      <c r="B607" s="20" t="s">
        <v>281</v>
      </c>
      <c r="C607" s="20" t="s">
        <v>232</v>
      </c>
      <c r="D607" s="20" t="s">
        <v>1059</v>
      </c>
      <c r="E607" s="20" t="s">
        <v>290</v>
      </c>
      <c r="F607" s="6">
        <f>'Пр.6 ведом.20'!G643</f>
        <v>32614.999999999996</v>
      </c>
    </row>
    <row r="608" spans="1:6" ht="15.75">
      <c r="A608" s="25" t="s">
        <v>291</v>
      </c>
      <c r="B608" s="20" t="s">
        <v>281</v>
      </c>
      <c r="C608" s="20" t="s">
        <v>232</v>
      </c>
      <c r="D608" s="20" t="s">
        <v>1059</v>
      </c>
      <c r="E608" s="20" t="s">
        <v>292</v>
      </c>
      <c r="F608" s="6">
        <f>'Пр.6 ведом.20'!G643</f>
        <v>32614.999999999996</v>
      </c>
    </row>
    <row r="609" spans="1:6" ht="47.25">
      <c r="A609" s="23" t="s">
        <v>976</v>
      </c>
      <c r="B609" s="24" t="s">
        <v>281</v>
      </c>
      <c r="C609" s="24" t="s">
        <v>232</v>
      </c>
      <c r="D609" s="24" t="s">
        <v>1029</v>
      </c>
      <c r="E609" s="24"/>
      <c r="F609" s="4">
        <f>F610+F613+F616</f>
        <v>1542.4</v>
      </c>
    </row>
    <row r="610" spans="1:6" ht="63">
      <c r="A610" s="32" t="s">
        <v>306</v>
      </c>
      <c r="B610" s="20" t="s">
        <v>281</v>
      </c>
      <c r="C610" s="20" t="s">
        <v>232</v>
      </c>
      <c r="D610" s="20" t="s">
        <v>1028</v>
      </c>
      <c r="E610" s="20"/>
      <c r="F610" s="6">
        <f aca="true" t="shared" si="100" ref="F610">F611</f>
        <v>110</v>
      </c>
    </row>
    <row r="611" spans="1:6" ht="31.5">
      <c r="A611" s="25" t="s">
        <v>289</v>
      </c>
      <c r="B611" s="20" t="s">
        <v>281</v>
      </c>
      <c r="C611" s="20" t="s">
        <v>232</v>
      </c>
      <c r="D611" s="20" t="s">
        <v>1028</v>
      </c>
      <c r="E611" s="20" t="s">
        <v>290</v>
      </c>
      <c r="F611" s="6">
        <f>F612</f>
        <v>110</v>
      </c>
    </row>
    <row r="612" spans="1:6" ht="15.75">
      <c r="A612" s="25" t="s">
        <v>291</v>
      </c>
      <c r="B612" s="20" t="s">
        <v>281</v>
      </c>
      <c r="C612" s="20" t="s">
        <v>232</v>
      </c>
      <c r="D612" s="20" t="s">
        <v>1028</v>
      </c>
      <c r="E612" s="20" t="s">
        <v>292</v>
      </c>
      <c r="F612" s="6">
        <f>'Пр.6 ведом.20'!G647</f>
        <v>110</v>
      </c>
    </row>
    <row r="613" spans="1:6" ht="63">
      <c r="A613" s="32" t="s">
        <v>308</v>
      </c>
      <c r="B613" s="20" t="s">
        <v>281</v>
      </c>
      <c r="C613" s="20" t="s">
        <v>232</v>
      </c>
      <c r="D613" s="20" t="s">
        <v>1031</v>
      </c>
      <c r="E613" s="20"/>
      <c r="F613" s="6">
        <f aca="true" t="shared" si="101" ref="F613">F614</f>
        <v>592.1</v>
      </c>
    </row>
    <row r="614" spans="1:6" ht="31.5">
      <c r="A614" s="25" t="s">
        <v>289</v>
      </c>
      <c r="B614" s="20" t="s">
        <v>281</v>
      </c>
      <c r="C614" s="20" t="s">
        <v>232</v>
      </c>
      <c r="D614" s="20" t="s">
        <v>1031</v>
      </c>
      <c r="E614" s="20" t="s">
        <v>290</v>
      </c>
      <c r="F614" s="6">
        <f>F615</f>
        <v>592.1</v>
      </c>
    </row>
    <row r="615" spans="1:6" ht="15.75">
      <c r="A615" s="25" t="s">
        <v>291</v>
      </c>
      <c r="B615" s="20" t="s">
        <v>281</v>
      </c>
      <c r="C615" s="20" t="s">
        <v>232</v>
      </c>
      <c r="D615" s="20" t="s">
        <v>1031</v>
      </c>
      <c r="E615" s="20" t="s">
        <v>292</v>
      </c>
      <c r="F615" s="6">
        <f>'Пр.6 ведом.20'!G650</f>
        <v>592.1</v>
      </c>
    </row>
    <row r="616" spans="1:6" ht="94.5">
      <c r="A616" s="32" t="s">
        <v>310</v>
      </c>
      <c r="B616" s="20" t="s">
        <v>281</v>
      </c>
      <c r="C616" s="20" t="s">
        <v>232</v>
      </c>
      <c r="D616" s="20" t="s">
        <v>1032</v>
      </c>
      <c r="E616" s="20"/>
      <c r="F616" s="6">
        <f>F617</f>
        <v>840.3</v>
      </c>
    </row>
    <row r="617" spans="1:6" ht="31.5">
      <c r="A617" s="25" t="s">
        <v>289</v>
      </c>
      <c r="B617" s="20" t="s">
        <v>281</v>
      </c>
      <c r="C617" s="20" t="s">
        <v>232</v>
      </c>
      <c r="D617" s="20" t="s">
        <v>1032</v>
      </c>
      <c r="E617" s="20" t="s">
        <v>290</v>
      </c>
      <c r="F617" s="6">
        <f aca="true" t="shared" si="102" ref="F617">F618</f>
        <v>840.3</v>
      </c>
    </row>
    <row r="618" spans="1:6" ht="15.75">
      <c r="A618" s="25" t="s">
        <v>291</v>
      </c>
      <c r="B618" s="20" t="s">
        <v>281</v>
      </c>
      <c r="C618" s="20" t="s">
        <v>232</v>
      </c>
      <c r="D618" s="20" t="s">
        <v>1032</v>
      </c>
      <c r="E618" s="20" t="s">
        <v>292</v>
      </c>
      <c r="F618" s="6">
        <f>'Пр.6 ведом.20'!G653</f>
        <v>840.3</v>
      </c>
    </row>
    <row r="619" spans="1:6" ht="30" customHeight="1">
      <c r="A619" s="35" t="s">
        <v>723</v>
      </c>
      <c r="B619" s="24" t="s">
        <v>281</v>
      </c>
      <c r="C619" s="24" t="s">
        <v>232</v>
      </c>
      <c r="D619" s="24" t="s">
        <v>464</v>
      </c>
      <c r="E619" s="24"/>
      <c r="F619" s="4">
        <f>F620+F624</f>
        <v>689</v>
      </c>
    </row>
    <row r="620" spans="1:6" ht="31.5" customHeight="1">
      <c r="A620" s="23" t="s">
        <v>1060</v>
      </c>
      <c r="B620" s="24" t="s">
        <v>281</v>
      </c>
      <c r="C620" s="24" t="s">
        <v>232</v>
      </c>
      <c r="D620" s="24" t="s">
        <v>1250</v>
      </c>
      <c r="E620" s="24"/>
      <c r="F620" s="4">
        <f>F621</f>
        <v>0</v>
      </c>
    </row>
    <row r="621" spans="1:6" ht="35.25" customHeight="1" hidden="1">
      <c r="A621" s="46" t="s">
        <v>791</v>
      </c>
      <c r="B621" s="20" t="s">
        <v>281</v>
      </c>
      <c r="C621" s="20" t="s">
        <v>232</v>
      </c>
      <c r="D621" s="20" t="s">
        <v>1251</v>
      </c>
      <c r="E621" s="20"/>
      <c r="F621" s="6">
        <f>F622</f>
        <v>0</v>
      </c>
    </row>
    <row r="622" spans="1:6" ht="39.75" customHeight="1" hidden="1">
      <c r="A622" s="32" t="s">
        <v>289</v>
      </c>
      <c r="B622" s="20" t="s">
        <v>281</v>
      </c>
      <c r="C622" s="20" t="s">
        <v>232</v>
      </c>
      <c r="D622" s="20" t="s">
        <v>1251</v>
      </c>
      <c r="E622" s="20" t="s">
        <v>290</v>
      </c>
      <c r="F622" s="6">
        <f>F623</f>
        <v>0</v>
      </c>
    </row>
    <row r="623" spans="1:6" ht="19.5" customHeight="1" hidden="1">
      <c r="A623" s="32" t="s">
        <v>291</v>
      </c>
      <c r="B623" s="20" t="s">
        <v>281</v>
      </c>
      <c r="C623" s="20" t="s">
        <v>232</v>
      </c>
      <c r="D623" s="20" t="s">
        <v>1251</v>
      </c>
      <c r="E623" s="20" t="s">
        <v>292</v>
      </c>
      <c r="F623" s="6">
        <f>'Пр.6 ведом.20'!G658</f>
        <v>0</v>
      </c>
    </row>
    <row r="624" spans="1:6" ht="33" customHeight="1">
      <c r="A624" s="319" t="s">
        <v>1085</v>
      </c>
      <c r="B624" s="24" t="s">
        <v>281</v>
      </c>
      <c r="C624" s="24" t="s">
        <v>232</v>
      </c>
      <c r="D624" s="24" t="s">
        <v>1061</v>
      </c>
      <c r="E624" s="24"/>
      <c r="F624" s="4">
        <f>F625</f>
        <v>689</v>
      </c>
    </row>
    <row r="625" spans="1:6" ht="46.5" customHeight="1">
      <c r="A625" s="46" t="s">
        <v>789</v>
      </c>
      <c r="B625" s="20" t="s">
        <v>281</v>
      </c>
      <c r="C625" s="20" t="s">
        <v>232</v>
      </c>
      <c r="D625" s="20" t="s">
        <v>1062</v>
      </c>
      <c r="E625" s="20"/>
      <c r="F625" s="6">
        <f>F626</f>
        <v>689</v>
      </c>
    </row>
    <row r="626" spans="1:6" ht="31.5">
      <c r="A626" s="25" t="s">
        <v>289</v>
      </c>
      <c r="B626" s="20" t="s">
        <v>281</v>
      </c>
      <c r="C626" s="20" t="s">
        <v>232</v>
      </c>
      <c r="D626" s="20" t="s">
        <v>1062</v>
      </c>
      <c r="E626" s="20" t="s">
        <v>290</v>
      </c>
      <c r="F626" s="6">
        <f aca="true" t="shared" si="103" ref="F626">F627</f>
        <v>689</v>
      </c>
    </row>
    <row r="627" spans="1:6" ht="15.75">
      <c r="A627" s="32" t="s">
        <v>291</v>
      </c>
      <c r="B627" s="20" t="s">
        <v>281</v>
      </c>
      <c r="C627" s="20" t="s">
        <v>232</v>
      </c>
      <c r="D627" s="20" t="s">
        <v>1062</v>
      </c>
      <c r="E627" s="20" t="s">
        <v>292</v>
      </c>
      <c r="F627" s="6">
        <f>'Пр.6 ведом.20'!G662</f>
        <v>689</v>
      </c>
    </row>
    <row r="628" spans="1:6" s="252" customFormat="1" ht="34.5" customHeight="1">
      <c r="A628" s="23" t="s">
        <v>283</v>
      </c>
      <c r="B628" s="24" t="s">
        <v>281</v>
      </c>
      <c r="C628" s="24" t="s">
        <v>232</v>
      </c>
      <c r="D628" s="24" t="s">
        <v>284</v>
      </c>
      <c r="E628" s="24"/>
      <c r="F628" s="4">
        <f>F629</f>
        <v>17222.05</v>
      </c>
    </row>
    <row r="629" spans="1:6" s="252" customFormat="1" ht="50.25" customHeight="1">
      <c r="A629" s="23" t="s">
        <v>285</v>
      </c>
      <c r="B629" s="24" t="s">
        <v>281</v>
      </c>
      <c r="C629" s="24" t="s">
        <v>232</v>
      </c>
      <c r="D629" s="24" t="s">
        <v>286</v>
      </c>
      <c r="E629" s="24"/>
      <c r="F629" s="4">
        <f>F630+F638+F642+F648+F652</f>
        <v>17222.05</v>
      </c>
    </row>
    <row r="630" spans="1:6" s="252" customFormat="1" ht="47.25">
      <c r="A630" s="23" t="s">
        <v>946</v>
      </c>
      <c r="B630" s="24" t="s">
        <v>281</v>
      </c>
      <c r="C630" s="24" t="s">
        <v>232</v>
      </c>
      <c r="D630" s="24" t="s">
        <v>947</v>
      </c>
      <c r="E630" s="24"/>
      <c r="F630" s="4">
        <f>F631</f>
        <v>15639.65</v>
      </c>
    </row>
    <row r="631" spans="1:6" s="252" customFormat="1" ht="15.75">
      <c r="A631" s="25" t="s">
        <v>835</v>
      </c>
      <c r="B631" s="20" t="s">
        <v>281</v>
      </c>
      <c r="C631" s="20" t="s">
        <v>232</v>
      </c>
      <c r="D631" s="20" t="s">
        <v>945</v>
      </c>
      <c r="E631" s="20"/>
      <c r="F631" s="6">
        <f>F632+F634+F636</f>
        <v>15639.65</v>
      </c>
    </row>
    <row r="632" spans="1:6" s="252" customFormat="1" ht="78.75">
      <c r="A632" s="25" t="s">
        <v>144</v>
      </c>
      <c r="B632" s="20" t="s">
        <v>281</v>
      </c>
      <c r="C632" s="20" t="s">
        <v>232</v>
      </c>
      <c r="D632" s="20" t="s">
        <v>945</v>
      </c>
      <c r="E632" s="20" t="s">
        <v>145</v>
      </c>
      <c r="F632" s="6">
        <f>F633</f>
        <v>13361.25</v>
      </c>
    </row>
    <row r="633" spans="1:6" s="252" customFormat="1" ht="21" customHeight="1">
      <c r="A633" s="47" t="s">
        <v>359</v>
      </c>
      <c r="B633" s="20" t="s">
        <v>281</v>
      </c>
      <c r="C633" s="20" t="s">
        <v>232</v>
      </c>
      <c r="D633" s="20" t="s">
        <v>945</v>
      </c>
      <c r="E633" s="20" t="s">
        <v>226</v>
      </c>
      <c r="F633" s="6">
        <f>'Пр.6 ведом.20'!G268</f>
        <v>13361.25</v>
      </c>
    </row>
    <row r="634" spans="1:6" s="252" customFormat="1" ht="31.5">
      <c r="A634" s="25" t="s">
        <v>148</v>
      </c>
      <c r="B634" s="20" t="s">
        <v>281</v>
      </c>
      <c r="C634" s="20" t="s">
        <v>232</v>
      </c>
      <c r="D634" s="20" t="s">
        <v>945</v>
      </c>
      <c r="E634" s="20" t="s">
        <v>149</v>
      </c>
      <c r="F634" s="6">
        <f>F635</f>
        <v>2200</v>
      </c>
    </row>
    <row r="635" spans="1:6" s="252" customFormat="1" ht="31.5">
      <c r="A635" s="25" t="s">
        <v>150</v>
      </c>
      <c r="B635" s="20" t="s">
        <v>281</v>
      </c>
      <c r="C635" s="20" t="s">
        <v>232</v>
      </c>
      <c r="D635" s="20" t="s">
        <v>945</v>
      </c>
      <c r="E635" s="20" t="s">
        <v>151</v>
      </c>
      <c r="F635" s="6">
        <f>'Пр.6 ведом.20'!G270</f>
        <v>2200</v>
      </c>
    </row>
    <row r="636" spans="1:6" s="252" customFormat="1" ht="15.75">
      <c r="A636" s="25" t="s">
        <v>152</v>
      </c>
      <c r="B636" s="20" t="s">
        <v>281</v>
      </c>
      <c r="C636" s="20" t="s">
        <v>232</v>
      </c>
      <c r="D636" s="20" t="s">
        <v>945</v>
      </c>
      <c r="E636" s="20" t="s">
        <v>162</v>
      </c>
      <c r="F636" s="6">
        <f>F637</f>
        <v>78.4</v>
      </c>
    </row>
    <row r="637" spans="1:6" s="252" customFormat="1" ht="15.75">
      <c r="A637" s="25" t="s">
        <v>729</v>
      </c>
      <c r="B637" s="20" t="s">
        <v>281</v>
      </c>
      <c r="C637" s="20" t="s">
        <v>232</v>
      </c>
      <c r="D637" s="20" t="s">
        <v>945</v>
      </c>
      <c r="E637" s="20" t="s">
        <v>155</v>
      </c>
      <c r="F637" s="6">
        <f>'Пр.6 ведом.20'!G272</f>
        <v>78.4</v>
      </c>
    </row>
    <row r="638" spans="1:6" s="252" customFormat="1" ht="47.25">
      <c r="A638" s="316" t="s">
        <v>1200</v>
      </c>
      <c r="B638" s="24" t="s">
        <v>281</v>
      </c>
      <c r="C638" s="24" t="s">
        <v>232</v>
      </c>
      <c r="D638" s="24" t="s">
        <v>949</v>
      </c>
      <c r="E638" s="24"/>
      <c r="F638" s="4">
        <f>F639</f>
        <v>45</v>
      </c>
    </row>
    <row r="639" spans="1:6" s="252" customFormat="1" ht="31.5">
      <c r="A639" s="234" t="s">
        <v>834</v>
      </c>
      <c r="B639" s="20" t="s">
        <v>281</v>
      </c>
      <c r="C639" s="20" t="s">
        <v>232</v>
      </c>
      <c r="D639" s="20" t="s">
        <v>948</v>
      </c>
      <c r="E639" s="20"/>
      <c r="F639" s="6">
        <f>F640</f>
        <v>45</v>
      </c>
    </row>
    <row r="640" spans="1:6" s="252" customFormat="1" ht="20.25" customHeight="1">
      <c r="A640" s="25" t="s">
        <v>265</v>
      </c>
      <c r="B640" s="20" t="s">
        <v>281</v>
      </c>
      <c r="C640" s="20" t="s">
        <v>232</v>
      </c>
      <c r="D640" s="20" t="s">
        <v>948</v>
      </c>
      <c r="E640" s="20" t="s">
        <v>266</v>
      </c>
      <c r="F640" s="6">
        <f>F641</f>
        <v>45</v>
      </c>
    </row>
    <row r="641" spans="1:6" s="252" customFormat="1" ht="15.75">
      <c r="A641" s="25" t="s">
        <v>869</v>
      </c>
      <c r="B641" s="20" t="s">
        <v>281</v>
      </c>
      <c r="C641" s="20" t="s">
        <v>232</v>
      </c>
      <c r="D641" s="20" t="s">
        <v>948</v>
      </c>
      <c r="E641" s="20" t="s">
        <v>868</v>
      </c>
      <c r="F641" s="6">
        <f>'Пр.6 ведом.20'!G276</f>
        <v>45</v>
      </c>
    </row>
    <row r="642" spans="1:6" ht="47.25">
      <c r="A642" s="322" t="s">
        <v>1177</v>
      </c>
      <c r="B642" s="24" t="s">
        <v>281</v>
      </c>
      <c r="C642" s="24" t="s">
        <v>232</v>
      </c>
      <c r="D642" s="24" t="s">
        <v>950</v>
      </c>
      <c r="E642" s="24"/>
      <c r="F642" s="4">
        <f>F643</f>
        <v>250.00000000000003</v>
      </c>
    </row>
    <row r="643" spans="1:6" ht="31.5">
      <c r="A643" s="32" t="s">
        <v>864</v>
      </c>
      <c r="B643" s="20" t="s">
        <v>281</v>
      </c>
      <c r="C643" s="20" t="s">
        <v>232</v>
      </c>
      <c r="D643" s="20" t="s">
        <v>951</v>
      </c>
      <c r="E643" s="20"/>
      <c r="F643" s="6">
        <f>F644+F646</f>
        <v>250.00000000000003</v>
      </c>
    </row>
    <row r="644" spans="1:6" ht="78.75">
      <c r="A644" s="25" t="s">
        <v>144</v>
      </c>
      <c r="B644" s="20" t="s">
        <v>281</v>
      </c>
      <c r="C644" s="20" t="s">
        <v>232</v>
      </c>
      <c r="D644" s="20" t="s">
        <v>951</v>
      </c>
      <c r="E644" s="20" t="s">
        <v>145</v>
      </c>
      <c r="F644" s="6">
        <f>F645</f>
        <v>250.00000000000003</v>
      </c>
    </row>
    <row r="645" spans="1:6" s="252" customFormat="1" ht="18.75" customHeight="1">
      <c r="A645" s="47" t="s">
        <v>359</v>
      </c>
      <c r="B645" s="20" t="s">
        <v>281</v>
      </c>
      <c r="C645" s="20" t="s">
        <v>232</v>
      </c>
      <c r="D645" s="20" t="s">
        <v>951</v>
      </c>
      <c r="E645" s="20" t="s">
        <v>226</v>
      </c>
      <c r="F645" s="6">
        <f>'Пр.6 ведом.20'!G280</f>
        <v>250.00000000000003</v>
      </c>
    </row>
    <row r="646" spans="1:6" s="252" customFormat="1" ht="31.5">
      <c r="A646" s="25" t="s">
        <v>148</v>
      </c>
      <c r="B646" s="20" t="s">
        <v>281</v>
      </c>
      <c r="C646" s="20" t="s">
        <v>232</v>
      </c>
      <c r="D646" s="20" t="s">
        <v>951</v>
      </c>
      <c r="E646" s="20" t="s">
        <v>149</v>
      </c>
      <c r="F646" s="6">
        <f>F647</f>
        <v>0</v>
      </c>
    </row>
    <row r="647" spans="1:6" s="252" customFormat="1" ht="31.5">
      <c r="A647" s="25" t="s">
        <v>150</v>
      </c>
      <c r="B647" s="20" t="s">
        <v>281</v>
      </c>
      <c r="C647" s="20" t="s">
        <v>232</v>
      </c>
      <c r="D647" s="20" t="s">
        <v>951</v>
      </c>
      <c r="E647" s="20" t="s">
        <v>151</v>
      </c>
      <c r="F647" s="6">
        <f>'Пр.6 ведом.20'!G282</f>
        <v>0</v>
      </c>
    </row>
    <row r="648" spans="1:6" s="252" customFormat="1" ht="31.5">
      <c r="A648" s="23" t="s">
        <v>1084</v>
      </c>
      <c r="B648" s="24" t="s">
        <v>281</v>
      </c>
      <c r="C648" s="24" t="s">
        <v>232</v>
      </c>
      <c r="D648" s="24" t="s">
        <v>956</v>
      </c>
      <c r="E648" s="24"/>
      <c r="F648" s="4">
        <f>F649</f>
        <v>340</v>
      </c>
    </row>
    <row r="649" spans="1:6" s="252" customFormat="1" ht="47.25">
      <c r="A649" s="25" t="s">
        <v>889</v>
      </c>
      <c r="B649" s="20" t="s">
        <v>281</v>
      </c>
      <c r="C649" s="20" t="s">
        <v>232</v>
      </c>
      <c r="D649" s="20" t="s">
        <v>1280</v>
      </c>
      <c r="E649" s="20"/>
      <c r="F649" s="6">
        <f>F650</f>
        <v>340</v>
      </c>
    </row>
    <row r="650" spans="1:6" s="252" customFormat="1" ht="78.75">
      <c r="A650" s="25" t="s">
        <v>144</v>
      </c>
      <c r="B650" s="20" t="s">
        <v>281</v>
      </c>
      <c r="C650" s="20" t="s">
        <v>232</v>
      </c>
      <c r="D650" s="20" t="s">
        <v>1280</v>
      </c>
      <c r="E650" s="20" t="s">
        <v>145</v>
      </c>
      <c r="F650" s="6">
        <f>F651</f>
        <v>340</v>
      </c>
    </row>
    <row r="651" spans="1:6" s="252" customFormat="1" ht="31.5">
      <c r="A651" s="25" t="s">
        <v>146</v>
      </c>
      <c r="B651" s="20" t="s">
        <v>281</v>
      </c>
      <c r="C651" s="20" t="s">
        <v>232</v>
      </c>
      <c r="D651" s="20" t="s">
        <v>1280</v>
      </c>
      <c r="E651" s="20" t="s">
        <v>226</v>
      </c>
      <c r="F651" s="6">
        <f>'Пр.6 ведом.20'!G286</f>
        <v>340</v>
      </c>
    </row>
    <row r="652" spans="1:6" s="252" customFormat="1" ht="47.25">
      <c r="A652" s="23" t="s">
        <v>976</v>
      </c>
      <c r="B652" s="24" t="s">
        <v>281</v>
      </c>
      <c r="C652" s="24" t="s">
        <v>232</v>
      </c>
      <c r="D652" s="24" t="s">
        <v>1281</v>
      </c>
      <c r="E652" s="24"/>
      <c r="F652" s="4">
        <f>F653+F656+F659</f>
        <v>947.4000000000001</v>
      </c>
    </row>
    <row r="653" spans="1:6" s="252" customFormat="1" ht="63">
      <c r="A653" s="32" t="s">
        <v>306</v>
      </c>
      <c r="B653" s="20" t="s">
        <v>281</v>
      </c>
      <c r="C653" s="20" t="s">
        <v>232</v>
      </c>
      <c r="D653" s="20" t="s">
        <v>1282</v>
      </c>
      <c r="E653" s="20"/>
      <c r="F653" s="6">
        <f>F654</f>
        <v>65.5</v>
      </c>
    </row>
    <row r="654" spans="1:6" s="252" customFormat="1" ht="78.75">
      <c r="A654" s="25" t="s">
        <v>144</v>
      </c>
      <c r="B654" s="20" t="s">
        <v>281</v>
      </c>
      <c r="C654" s="20" t="s">
        <v>232</v>
      </c>
      <c r="D654" s="20" t="s">
        <v>1282</v>
      </c>
      <c r="E654" s="20" t="s">
        <v>145</v>
      </c>
      <c r="F654" s="6">
        <f>F655</f>
        <v>65.5</v>
      </c>
    </row>
    <row r="655" spans="1:6" s="252" customFormat="1" ht="21" customHeight="1">
      <c r="A655" s="47" t="s">
        <v>359</v>
      </c>
      <c r="B655" s="20" t="s">
        <v>281</v>
      </c>
      <c r="C655" s="20" t="s">
        <v>232</v>
      </c>
      <c r="D655" s="20" t="s">
        <v>1282</v>
      </c>
      <c r="E655" s="20" t="s">
        <v>226</v>
      </c>
      <c r="F655" s="6">
        <f>'Пр.6 ведом.20'!G290</f>
        <v>65.5</v>
      </c>
    </row>
    <row r="656" spans="1:6" s="252" customFormat="1" ht="63">
      <c r="A656" s="32" t="s">
        <v>308</v>
      </c>
      <c r="B656" s="20" t="s">
        <v>281</v>
      </c>
      <c r="C656" s="20" t="s">
        <v>232</v>
      </c>
      <c r="D656" s="20" t="s">
        <v>1283</v>
      </c>
      <c r="E656" s="20"/>
      <c r="F656" s="6">
        <f>F657</f>
        <v>321.50000000000006</v>
      </c>
    </row>
    <row r="657" spans="1:6" s="252" customFormat="1" ht="78.75">
      <c r="A657" s="25" t="s">
        <v>144</v>
      </c>
      <c r="B657" s="20" t="s">
        <v>281</v>
      </c>
      <c r="C657" s="20" t="s">
        <v>232</v>
      </c>
      <c r="D657" s="20" t="s">
        <v>1283</v>
      </c>
      <c r="E657" s="20" t="s">
        <v>145</v>
      </c>
      <c r="F657" s="6">
        <f>F658</f>
        <v>321.50000000000006</v>
      </c>
    </row>
    <row r="658" spans="1:6" s="252" customFormat="1" ht="21" customHeight="1">
      <c r="A658" s="47" t="s">
        <v>359</v>
      </c>
      <c r="B658" s="20" t="s">
        <v>281</v>
      </c>
      <c r="C658" s="20" t="s">
        <v>232</v>
      </c>
      <c r="D658" s="20" t="s">
        <v>1283</v>
      </c>
      <c r="E658" s="20" t="s">
        <v>226</v>
      </c>
      <c r="F658" s="6">
        <f>'Пр.6 ведом.20'!G293</f>
        <v>321.50000000000006</v>
      </c>
    </row>
    <row r="659" spans="1:6" s="252" customFormat="1" ht="94.5">
      <c r="A659" s="32" t="s">
        <v>310</v>
      </c>
      <c r="B659" s="20" t="s">
        <v>281</v>
      </c>
      <c r="C659" s="20" t="s">
        <v>232</v>
      </c>
      <c r="D659" s="20" t="s">
        <v>1284</v>
      </c>
      <c r="E659" s="20"/>
      <c r="F659" s="6">
        <f>F660</f>
        <v>560.4</v>
      </c>
    </row>
    <row r="660" spans="1:6" s="252" customFormat="1" ht="78.75">
      <c r="A660" s="25" t="s">
        <v>144</v>
      </c>
      <c r="B660" s="20" t="s">
        <v>281</v>
      </c>
      <c r="C660" s="20" t="s">
        <v>232</v>
      </c>
      <c r="D660" s="20" t="s">
        <v>1284</v>
      </c>
      <c r="E660" s="20" t="s">
        <v>145</v>
      </c>
      <c r="F660" s="6">
        <f>F661</f>
        <v>560.4</v>
      </c>
    </row>
    <row r="661" spans="1:6" s="252" customFormat="1" ht="20.25" customHeight="1">
      <c r="A661" s="47" t="s">
        <v>359</v>
      </c>
      <c r="B661" s="20" t="s">
        <v>281</v>
      </c>
      <c r="C661" s="20" t="s">
        <v>232</v>
      </c>
      <c r="D661" s="20" t="s">
        <v>1284</v>
      </c>
      <c r="E661" s="20" t="s">
        <v>226</v>
      </c>
      <c r="F661" s="6">
        <f>'Пр.6 ведом.20'!G296</f>
        <v>560.4</v>
      </c>
    </row>
    <row r="662" spans="1:6" s="252" customFormat="1" ht="63">
      <c r="A662" s="42" t="s">
        <v>732</v>
      </c>
      <c r="B662" s="24" t="s">
        <v>281</v>
      </c>
      <c r="C662" s="24" t="s">
        <v>232</v>
      </c>
      <c r="D662" s="24" t="s">
        <v>730</v>
      </c>
      <c r="E662" s="24"/>
      <c r="F662" s="4">
        <f>F663</f>
        <v>521.7</v>
      </c>
    </row>
    <row r="663" spans="1:6" s="252" customFormat="1" ht="47.25">
      <c r="A663" s="42" t="s">
        <v>954</v>
      </c>
      <c r="B663" s="24" t="s">
        <v>281</v>
      </c>
      <c r="C663" s="24" t="s">
        <v>232</v>
      </c>
      <c r="D663" s="24" t="s">
        <v>952</v>
      </c>
      <c r="E663" s="24"/>
      <c r="F663" s="4">
        <f>F664+F667</f>
        <v>521.7</v>
      </c>
    </row>
    <row r="664" spans="1:6" s="252" customFormat="1" ht="35.25" customHeight="1">
      <c r="A664" s="107" t="s">
        <v>1166</v>
      </c>
      <c r="B664" s="20" t="s">
        <v>281</v>
      </c>
      <c r="C664" s="20" t="s">
        <v>232</v>
      </c>
      <c r="D664" s="20" t="s">
        <v>953</v>
      </c>
      <c r="E664" s="33"/>
      <c r="F664" s="6">
        <f>F665</f>
        <v>221</v>
      </c>
    </row>
    <row r="665" spans="1:6" s="252" customFormat="1" ht="31.5">
      <c r="A665" s="25" t="s">
        <v>148</v>
      </c>
      <c r="B665" s="20" t="s">
        <v>281</v>
      </c>
      <c r="C665" s="20" t="s">
        <v>232</v>
      </c>
      <c r="D665" s="20" t="s">
        <v>953</v>
      </c>
      <c r="E665" s="33" t="s">
        <v>149</v>
      </c>
      <c r="F665" s="6">
        <f>F666</f>
        <v>221</v>
      </c>
    </row>
    <row r="666" spans="1:6" s="252" customFormat="1" ht="36.75" customHeight="1">
      <c r="A666" s="25" t="s">
        <v>150</v>
      </c>
      <c r="B666" s="20" t="s">
        <v>281</v>
      </c>
      <c r="C666" s="20" t="s">
        <v>232</v>
      </c>
      <c r="D666" s="20" t="s">
        <v>953</v>
      </c>
      <c r="E666" s="33" t="s">
        <v>151</v>
      </c>
      <c r="F666" s="6">
        <f>'Пр.6 ведом.20'!G301</f>
        <v>221</v>
      </c>
    </row>
    <row r="667" spans="1:6" s="252" customFormat="1" ht="47.25">
      <c r="A667" s="107" t="s">
        <v>805</v>
      </c>
      <c r="B667" s="20" t="s">
        <v>281</v>
      </c>
      <c r="C667" s="20" t="s">
        <v>232</v>
      </c>
      <c r="D667" s="20" t="s">
        <v>1035</v>
      </c>
      <c r="E667" s="33"/>
      <c r="F667" s="6">
        <f>F668</f>
        <v>300.7</v>
      </c>
    </row>
    <row r="668" spans="1:6" s="252" customFormat="1" ht="31.5">
      <c r="A668" s="30" t="s">
        <v>289</v>
      </c>
      <c r="B668" s="20" t="s">
        <v>281</v>
      </c>
      <c r="C668" s="20" t="s">
        <v>232</v>
      </c>
      <c r="D668" s="20" t="s">
        <v>1035</v>
      </c>
      <c r="E668" s="33" t="s">
        <v>290</v>
      </c>
      <c r="F668" s="6">
        <f>F669</f>
        <v>300.7</v>
      </c>
    </row>
    <row r="669" spans="1:6" s="252" customFormat="1" ht="15.75">
      <c r="A669" s="208" t="s">
        <v>291</v>
      </c>
      <c r="B669" s="20" t="s">
        <v>281</v>
      </c>
      <c r="C669" s="20" t="s">
        <v>232</v>
      </c>
      <c r="D669" s="20" t="s">
        <v>1035</v>
      </c>
      <c r="E669" s="33" t="s">
        <v>292</v>
      </c>
      <c r="F669" s="6">
        <f>'Пр.6 ведом.20'!G667</f>
        <v>300.7</v>
      </c>
    </row>
    <row r="670" spans="1:6" s="252" customFormat="1" ht="15.75">
      <c r="A670" s="23" t="s">
        <v>483</v>
      </c>
      <c r="B670" s="24" t="s">
        <v>281</v>
      </c>
      <c r="C670" s="24" t="s">
        <v>281</v>
      </c>
      <c r="D670" s="24"/>
      <c r="E670" s="324"/>
      <c r="F670" s="4">
        <f>F671+F690</f>
        <v>7871.3</v>
      </c>
    </row>
    <row r="671" spans="1:6" s="252" customFormat="1" ht="47.25">
      <c r="A671" s="23" t="s">
        <v>360</v>
      </c>
      <c r="B671" s="24" t="s">
        <v>281</v>
      </c>
      <c r="C671" s="24" t="s">
        <v>281</v>
      </c>
      <c r="D671" s="24" t="s">
        <v>361</v>
      </c>
      <c r="E671" s="24"/>
      <c r="F671" s="4">
        <f>F672</f>
        <v>1035</v>
      </c>
    </row>
    <row r="672" spans="1:6" s="252" customFormat="1" ht="31.5">
      <c r="A672" s="23" t="s">
        <v>362</v>
      </c>
      <c r="B672" s="24" t="s">
        <v>281</v>
      </c>
      <c r="C672" s="24" t="s">
        <v>281</v>
      </c>
      <c r="D672" s="24" t="s">
        <v>363</v>
      </c>
      <c r="E672" s="24"/>
      <c r="F672" s="4">
        <f>F673+F680+F686</f>
        <v>1035</v>
      </c>
    </row>
    <row r="673" spans="1:6" s="252" customFormat="1" ht="47.25">
      <c r="A673" s="311" t="s">
        <v>1213</v>
      </c>
      <c r="B673" s="24" t="s">
        <v>281</v>
      </c>
      <c r="C673" s="24" t="s">
        <v>281</v>
      </c>
      <c r="D673" s="24" t="s">
        <v>957</v>
      </c>
      <c r="E673" s="24"/>
      <c r="F673" s="4">
        <f>F674+F677</f>
        <v>30</v>
      </c>
    </row>
    <row r="674" spans="1:6" s="252" customFormat="1" ht="31.5">
      <c r="A674" s="107" t="s">
        <v>1219</v>
      </c>
      <c r="B674" s="20" t="s">
        <v>281</v>
      </c>
      <c r="C674" s="20" t="s">
        <v>281</v>
      </c>
      <c r="D674" s="20" t="s">
        <v>958</v>
      </c>
      <c r="E674" s="20"/>
      <c r="F674" s="6">
        <f>F675</f>
        <v>30</v>
      </c>
    </row>
    <row r="675" spans="1:6" s="252" customFormat="1" ht="78.75">
      <c r="A675" s="25" t="s">
        <v>144</v>
      </c>
      <c r="B675" s="20" t="s">
        <v>281</v>
      </c>
      <c r="C675" s="20" t="s">
        <v>281</v>
      </c>
      <c r="D675" s="20" t="s">
        <v>958</v>
      </c>
      <c r="E675" s="20" t="s">
        <v>145</v>
      </c>
      <c r="F675" s="6">
        <f>F676</f>
        <v>30</v>
      </c>
    </row>
    <row r="676" spans="1:6" s="252" customFormat="1" ht="17.25" customHeight="1">
      <c r="A676" s="25" t="s">
        <v>359</v>
      </c>
      <c r="B676" s="20" t="s">
        <v>281</v>
      </c>
      <c r="C676" s="20" t="s">
        <v>281</v>
      </c>
      <c r="D676" s="20" t="s">
        <v>958</v>
      </c>
      <c r="E676" s="20" t="s">
        <v>226</v>
      </c>
      <c r="F676" s="6">
        <f>'Пр.6 ведом.20'!G308</f>
        <v>30</v>
      </c>
    </row>
    <row r="677" spans="1:6" s="252" customFormat="1" ht="19.5" customHeight="1" hidden="1">
      <c r="A677" s="25" t="s">
        <v>1214</v>
      </c>
      <c r="B677" s="20" t="s">
        <v>281</v>
      </c>
      <c r="C677" s="20" t="s">
        <v>281</v>
      </c>
      <c r="D677" s="20" t="s">
        <v>1238</v>
      </c>
      <c r="E677" s="20"/>
      <c r="F677" s="6">
        <f>F678</f>
        <v>0</v>
      </c>
    </row>
    <row r="678" spans="1:6" s="252" customFormat="1" ht="31.5" hidden="1">
      <c r="A678" s="25" t="s">
        <v>148</v>
      </c>
      <c r="B678" s="20" t="s">
        <v>281</v>
      </c>
      <c r="C678" s="20" t="s">
        <v>281</v>
      </c>
      <c r="D678" s="20" t="s">
        <v>1238</v>
      </c>
      <c r="E678" s="20" t="s">
        <v>149</v>
      </c>
      <c r="F678" s="6">
        <f>F679</f>
        <v>0</v>
      </c>
    </row>
    <row r="679" spans="1:6" s="252" customFormat="1" ht="31.5" hidden="1">
      <c r="A679" s="25" t="s">
        <v>150</v>
      </c>
      <c r="B679" s="20" t="s">
        <v>281</v>
      </c>
      <c r="C679" s="20" t="s">
        <v>281</v>
      </c>
      <c r="D679" s="20" t="s">
        <v>1238</v>
      </c>
      <c r="E679" s="20" t="s">
        <v>151</v>
      </c>
      <c r="F679" s="6">
        <f>'Пр.6 ведом.20'!G311</f>
        <v>0</v>
      </c>
    </row>
    <row r="680" spans="1:6" s="252" customFormat="1" ht="63">
      <c r="A680" s="23" t="s">
        <v>1215</v>
      </c>
      <c r="B680" s="24" t="s">
        <v>281</v>
      </c>
      <c r="C680" s="24" t="s">
        <v>281</v>
      </c>
      <c r="D680" s="24" t="s">
        <v>959</v>
      </c>
      <c r="E680" s="24"/>
      <c r="F680" s="4">
        <f>F681</f>
        <v>955</v>
      </c>
    </row>
    <row r="681" spans="1:6" s="252" customFormat="1" ht="15.75">
      <c r="A681" s="25" t="s">
        <v>1216</v>
      </c>
      <c r="B681" s="20" t="s">
        <v>281</v>
      </c>
      <c r="C681" s="20" t="s">
        <v>281</v>
      </c>
      <c r="D681" s="20" t="s">
        <v>977</v>
      </c>
      <c r="E681" s="20"/>
      <c r="F681" s="6">
        <f>F682+F684</f>
        <v>955</v>
      </c>
    </row>
    <row r="682" spans="1:6" s="252" customFormat="1" ht="78.75">
      <c r="A682" s="25" t="s">
        <v>144</v>
      </c>
      <c r="B682" s="20" t="s">
        <v>281</v>
      </c>
      <c r="C682" s="20" t="s">
        <v>281</v>
      </c>
      <c r="D682" s="20" t="s">
        <v>977</v>
      </c>
      <c r="E682" s="20" t="s">
        <v>145</v>
      </c>
      <c r="F682" s="6">
        <f>F683</f>
        <v>40</v>
      </c>
    </row>
    <row r="683" spans="1:6" s="252" customFormat="1" ht="18.75" customHeight="1">
      <c r="A683" s="25" t="s">
        <v>359</v>
      </c>
      <c r="B683" s="20" t="s">
        <v>281</v>
      </c>
      <c r="C683" s="20" t="s">
        <v>281</v>
      </c>
      <c r="D683" s="20" t="s">
        <v>977</v>
      </c>
      <c r="E683" s="20" t="s">
        <v>226</v>
      </c>
      <c r="F683" s="6">
        <f>'Пр.6 ведом.20'!G315</f>
        <v>40</v>
      </c>
    </row>
    <row r="684" spans="1:6" s="252" customFormat="1" ht="31.5">
      <c r="A684" s="25" t="s">
        <v>148</v>
      </c>
      <c r="B684" s="20" t="s">
        <v>281</v>
      </c>
      <c r="C684" s="20" t="s">
        <v>281</v>
      </c>
      <c r="D684" s="20" t="s">
        <v>977</v>
      </c>
      <c r="E684" s="20" t="s">
        <v>149</v>
      </c>
      <c r="F684" s="6">
        <f>F685</f>
        <v>915</v>
      </c>
    </row>
    <row r="685" spans="1:6" s="252" customFormat="1" ht="31.5">
      <c r="A685" s="25" t="s">
        <v>150</v>
      </c>
      <c r="B685" s="20" t="s">
        <v>281</v>
      </c>
      <c r="C685" s="20" t="s">
        <v>281</v>
      </c>
      <c r="D685" s="20" t="s">
        <v>977</v>
      </c>
      <c r="E685" s="20" t="s">
        <v>151</v>
      </c>
      <c r="F685" s="6">
        <f>'Пр.6 ведом.20'!G317</f>
        <v>915</v>
      </c>
    </row>
    <row r="686" spans="1:6" s="252" customFormat="1" ht="31.5">
      <c r="A686" s="23" t="s">
        <v>1221</v>
      </c>
      <c r="B686" s="24" t="s">
        <v>281</v>
      </c>
      <c r="C686" s="24" t="s">
        <v>281</v>
      </c>
      <c r="D686" s="24" t="s">
        <v>1217</v>
      </c>
      <c r="E686" s="24"/>
      <c r="F686" s="4">
        <f>F687</f>
        <v>50</v>
      </c>
    </row>
    <row r="687" spans="1:6" s="252" customFormat="1" ht="47.25">
      <c r="A687" s="352" t="s">
        <v>1218</v>
      </c>
      <c r="B687" s="20" t="s">
        <v>281</v>
      </c>
      <c r="C687" s="20" t="s">
        <v>281</v>
      </c>
      <c r="D687" s="20" t="s">
        <v>1239</v>
      </c>
      <c r="E687" s="20"/>
      <c r="F687" s="6">
        <f>F688</f>
        <v>50</v>
      </c>
    </row>
    <row r="688" spans="1:6" s="252" customFormat="1" ht="31.5">
      <c r="A688" s="25" t="s">
        <v>265</v>
      </c>
      <c r="B688" s="20" t="s">
        <v>281</v>
      </c>
      <c r="C688" s="20" t="s">
        <v>281</v>
      </c>
      <c r="D688" s="20" t="s">
        <v>1239</v>
      </c>
      <c r="E688" s="20" t="s">
        <v>266</v>
      </c>
      <c r="F688" s="6">
        <f>F689</f>
        <v>50</v>
      </c>
    </row>
    <row r="689" spans="1:6" s="252" customFormat="1" ht="31.5">
      <c r="A689" s="25" t="s">
        <v>365</v>
      </c>
      <c r="B689" s="20" t="s">
        <v>281</v>
      </c>
      <c r="C689" s="20" t="s">
        <v>281</v>
      </c>
      <c r="D689" s="20" t="s">
        <v>1239</v>
      </c>
      <c r="E689" s="20" t="s">
        <v>366</v>
      </c>
      <c r="F689" s="6">
        <f>'Пр.6 ведом.20'!G321</f>
        <v>50</v>
      </c>
    </row>
    <row r="690" spans="1:6" ht="47.25">
      <c r="A690" s="23" t="s">
        <v>443</v>
      </c>
      <c r="B690" s="24" t="s">
        <v>281</v>
      </c>
      <c r="C690" s="24" t="s">
        <v>281</v>
      </c>
      <c r="D690" s="24" t="s">
        <v>423</v>
      </c>
      <c r="E690" s="24"/>
      <c r="F690" s="4">
        <f>F691</f>
        <v>6836.3</v>
      </c>
    </row>
    <row r="691" spans="1:6" ht="31.5">
      <c r="A691" s="23" t="s">
        <v>484</v>
      </c>
      <c r="B691" s="24" t="s">
        <v>281</v>
      </c>
      <c r="C691" s="24" t="s">
        <v>485</v>
      </c>
      <c r="D691" s="24" t="s">
        <v>486</v>
      </c>
      <c r="E691" s="24"/>
      <c r="F691" s="4">
        <f>F692</f>
        <v>6836.3</v>
      </c>
    </row>
    <row r="692" spans="1:6" ht="31.5">
      <c r="A692" s="23" t="s">
        <v>1064</v>
      </c>
      <c r="B692" s="24" t="s">
        <v>281</v>
      </c>
      <c r="C692" s="24" t="s">
        <v>281</v>
      </c>
      <c r="D692" s="24" t="s">
        <v>1065</v>
      </c>
      <c r="E692" s="24"/>
      <c r="F692" s="4">
        <f>F693+F696</f>
        <v>6836.3</v>
      </c>
    </row>
    <row r="693" spans="1:6" ht="39.75" customHeight="1">
      <c r="A693" s="32" t="s">
        <v>1252</v>
      </c>
      <c r="B693" s="20" t="s">
        <v>281</v>
      </c>
      <c r="C693" s="20" t="s">
        <v>281</v>
      </c>
      <c r="D693" s="20" t="s">
        <v>1066</v>
      </c>
      <c r="E693" s="20"/>
      <c r="F693" s="6">
        <f>F694</f>
        <v>3584</v>
      </c>
    </row>
    <row r="694" spans="1:6" ht="35.25" customHeight="1">
      <c r="A694" s="25" t="s">
        <v>289</v>
      </c>
      <c r="B694" s="20" t="s">
        <v>281</v>
      </c>
      <c r="C694" s="20" t="s">
        <v>281</v>
      </c>
      <c r="D694" s="20" t="s">
        <v>1066</v>
      </c>
      <c r="E694" s="20" t="s">
        <v>290</v>
      </c>
      <c r="F694" s="6">
        <f>F695</f>
        <v>3584</v>
      </c>
    </row>
    <row r="695" spans="1:6" ht="15.75">
      <c r="A695" s="25" t="s">
        <v>291</v>
      </c>
      <c r="B695" s="20" t="s">
        <v>281</v>
      </c>
      <c r="C695" s="20" t="s">
        <v>281</v>
      </c>
      <c r="D695" s="20" t="s">
        <v>1066</v>
      </c>
      <c r="E695" s="20" t="s">
        <v>292</v>
      </c>
      <c r="F695" s="6">
        <f>'Пр.6 ведом.20'!G674</f>
        <v>3584</v>
      </c>
    </row>
    <row r="696" spans="1:6" ht="31.5">
      <c r="A696" s="32" t="s">
        <v>491</v>
      </c>
      <c r="B696" s="20" t="s">
        <v>281</v>
      </c>
      <c r="C696" s="20" t="s">
        <v>281</v>
      </c>
      <c r="D696" s="20" t="s">
        <v>1067</v>
      </c>
      <c r="E696" s="20"/>
      <c r="F696" s="6">
        <f>F697</f>
        <v>3252.3</v>
      </c>
    </row>
    <row r="697" spans="1:6" ht="31.5">
      <c r="A697" s="25" t="s">
        <v>289</v>
      </c>
      <c r="B697" s="20" t="s">
        <v>281</v>
      </c>
      <c r="C697" s="20" t="s">
        <v>281</v>
      </c>
      <c r="D697" s="20" t="s">
        <v>1067</v>
      </c>
      <c r="E697" s="20" t="s">
        <v>290</v>
      </c>
      <c r="F697" s="6">
        <f>F698</f>
        <v>3252.3</v>
      </c>
    </row>
    <row r="698" spans="1:6" ht="15.75">
      <c r="A698" s="25" t="s">
        <v>291</v>
      </c>
      <c r="B698" s="20" t="s">
        <v>281</v>
      </c>
      <c r="C698" s="20" t="s">
        <v>281</v>
      </c>
      <c r="D698" s="20" t="s">
        <v>1067</v>
      </c>
      <c r="E698" s="20" t="s">
        <v>292</v>
      </c>
      <c r="F698" s="6">
        <f>'Пр.6 ведом.20'!G677</f>
        <v>3252.3</v>
      </c>
    </row>
    <row r="699" spans="1:6" ht="15" customHeight="1">
      <c r="A699" s="23" t="s">
        <v>312</v>
      </c>
      <c r="B699" s="24" t="s">
        <v>281</v>
      </c>
      <c r="C699" s="24" t="s">
        <v>236</v>
      </c>
      <c r="D699" s="24"/>
      <c r="E699" s="24"/>
      <c r="F699" s="4">
        <f>F700+F710</f>
        <v>20468.931</v>
      </c>
    </row>
    <row r="700" spans="1:6" ht="31.5">
      <c r="A700" s="23" t="s">
        <v>995</v>
      </c>
      <c r="B700" s="24" t="s">
        <v>281</v>
      </c>
      <c r="C700" s="24" t="s">
        <v>236</v>
      </c>
      <c r="D700" s="24" t="s">
        <v>909</v>
      </c>
      <c r="E700" s="24"/>
      <c r="F700" s="4">
        <f>F701</f>
        <v>5806.718</v>
      </c>
    </row>
    <row r="701" spans="1:6" ht="15.75">
      <c r="A701" s="23" t="s">
        <v>996</v>
      </c>
      <c r="B701" s="24" t="s">
        <v>281</v>
      </c>
      <c r="C701" s="24" t="s">
        <v>236</v>
      </c>
      <c r="D701" s="24" t="s">
        <v>910</v>
      </c>
      <c r="E701" s="24"/>
      <c r="F701" s="4">
        <f>F702+F707</f>
        <v>5806.718</v>
      </c>
    </row>
    <row r="702" spans="1:6" ht="31.5">
      <c r="A702" s="25" t="s">
        <v>972</v>
      </c>
      <c r="B702" s="20" t="s">
        <v>281</v>
      </c>
      <c r="C702" s="20" t="s">
        <v>236</v>
      </c>
      <c r="D702" s="20" t="s">
        <v>911</v>
      </c>
      <c r="E702" s="20"/>
      <c r="F702" s="6">
        <f>F703+F705</f>
        <v>5706.718</v>
      </c>
    </row>
    <row r="703" spans="1:6" ht="78.75">
      <c r="A703" s="25" t="s">
        <v>144</v>
      </c>
      <c r="B703" s="20" t="s">
        <v>281</v>
      </c>
      <c r="C703" s="20" t="s">
        <v>236</v>
      </c>
      <c r="D703" s="20" t="s">
        <v>911</v>
      </c>
      <c r="E703" s="20" t="s">
        <v>145</v>
      </c>
      <c r="F703" s="6">
        <f>F704</f>
        <v>5450.718</v>
      </c>
    </row>
    <row r="704" spans="1:6" ht="31.5">
      <c r="A704" s="25" t="s">
        <v>146</v>
      </c>
      <c r="B704" s="20" t="s">
        <v>281</v>
      </c>
      <c r="C704" s="20" t="s">
        <v>236</v>
      </c>
      <c r="D704" s="20" t="s">
        <v>911</v>
      </c>
      <c r="E704" s="20" t="s">
        <v>147</v>
      </c>
      <c r="F704" s="6">
        <f>'Пр.6 ведом.20'!G683</f>
        <v>5450.718</v>
      </c>
    </row>
    <row r="705" spans="1:6" ht="31.5">
      <c r="A705" s="25" t="s">
        <v>148</v>
      </c>
      <c r="B705" s="20" t="s">
        <v>281</v>
      </c>
      <c r="C705" s="20" t="s">
        <v>236</v>
      </c>
      <c r="D705" s="20" t="s">
        <v>911</v>
      </c>
      <c r="E705" s="20" t="s">
        <v>149</v>
      </c>
      <c r="F705" s="6">
        <f>F706</f>
        <v>256</v>
      </c>
    </row>
    <row r="706" spans="1:6" ht="31.5">
      <c r="A706" s="25" t="s">
        <v>150</v>
      </c>
      <c r="B706" s="20" t="s">
        <v>281</v>
      </c>
      <c r="C706" s="20" t="s">
        <v>236</v>
      </c>
      <c r="D706" s="20" t="s">
        <v>911</v>
      </c>
      <c r="E706" s="20" t="s">
        <v>151</v>
      </c>
      <c r="F706" s="6">
        <f>'Пр.6 ведом.20'!G685</f>
        <v>256</v>
      </c>
    </row>
    <row r="707" spans="1:6" ht="47.25">
      <c r="A707" s="25" t="s">
        <v>889</v>
      </c>
      <c r="B707" s="20" t="s">
        <v>281</v>
      </c>
      <c r="C707" s="20" t="s">
        <v>236</v>
      </c>
      <c r="D707" s="20" t="s">
        <v>913</v>
      </c>
      <c r="E707" s="20"/>
      <c r="F707" s="6">
        <f>F708</f>
        <v>100</v>
      </c>
    </row>
    <row r="708" spans="1:6" ht="78.75">
      <c r="A708" s="25" t="s">
        <v>144</v>
      </c>
      <c r="B708" s="20" t="s">
        <v>281</v>
      </c>
      <c r="C708" s="20" t="s">
        <v>236</v>
      </c>
      <c r="D708" s="20" t="s">
        <v>913</v>
      </c>
      <c r="E708" s="20" t="s">
        <v>145</v>
      </c>
      <c r="F708" s="6">
        <f>F709</f>
        <v>100</v>
      </c>
    </row>
    <row r="709" spans="1:6" ht="31.5">
      <c r="A709" s="25" t="s">
        <v>146</v>
      </c>
      <c r="B709" s="20" t="s">
        <v>281</v>
      </c>
      <c r="C709" s="20" t="s">
        <v>236</v>
      </c>
      <c r="D709" s="20" t="s">
        <v>913</v>
      </c>
      <c r="E709" s="20" t="s">
        <v>147</v>
      </c>
      <c r="F709" s="6">
        <f>'Пр.6 ведом.20'!G688</f>
        <v>100</v>
      </c>
    </row>
    <row r="710" spans="1:6" ht="15.75">
      <c r="A710" s="23" t="s">
        <v>158</v>
      </c>
      <c r="B710" s="24" t="s">
        <v>281</v>
      </c>
      <c r="C710" s="24" t="s">
        <v>236</v>
      </c>
      <c r="D710" s="24" t="s">
        <v>917</v>
      </c>
      <c r="E710" s="24"/>
      <c r="F710" s="4">
        <f>F711+F715</f>
        <v>14662.213</v>
      </c>
    </row>
    <row r="711" spans="1:6" ht="31.5">
      <c r="A711" s="23" t="s">
        <v>921</v>
      </c>
      <c r="B711" s="24" t="s">
        <v>281</v>
      </c>
      <c r="C711" s="24" t="s">
        <v>236</v>
      </c>
      <c r="D711" s="24" t="s">
        <v>916</v>
      </c>
      <c r="E711" s="24"/>
      <c r="F711" s="4">
        <f>F712</f>
        <v>300</v>
      </c>
    </row>
    <row r="712" spans="1:6" ht="15.75">
      <c r="A712" s="25" t="s">
        <v>495</v>
      </c>
      <c r="B712" s="20" t="s">
        <v>281</v>
      </c>
      <c r="C712" s="20" t="s">
        <v>236</v>
      </c>
      <c r="D712" s="20" t="s">
        <v>1068</v>
      </c>
      <c r="E712" s="20"/>
      <c r="F712" s="6">
        <f>F713</f>
        <v>300</v>
      </c>
    </row>
    <row r="713" spans="1:6" ht="31.5">
      <c r="A713" s="25" t="s">
        <v>148</v>
      </c>
      <c r="B713" s="20" t="s">
        <v>281</v>
      </c>
      <c r="C713" s="20" t="s">
        <v>236</v>
      </c>
      <c r="D713" s="20" t="s">
        <v>1068</v>
      </c>
      <c r="E713" s="20" t="s">
        <v>149</v>
      </c>
      <c r="F713" s="6">
        <f>F714</f>
        <v>300</v>
      </c>
    </row>
    <row r="714" spans="1:6" ht="39.75" customHeight="1">
      <c r="A714" s="25" t="s">
        <v>150</v>
      </c>
      <c r="B714" s="20" t="s">
        <v>281</v>
      </c>
      <c r="C714" s="20" t="s">
        <v>236</v>
      </c>
      <c r="D714" s="20" t="s">
        <v>1068</v>
      </c>
      <c r="E714" s="20" t="s">
        <v>151</v>
      </c>
      <c r="F714" s="6">
        <f>'Пр.6 ведом.20'!G693</f>
        <v>300</v>
      </c>
    </row>
    <row r="715" spans="1:6" ht="36.75" customHeight="1">
      <c r="A715" s="23" t="s">
        <v>1009</v>
      </c>
      <c r="B715" s="24" t="s">
        <v>281</v>
      </c>
      <c r="C715" s="24" t="s">
        <v>236</v>
      </c>
      <c r="D715" s="24" t="s">
        <v>992</v>
      </c>
      <c r="E715" s="24"/>
      <c r="F715" s="4">
        <f>F716+F723</f>
        <v>14362.213</v>
      </c>
    </row>
    <row r="716" spans="1:6" ht="31.5">
      <c r="A716" s="25" t="s">
        <v>979</v>
      </c>
      <c r="B716" s="20" t="s">
        <v>281</v>
      </c>
      <c r="C716" s="20" t="s">
        <v>236</v>
      </c>
      <c r="D716" s="20" t="s">
        <v>993</v>
      </c>
      <c r="E716" s="20"/>
      <c r="F716" s="59">
        <f>F717+F719+F721</f>
        <v>14032.213</v>
      </c>
    </row>
    <row r="717" spans="1:6" ht="78.75">
      <c r="A717" s="25" t="s">
        <v>144</v>
      </c>
      <c r="B717" s="20" t="s">
        <v>281</v>
      </c>
      <c r="C717" s="20" t="s">
        <v>236</v>
      </c>
      <c r="D717" s="20" t="s">
        <v>993</v>
      </c>
      <c r="E717" s="20" t="s">
        <v>145</v>
      </c>
      <c r="F717" s="59">
        <f>F718</f>
        <v>12715.213</v>
      </c>
    </row>
    <row r="718" spans="1:6" ht="24" customHeight="1">
      <c r="A718" s="25" t="s">
        <v>359</v>
      </c>
      <c r="B718" s="20" t="s">
        <v>281</v>
      </c>
      <c r="C718" s="20" t="s">
        <v>236</v>
      </c>
      <c r="D718" s="20" t="s">
        <v>993</v>
      </c>
      <c r="E718" s="20" t="s">
        <v>226</v>
      </c>
      <c r="F718" s="6">
        <f>'Пр.6 ведом.20'!G697</f>
        <v>12715.213</v>
      </c>
    </row>
    <row r="719" spans="1:6" ht="31.5">
      <c r="A719" s="25" t="s">
        <v>148</v>
      </c>
      <c r="B719" s="20" t="s">
        <v>281</v>
      </c>
      <c r="C719" s="20" t="s">
        <v>236</v>
      </c>
      <c r="D719" s="20" t="s">
        <v>993</v>
      </c>
      <c r="E719" s="20" t="s">
        <v>149</v>
      </c>
      <c r="F719" s="6">
        <f>F720</f>
        <v>1302</v>
      </c>
    </row>
    <row r="720" spans="1:6" ht="31.5" customHeight="1">
      <c r="A720" s="25" t="s">
        <v>150</v>
      </c>
      <c r="B720" s="20" t="s">
        <v>281</v>
      </c>
      <c r="C720" s="20" t="s">
        <v>236</v>
      </c>
      <c r="D720" s="20" t="s">
        <v>993</v>
      </c>
      <c r="E720" s="20" t="s">
        <v>151</v>
      </c>
      <c r="F720" s="6">
        <f>'Пр.6 ведом.20'!G699</f>
        <v>1302</v>
      </c>
    </row>
    <row r="721" spans="1:6" ht="22.5" customHeight="1">
      <c r="A721" s="25" t="s">
        <v>152</v>
      </c>
      <c r="B721" s="20" t="s">
        <v>281</v>
      </c>
      <c r="C721" s="20" t="s">
        <v>236</v>
      </c>
      <c r="D721" s="20" t="s">
        <v>993</v>
      </c>
      <c r="E721" s="20" t="s">
        <v>162</v>
      </c>
      <c r="F721" s="6">
        <f aca="true" t="shared" si="104" ref="F721">F722</f>
        <v>15</v>
      </c>
    </row>
    <row r="722" spans="1:6" ht="15.75" customHeight="1">
      <c r="A722" s="25" t="s">
        <v>585</v>
      </c>
      <c r="B722" s="20" t="s">
        <v>281</v>
      </c>
      <c r="C722" s="20" t="s">
        <v>236</v>
      </c>
      <c r="D722" s="20" t="s">
        <v>993</v>
      </c>
      <c r="E722" s="20" t="s">
        <v>155</v>
      </c>
      <c r="F722" s="6">
        <f>'Пр.6 ведом.20'!G701</f>
        <v>15</v>
      </c>
    </row>
    <row r="723" spans="1:6" ht="47.25" customHeight="1">
      <c r="A723" s="25" t="s">
        <v>889</v>
      </c>
      <c r="B723" s="20" t="s">
        <v>281</v>
      </c>
      <c r="C723" s="20" t="s">
        <v>236</v>
      </c>
      <c r="D723" s="20" t="s">
        <v>994</v>
      </c>
      <c r="E723" s="20"/>
      <c r="F723" s="6">
        <f>F724</f>
        <v>330</v>
      </c>
    </row>
    <row r="724" spans="1:6" ht="78.75">
      <c r="A724" s="25" t="s">
        <v>144</v>
      </c>
      <c r="B724" s="20" t="s">
        <v>281</v>
      </c>
      <c r="C724" s="20" t="s">
        <v>236</v>
      </c>
      <c r="D724" s="20" t="s">
        <v>994</v>
      </c>
      <c r="E724" s="20" t="s">
        <v>145</v>
      </c>
      <c r="F724" s="6">
        <f>F725</f>
        <v>330</v>
      </c>
    </row>
    <row r="725" spans="1:6" ht="31.5">
      <c r="A725" s="25" t="s">
        <v>146</v>
      </c>
      <c r="B725" s="20" t="s">
        <v>281</v>
      </c>
      <c r="C725" s="20" t="s">
        <v>236</v>
      </c>
      <c r="D725" s="20" t="s">
        <v>994</v>
      </c>
      <c r="E725" s="20" t="s">
        <v>147</v>
      </c>
      <c r="F725" s="6">
        <f>'Пр.6 ведом.20'!G704</f>
        <v>330</v>
      </c>
    </row>
    <row r="726" spans="1:8" ht="15.75">
      <c r="A726" s="42" t="s">
        <v>315</v>
      </c>
      <c r="B726" s="7" t="s">
        <v>316</v>
      </c>
      <c r="C726" s="7"/>
      <c r="D726" s="7"/>
      <c r="E726" s="7"/>
      <c r="F726" s="4">
        <f>F727+F793</f>
        <v>68580.954</v>
      </c>
      <c r="H726" s="22"/>
    </row>
    <row r="727" spans="1:10" ht="15.75">
      <c r="A727" s="42" t="s">
        <v>317</v>
      </c>
      <c r="B727" s="7" t="s">
        <v>316</v>
      </c>
      <c r="C727" s="7" t="s">
        <v>135</v>
      </c>
      <c r="D727" s="7"/>
      <c r="E727" s="7"/>
      <c r="F727" s="4">
        <f>F728+F783+F788</f>
        <v>48790.81999999999</v>
      </c>
      <c r="G727" s="22"/>
      <c r="H727" s="22"/>
      <c r="I727" s="22"/>
      <c r="J727" s="22"/>
    </row>
    <row r="728" spans="1:8" ht="34.5" customHeight="1">
      <c r="A728" s="23" t="s">
        <v>283</v>
      </c>
      <c r="B728" s="24" t="s">
        <v>316</v>
      </c>
      <c r="C728" s="24" t="s">
        <v>135</v>
      </c>
      <c r="D728" s="24" t="s">
        <v>284</v>
      </c>
      <c r="E728" s="24"/>
      <c r="F728" s="4">
        <f>F729+F752</f>
        <v>47897.619999999995</v>
      </c>
      <c r="H728" s="239"/>
    </row>
    <row r="729" spans="1:6" ht="47.25">
      <c r="A729" s="23" t="s">
        <v>318</v>
      </c>
      <c r="B729" s="24" t="s">
        <v>316</v>
      </c>
      <c r="C729" s="24" t="s">
        <v>135</v>
      </c>
      <c r="D729" s="24" t="s">
        <v>319</v>
      </c>
      <c r="E729" s="24"/>
      <c r="F729" s="4">
        <f>F730+F738+F744+F748</f>
        <v>26022.3</v>
      </c>
    </row>
    <row r="730" spans="1:6" ht="34.5" customHeight="1">
      <c r="A730" s="23" t="s">
        <v>961</v>
      </c>
      <c r="B730" s="24" t="s">
        <v>316</v>
      </c>
      <c r="C730" s="24" t="s">
        <v>135</v>
      </c>
      <c r="D730" s="24" t="s">
        <v>962</v>
      </c>
      <c r="E730" s="24"/>
      <c r="F730" s="4">
        <f>F731</f>
        <v>24514</v>
      </c>
    </row>
    <row r="731" spans="1:6" ht="15.75">
      <c r="A731" s="25" t="s">
        <v>835</v>
      </c>
      <c r="B731" s="20" t="s">
        <v>316</v>
      </c>
      <c r="C731" s="20" t="s">
        <v>135</v>
      </c>
      <c r="D731" s="20" t="s">
        <v>960</v>
      </c>
      <c r="E731" s="20"/>
      <c r="F731" s="6">
        <f>F732+F734+F736</f>
        <v>24514</v>
      </c>
    </row>
    <row r="732" spans="1:6" ht="78.75">
      <c r="A732" s="25" t="s">
        <v>144</v>
      </c>
      <c r="B732" s="20" t="s">
        <v>316</v>
      </c>
      <c r="C732" s="20" t="s">
        <v>135</v>
      </c>
      <c r="D732" s="20" t="s">
        <v>960</v>
      </c>
      <c r="E732" s="20" t="s">
        <v>145</v>
      </c>
      <c r="F732" s="6">
        <f>F733</f>
        <v>18725</v>
      </c>
    </row>
    <row r="733" spans="1:6" ht="15.75">
      <c r="A733" s="25" t="s">
        <v>225</v>
      </c>
      <c r="B733" s="20" t="s">
        <v>316</v>
      </c>
      <c r="C733" s="20" t="s">
        <v>135</v>
      </c>
      <c r="D733" s="20" t="s">
        <v>960</v>
      </c>
      <c r="E733" s="20" t="s">
        <v>226</v>
      </c>
      <c r="F733" s="6">
        <f>'Пр.6 ведом.20'!G329</f>
        <v>18725</v>
      </c>
    </row>
    <row r="734" spans="1:12" ht="31.5">
      <c r="A734" s="25" t="s">
        <v>148</v>
      </c>
      <c r="B734" s="20" t="s">
        <v>316</v>
      </c>
      <c r="C734" s="20" t="s">
        <v>135</v>
      </c>
      <c r="D734" s="20" t="s">
        <v>960</v>
      </c>
      <c r="E734" s="20" t="s">
        <v>149</v>
      </c>
      <c r="F734" s="6">
        <f>F735</f>
        <v>5681</v>
      </c>
      <c r="G734" s="22"/>
      <c r="L734" s="22"/>
    </row>
    <row r="735" spans="1:6" ht="31.5">
      <c r="A735" s="25" t="s">
        <v>150</v>
      </c>
      <c r="B735" s="20" t="s">
        <v>316</v>
      </c>
      <c r="C735" s="20" t="s">
        <v>135</v>
      </c>
      <c r="D735" s="20" t="s">
        <v>960</v>
      </c>
      <c r="E735" s="20" t="s">
        <v>151</v>
      </c>
      <c r="F735" s="6">
        <f>'Пр.6 ведом.20'!G331</f>
        <v>5681</v>
      </c>
    </row>
    <row r="736" spans="1:6" ht="15.75">
      <c r="A736" s="25" t="s">
        <v>152</v>
      </c>
      <c r="B736" s="20" t="s">
        <v>316</v>
      </c>
      <c r="C736" s="20" t="s">
        <v>135</v>
      </c>
      <c r="D736" s="20" t="s">
        <v>960</v>
      </c>
      <c r="E736" s="20" t="s">
        <v>162</v>
      </c>
      <c r="F736" s="6">
        <f aca="true" t="shared" si="105" ref="F736">F737</f>
        <v>108</v>
      </c>
    </row>
    <row r="737" spans="1:6" ht="15.75">
      <c r="A737" s="25" t="s">
        <v>585</v>
      </c>
      <c r="B737" s="20" t="s">
        <v>316</v>
      </c>
      <c r="C737" s="20" t="s">
        <v>135</v>
      </c>
      <c r="D737" s="20" t="s">
        <v>960</v>
      </c>
      <c r="E737" s="20" t="s">
        <v>155</v>
      </c>
      <c r="F737" s="6">
        <f>'Пр.6 ведом.20'!G333</f>
        <v>108</v>
      </c>
    </row>
    <row r="738" spans="1:6" ht="31.5">
      <c r="A738" s="317" t="s">
        <v>975</v>
      </c>
      <c r="B738" s="24" t="s">
        <v>316</v>
      </c>
      <c r="C738" s="24" t="s">
        <v>135</v>
      </c>
      <c r="D738" s="24" t="s">
        <v>963</v>
      </c>
      <c r="E738" s="24"/>
      <c r="F738" s="4">
        <f>F739</f>
        <v>250</v>
      </c>
    </row>
    <row r="739" spans="1:6" ht="31.5">
      <c r="A739" s="32" t="s">
        <v>864</v>
      </c>
      <c r="B739" s="20" t="s">
        <v>316</v>
      </c>
      <c r="C739" s="20" t="s">
        <v>135</v>
      </c>
      <c r="D739" s="20" t="s">
        <v>964</v>
      </c>
      <c r="E739" s="20"/>
      <c r="F739" s="6">
        <f>F740+F742</f>
        <v>250</v>
      </c>
    </row>
    <row r="740" spans="1:6" ht="78.75">
      <c r="A740" s="25" t="s">
        <v>144</v>
      </c>
      <c r="B740" s="20" t="s">
        <v>316</v>
      </c>
      <c r="C740" s="20" t="s">
        <v>135</v>
      </c>
      <c r="D740" s="20" t="s">
        <v>964</v>
      </c>
      <c r="E740" s="20" t="s">
        <v>145</v>
      </c>
      <c r="F740" s="6">
        <f>F741</f>
        <v>0</v>
      </c>
    </row>
    <row r="741" spans="1:6" ht="15.75">
      <c r="A741" s="25" t="s">
        <v>225</v>
      </c>
      <c r="B741" s="20" t="s">
        <v>316</v>
      </c>
      <c r="C741" s="20" t="s">
        <v>135</v>
      </c>
      <c r="D741" s="20" t="s">
        <v>964</v>
      </c>
      <c r="E741" s="20" t="s">
        <v>226</v>
      </c>
      <c r="F741" s="6">
        <f>'Пр.6 ведом.20'!G337</f>
        <v>0</v>
      </c>
    </row>
    <row r="742" spans="1:6" ht="31.5">
      <c r="A742" s="25" t="s">
        <v>148</v>
      </c>
      <c r="B742" s="20" t="s">
        <v>316</v>
      </c>
      <c r="C742" s="20" t="s">
        <v>135</v>
      </c>
      <c r="D742" s="20" t="s">
        <v>964</v>
      </c>
      <c r="E742" s="20" t="s">
        <v>149</v>
      </c>
      <c r="F742" s="6">
        <f>F743</f>
        <v>250</v>
      </c>
    </row>
    <row r="743" spans="1:6" ht="31.5">
      <c r="A743" s="25" t="s">
        <v>150</v>
      </c>
      <c r="B743" s="20" t="s">
        <v>316</v>
      </c>
      <c r="C743" s="20" t="s">
        <v>135</v>
      </c>
      <c r="D743" s="20" t="s">
        <v>964</v>
      </c>
      <c r="E743" s="20" t="s">
        <v>151</v>
      </c>
      <c r="F743" s="6">
        <f>'Пр.6 ведом.20'!G339</f>
        <v>250</v>
      </c>
    </row>
    <row r="744" spans="1:6" ht="31.5">
      <c r="A744" s="23" t="s">
        <v>1084</v>
      </c>
      <c r="B744" s="24" t="s">
        <v>316</v>
      </c>
      <c r="C744" s="24" t="s">
        <v>135</v>
      </c>
      <c r="D744" s="24" t="s">
        <v>1173</v>
      </c>
      <c r="E744" s="24"/>
      <c r="F744" s="4">
        <f>F745</f>
        <v>585</v>
      </c>
    </row>
    <row r="745" spans="1:6" ht="47.25">
      <c r="A745" s="25" t="s">
        <v>889</v>
      </c>
      <c r="B745" s="20" t="s">
        <v>316</v>
      </c>
      <c r="C745" s="20" t="s">
        <v>135</v>
      </c>
      <c r="D745" s="20" t="s">
        <v>1174</v>
      </c>
      <c r="E745" s="20"/>
      <c r="F745" s="6">
        <f>F746</f>
        <v>585</v>
      </c>
    </row>
    <row r="746" spans="1:6" ht="78.75">
      <c r="A746" s="25" t="s">
        <v>144</v>
      </c>
      <c r="B746" s="20" t="s">
        <v>316</v>
      </c>
      <c r="C746" s="20" t="s">
        <v>135</v>
      </c>
      <c r="D746" s="20" t="s">
        <v>1174</v>
      </c>
      <c r="E746" s="20" t="s">
        <v>145</v>
      </c>
      <c r="F746" s="6">
        <f>F747</f>
        <v>585</v>
      </c>
    </row>
    <row r="747" spans="1:6" ht="31.5">
      <c r="A747" s="25" t="s">
        <v>146</v>
      </c>
      <c r="B747" s="20" t="s">
        <v>316</v>
      </c>
      <c r="C747" s="20" t="s">
        <v>135</v>
      </c>
      <c r="D747" s="20" t="s">
        <v>1174</v>
      </c>
      <c r="E747" s="20" t="s">
        <v>226</v>
      </c>
      <c r="F747" s="6">
        <f>'Пр.6 ведом.20'!G343</f>
        <v>585</v>
      </c>
    </row>
    <row r="748" spans="1:6" ht="47.25">
      <c r="A748" s="318" t="s">
        <v>976</v>
      </c>
      <c r="B748" s="24" t="s">
        <v>316</v>
      </c>
      <c r="C748" s="24" t="s">
        <v>135</v>
      </c>
      <c r="D748" s="24" t="s">
        <v>1175</v>
      </c>
      <c r="E748" s="24"/>
      <c r="F748" s="4">
        <f>F749</f>
        <v>673.3</v>
      </c>
    </row>
    <row r="749" spans="1:6" s="1" customFormat="1" ht="94.5">
      <c r="A749" s="32" t="s">
        <v>310</v>
      </c>
      <c r="B749" s="20" t="s">
        <v>316</v>
      </c>
      <c r="C749" s="20" t="s">
        <v>135</v>
      </c>
      <c r="D749" s="20" t="s">
        <v>1176</v>
      </c>
      <c r="E749" s="20"/>
      <c r="F749" s="6">
        <f>F750</f>
        <v>673.3</v>
      </c>
    </row>
    <row r="750" spans="1:6" ht="78.75">
      <c r="A750" s="25" t="s">
        <v>144</v>
      </c>
      <c r="B750" s="20" t="s">
        <v>316</v>
      </c>
      <c r="C750" s="20" t="s">
        <v>135</v>
      </c>
      <c r="D750" s="20" t="s">
        <v>1176</v>
      </c>
      <c r="E750" s="20" t="s">
        <v>145</v>
      </c>
      <c r="F750" s="6">
        <f>F751</f>
        <v>673.3</v>
      </c>
    </row>
    <row r="751" spans="1:6" ht="15.75">
      <c r="A751" s="25" t="s">
        <v>225</v>
      </c>
      <c r="B751" s="20" t="s">
        <v>316</v>
      </c>
      <c r="C751" s="20" t="s">
        <v>135</v>
      </c>
      <c r="D751" s="20" t="s">
        <v>1176</v>
      </c>
      <c r="E751" s="20" t="s">
        <v>226</v>
      </c>
      <c r="F751" s="6">
        <f>'Пр.6 ведом.20'!G347</f>
        <v>673.3</v>
      </c>
    </row>
    <row r="752" spans="1:8" ht="31.5">
      <c r="A752" s="23" t="s">
        <v>329</v>
      </c>
      <c r="B752" s="24" t="s">
        <v>316</v>
      </c>
      <c r="C752" s="24" t="s">
        <v>135</v>
      </c>
      <c r="D752" s="24" t="s">
        <v>330</v>
      </c>
      <c r="E752" s="24"/>
      <c r="F752" s="4">
        <f>F753+F761+F765+F769+F776</f>
        <v>21875.32</v>
      </c>
      <c r="H752" s="22"/>
    </row>
    <row r="753" spans="1:6" ht="34.5" customHeight="1">
      <c r="A753" s="23" t="s">
        <v>961</v>
      </c>
      <c r="B753" s="24" t="s">
        <v>316</v>
      </c>
      <c r="C753" s="24" t="s">
        <v>135</v>
      </c>
      <c r="D753" s="24" t="s">
        <v>965</v>
      </c>
      <c r="E753" s="24"/>
      <c r="F753" s="4">
        <f>F754</f>
        <v>19822.02</v>
      </c>
    </row>
    <row r="754" spans="1:6" ht="15.75">
      <c r="A754" s="25" t="s">
        <v>835</v>
      </c>
      <c r="B754" s="20" t="s">
        <v>316</v>
      </c>
      <c r="C754" s="20" t="s">
        <v>135</v>
      </c>
      <c r="D754" s="20" t="s">
        <v>966</v>
      </c>
      <c r="E754" s="20"/>
      <c r="F754" s="6">
        <f>F755+F757+F759</f>
        <v>19822.02</v>
      </c>
    </row>
    <row r="755" spans="1:6" ht="78.75">
      <c r="A755" s="25" t="s">
        <v>144</v>
      </c>
      <c r="B755" s="20" t="s">
        <v>316</v>
      </c>
      <c r="C755" s="20" t="s">
        <v>135</v>
      </c>
      <c r="D755" s="20" t="s">
        <v>966</v>
      </c>
      <c r="E755" s="20" t="s">
        <v>145</v>
      </c>
      <c r="F755" s="6">
        <f>'Пр.6 ведом.20'!G352</f>
        <v>15928.02</v>
      </c>
    </row>
    <row r="756" spans="1:6" ht="15.75">
      <c r="A756" s="25" t="s">
        <v>225</v>
      </c>
      <c r="B756" s="20" t="s">
        <v>316</v>
      </c>
      <c r="C756" s="20" t="s">
        <v>135</v>
      </c>
      <c r="D756" s="20" t="s">
        <v>966</v>
      </c>
      <c r="E756" s="20" t="s">
        <v>226</v>
      </c>
      <c r="F756" s="6">
        <f>'Пр.6 ведом.20'!G352</f>
        <v>15928.02</v>
      </c>
    </row>
    <row r="757" spans="1:6" ht="31.5">
      <c r="A757" s="25" t="s">
        <v>148</v>
      </c>
      <c r="B757" s="20" t="s">
        <v>316</v>
      </c>
      <c r="C757" s="20" t="s">
        <v>135</v>
      </c>
      <c r="D757" s="20" t="s">
        <v>966</v>
      </c>
      <c r="E757" s="20" t="s">
        <v>149</v>
      </c>
      <c r="F757" s="6">
        <f>'Пр.6 ведом.20'!G354</f>
        <v>3858</v>
      </c>
    </row>
    <row r="758" spans="1:6" ht="31.5">
      <c r="A758" s="25" t="s">
        <v>150</v>
      </c>
      <c r="B758" s="20" t="s">
        <v>316</v>
      </c>
      <c r="C758" s="20" t="s">
        <v>135</v>
      </c>
      <c r="D758" s="20" t="s">
        <v>966</v>
      </c>
      <c r="E758" s="20" t="s">
        <v>151</v>
      </c>
      <c r="F758" s="6">
        <f>'Пр.6 ведом.20'!G354</f>
        <v>3858</v>
      </c>
    </row>
    <row r="759" spans="1:6" ht="15.75">
      <c r="A759" s="25" t="s">
        <v>152</v>
      </c>
      <c r="B759" s="20" t="s">
        <v>316</v>
      </c>
      <c r="C759" s="20" t="s">
        <v>135</v>
      </c>
      <c r="D759" s="20" t="s">
        <v>966</v>
      </c>
      <c r="E759" s="20" t="s">
        <v>162</v>
      </c>
      <c r="F759" s="6">
        <f>'Пр.6 ведом.20'!G356</f>
        <v>36</v>
      </c>
    </row>
    <row r="760" spans="1:6" ht="15.75">
      <c r="A760" s="25" t="s">
        <v>585</v>
      </c>
      <c r="B760" s="20" t="s">
        <v>316</v>
      </c>
      <c r="C760" s="20" t="s">
        <v>135</v>
      </c>
      <c r="D760" s="20" t="s">
        <v>966</v>
      </c>
      <c r="E760" s="20" t="s">
        <v>155</v>
      </c>
      <c r="F760" s="6">
        <f>'Пр.6 ведом.20'!G356</f>
        <v>36</v>
      </c>
    </row>
    <row r="761" spans="1:6" ht="31.5">
      <c r="A761" s="23" t="s">
        <v>978</v>
      </c>
      <c r="B761" s="24" t="s">
        <v>316</v>
      </c>
      <c r="C761" s="24" t="s">
        <v>135</v>
      </c>
      <c r="D761" s="24" t="s">
        <v>967</v>
      </c>
      <c r="E761" s="24"/>
      <c r="F761" s="4">
        <f>F762</f>
        <v>200</v>
      </c>
    </row>
    <row r="762" spans="1:6" ht="31.5">
      <c r="A762" s="25" t="s">
        <v>870</v>
      </c>
      <c r="B762" s="20" t="s">
        <v>316</v>
      </c>
      <c r="C762" s="20" t="s">
        <v>135</v>
      </c>
      <c r="D762" s="20" t="s">
        <v>968</v>
      </c>
      <c r="E762" s="20"/>
      <c r="F762" s="6">
        <f>F763</f>
        <v>200</v>
      </c>
    </row>
    <row r="763" spans="1:6" ht="31.5">
      <c r="A763" s="25" t="s">
        <v>148</v>
      </c>
      <c r="B763" s="20" t="s">
        <v>316</v>
      </c>
      <c r="C763" s="20" t="s">
        <v>135</v>
      </c>
      <c r="D763" s="20" t="s">
        <v>968</v>
      </c>
      <c r="E763" s="20" t="s">
        <v>149</v>
      </c>
      <c r="F763" s="6">
        <f>F764</f>
        <v>200</v>
      </c>
    </row>
    <row r="764" spans="1:6" ht="31.5">
      <c r="A764" s="25" t="s">
        <v>150</v>
      </c>
      <c r="B764" s="20" t="s">
        <v>316</v>
      </c>
      <c r="C764" s="20" t="s">
        <v>135</v>
      </c>
      <c r="D764" s="20" t="s">
        <v>968</v>
      </c>
      <c r="E764" s="20" t="s">
        <v>151</v>
      </c>
      <c r="F764" s="6">
        <f>'Пр.6 ведом.20'!G360</f>
        <v>200</v>
      </c>
    </row>
    <row r="765" spans="1:6" ht="31.5">
      <c r="A765" s="23" t="s">
        <v>1084</v>
      </c>
      <c r="B765" s="24" t="s">
        <v>316</v>
      </c>
      <c r="C765" s="24" t="s">
        <v>135</v>
      </c>
      <c r="D765" s="24" t="s">
        <v>969</v>
      </c>
      <c r="E765" s="24"/>
      <c r="F765" s="4">
        <f>F766</f>
        <v>507</v>
      </c>
    </row>
    <row r="766" spans="1:6" ht="31.5" customHeight="1">
      <c r="A766" s="25" t="s">
        <v>889</v>
      </c>
      <c r="B766" s="20" t="s">
        <v>316</v>
      </c>
      <c r="C766" s="20" t="s">
        <v>135</v>
      </c>
      <c r="D766" s="20" t="s">
        <v>1269</v>
      </c>
      <c r="E766" s="20"/>
      <c r="F766" s="6">
        <f>F767</f>
        <v>507</v>
      </c>
    </row>
    <row r="767" spans="1:6" ht="31.5" customHeight="1">
      <c r="A767" s="25" t="s">
        <v>144</v>
      </c>
      <c r="B767" s="20" t="s">
        <v>316</v>
      </c>
      <c r="C767" s="20" t="s">
        <v>135</v>
      </c>
      <c r="D767" s="20" t="s">
        <v>1269</v>
      </c>
      <c r="E767" s="20" t="s">
        <v>145</v>
      </c>
      <c r="F767" s="6">
        <f aca="true" t="shared" si="106" ref="F767">F768</f>
        <v>507</v>
      </c>
    </row>
    <row r="768" spans="1:6" ht="38.25" customHeight="1">
      <c r="A768" s="25" t="s">
        <v>146</v>
      </c>
      <c r="B768" s="20" t="s">
        <v>316</v>
      </c>
      <c r="C768" s="20" t="s">
        <v>135</v>
      </c>
      <c r="D768" s="20" t="s">
        <v>1269</v>
      </c>
      <c r="E768" s="20" t="s">
        <v>226</v>
      </c>
      <c r="F768" s="6">
        <f>'Пр.6 ведом.20'!G364</f>
        <v>507</v>
      </c>
    </row>
    <row r="769" spans="1:6" ht="32.25" customHeight="1">
      <c r="A769" s="23" t="s">
        <v>1172</v>
      </c>
      <c r="B769" s="24" t="s">
        <v>316</v>
      </c>
      <c r="C769" s="24" t="s">
        <v>135</v>
      </c>
      <c r="D769" s="24" t="s">
        <v>970</v>
      </c>
      <c r="E769" s="24"/>
      <c r="F769" s="4">
        <f>F770+F773</f>
        <v>72.6</v>
      </c>
    </row>
    <row r="770" spans="1:6" ht="15.75" customHeight="1">
      <c r="A770" s="25" t="s">
        <v>346</v>
      </c>
      <c r="B770" s="20" t="s">
        <v>316</v>
      </c>
      <c r="C770" s="20" t="s">
        <v>135</v>
      </c>
      <c r="D770" s="20" t="s">
        <v>1270</v>
      </c>
      <c r="E770" s="20"/>
      <c r="F770" s="6">
        <f>F771</f>
        <v>3.5</v>
      </c>
    </row>
    <row r="771" spans="1:6" ht="31.5">
      <c r="A771" s="25" t="s">
        <v>148</v>
      </c>
      <c r="B771" s="20" t="s">
        <v>316</v>
      </c>
      <c r="C771" s="20" t="s">
        <v>135</v>
      </c>
      <c r="D771" s="20" t="s">
        <v>1270</v>
      </c>
      <c r="E771" s="20" t="s">
        <v>149</v>
      </c>
      <c r="F771" s="6">
        <f>F772</f>
        <v>3.5</v>
      </c>
    </row>
    <row r="772" spans="1:6" ht="31.5" customHeight="1">
      <c r="A772" s="25" t="s">
        <v>150</v>
      </c>
      <c r="B772" s="20" t="s">
        <v>316</v>
      </c>
      <c r="C772" s="20" t="s">
        <v>135</v>
      </c>
      <c r="D772" s="20" t="s">
        <v>1270</v>
      </c>
      <c r="E772" s="20" t="s">
        <v>151</v>
      </c>
      <c r="F772" s="6">
        <f>'Пр.6 ведом.20'!G368</f>
        <v>3.5</v>
      </c>
    </row>
    <row r="773" spans="1:6" ht="18.75" customHeight="1">
      <c r="A773" s="25" t="s">
        <v>346</v>
      </c>
      <c r="B773" s="20" t="s">
        <v>316</v>
      </c>
      <c r="C773" s="20" t="s">
        <v>135</v>
      </c>
      <c r="D773" s="20" t="s">
        <v>1271</v>
      </c>
      <c r="E773" s="20"/>
      <c r="F773" s="6">
        <f>F774</f>
        <v>69.1</v>
      </c>
    </row>
    <row r="774" spans="1:6" ht="31.5">
      <c r="A774" s="25" t="s">
        <v>148</v>
      </c>
      <c r="B774" s="20" t="s">
        <v>316</v>
      </c>
      <c r="C774" s="20" t="s">
        <v>135</v>
      </c>
      <c r="D774" s="20" t="s">
        <v>1271</v>
      </c>
      <c r="E774" s="20" t="s">
        <v>149</v>
      </c>
      <c r="F774" s="6">
        <f aca="true" t="shared" si="107" ref="F774">F775</f>
        <v>69.1</v>
      </c>
    </row>
    <row r="775" spans="1:6" ht="31.5">
      <c r="A775" s="25" t="s">
        <v>150</v>
      </c>
      <c r="B775" s="20" t="s">
        <v>316</v>
      </c>
      <c r="C775" s="20" t="s">
        <v>135</v>
      </c>
      <c r="D775" s="20" t="s">
        <v>1271</v>
      </c>
      <c r="E775" s="39">
        <v>240</v>
      </c>
      <c r="F775" s="6">
        <f>'Пр.6 ведом.20'!G371</f>
        <v>69.1</v>
      </c>
    </row>
    <row r="776" spans="1:6" ht="47.25">
      <c r="A776" s="318" t="s">
        <v>976</v>
      </c>
      <c r="B776" s="24" t="s">
        <v>316</v>
      </c>
      <c r="C776" s="24" t="s">
        <v>135</v>
      </c>
      <c r="D776" s="24" t="s">
        <v>1272</v>
      </c>
      <c r="E776" s="24"/>
      <c r="F776" s="61">
        <f>F777+F780</f>
        <v>1273.7</v>
      </c>
    </row>
    <row r="777" spans="1:6" ht="31.5" customHeight="1">
      <c r="A777" s="25" t="s">
        <v>348</v>
      </c>
      <c r="B777" s="20" t="s">
        <v>316</v>
      </c>
      <c r="C777" s="20" t="s">
        <v>135</v>
      </c>
      <c r="D777" s="20" t="s">
        <v>1273</v>
      </c>
      <c r="E777" s="20"/>
      <c r="F777" s="59">
        <f aca="true" t="shared" si="108" ref="F777">F778</f>
        <v>273.7</v>
      </c>
    </row>
    <row r="778" spans="1:6" ht="47.25" customHeight="1">
      <c r="A778" s="25" t="s">
        <v>144</v>
      </c>
      <c r="B778" s="20" t="s">
        <v>316</v>
      </c>
      <c r="C778" s="20" t="s">
        <v>135</v>
      </c>
      <c r="D778" s="20" t="s">
        <v>1273</v>
      </c>
      <c r="E778" s="20" t="s">
        <v>145</v>
      </c>
      <c r="F778" s="59">
        <f>F779</f>
        <v>273.7</v>
      </c>
    </row>
    <row r="779" spans="1:6" ht="15.75">
      <c r="A779" s="25" t="s">
        <v>225</v>
      </c>
      <c r="B779" s="20" t="s">
        <v>316</v>
      </c>
      <c r="C779" s="20" t="s">
        <v>135</v>
      </c>
      <c r="D779" s="20" t="s">
        <v>1273</v>
      </c>
      <c r="E779" s="20" t="s">
        <v>226</v>
      </c>
      <c r="F779" s="6">
        <f>'Пр.6 ведом.20'!G375</f>
        <v>273.7</v>
      </c>
    </row>
    <row r="780" spans="1:6" ht="94.5">
      <c r="A780" s="32" t="s">
        <v>310</v>
      </c>
      <c r="B780" s="20" t="s">
        <v>316</v>
      </c>
      <c r="C780" s="20" t="s">
        <v>135</v>
      </c>
      <c r="D780" s="20" t="s">
        <v>1274</v>
      </c>
      <c r="E780" s="20"/>
      <c r="F780" s="6">
        <f>F781</f>
        <v>1000</v>
      </c>
    </row>
    <row r="781" spans="1:6" ht="78.75">
      <c r="A781" s="25" t="s">
        <v>144</v>
      </c>
      <c r="B781" s="20" t="s">
        <v>316</v>
      </c>
      <c r="C781" s="20" t="s">
        <v>135</v>
      </c>
      <c r="D781" s="20" t="s">
        <v>1274</v>
      </c>
      <c r="E781" s="20" t="s">
        <v>145</v>
      </c>
      <c r="F781" s="59">
        <f aca="true" t="shared" si="109" ref="F781">F782</f>
        <v>1000</v>
      </c>
    </row>
    <row r="782" spans="1:6" ht="15.75">
      <c r="A782" s="25" t="s">
        <v>225</v>
      </c>
      <c r="B782" s="20" t="s">
        <v>316</v>
      </c>
      <c r="C782" s="20" t="s">
        <v>135</v>
      </c>
      <c r="D782" s="20" t="s">
        <v>1274</v>
      </c>
      <c r="E782" s="20" t="s">
        <v>226</v>
      </c>
      <c r="F782" s="59">
        <f>'Пр.6 ведом.20'!G378</f>
        <v>1000</v>
      </c>
    </row>
    <row r="783" spans="1:6" ht="63">
      <c r="A783" s="35" t="s">
        <v>807</v>
      </c>
      <c r="B783" s="24" t="s">
        <v>316</v>
      </c>
      <c r="C783" s="24" t="s">
        <v>135</v>
      </c>
      <c r="D783" s="24" t="s">
        <v>341</v>
      </c>
      <c r="E783" s="24"/>
      <c r="F783" s="61">
        <f>F784</f>
        <v>100</v>
      </c>
    </row>
    <row r="784" spans="1:8" ht="63">
      <c r="A784" s="35" t="s">
        <v>1202</v>
      </c>
      <c r="B784" s="24" t="s">
        <v>316</v>
      </c>
      <c r="C784" s="24" t="s">
        <v>135</v>
      </c>
      <c r="D784" s="24" t="s">
        <v>1033</v>
      </c>
      <c r="E784" s="24"/>
      <c r="F784" s="4">
        <f>F785</f>
        <v>100</v>
      </c>
      <c r="H784" s="22"/>
    </row>
    <row r="785" spans="1:6" ht="47.25">
      <c r="A785" s="32" t="s">
        <v>1289</v>
      </c>
      <c r="B785" s="20" t="s">
        <v>316</v>
      </c>
      <c r="C785" s="20" t="s">
        <v>135</v>
      </c>
      <c r="D785" s="20" t="s">
        <v>1204</v>
      </c>
      <c r="E785" s="20"/>
      <c r="F785" s="6">
        <f>F786</f>
        <v>100</v>
      </c>
    </row>
    <row r="786" spans="1:6" ht="31.5">
      <c r="A786" s="25" t="s">
        <v>148</v>
      </c>
      <c r="B786" s="20" t="s">
        <v>316</v>
      </c>
      <c r="C786" s="20" t="s">
        <v>135</v>
      </c>
      <c r="D786" s="20" t="s">
        <v>1204</v>
      </c>
      <c r="E786" s="20" t="s">
        <v>149</v>
      </c>
      <c r="F786" s="6">
        <f>F787</f>
        <v>100</v>
      </c>
    </row>
    <row r="787" spans="1:6" ht="31.5">
      <c r="A787" s="25" t="s">
        <v>150</v>
      </c>
      <c r="B787" s="20" t="s">
        <v>316</v>
      </c>
      <c r="C787" s="20" t="s">
        <v>135</v>
      </c>
      <c r="D787" s="20" t="s">
        <v>1204</v>
      </c>
      <c r="E787" s="20" t="s">
        <v>151</v>
      </c>
      <c r="F787" s="6">
        <f>'Пр.6 ведом.20'!G383</f>
        <v>100</v>
      </c>
    </row>
    <row r="788" spans="1:6" ht="63">
      <c r="A788" s="42" t="s">
        <v>1188</v>
      </c>
      <c r="B788" s="24" t="s">
        <v>316</v>
      </c>
      <c r="C788" s="24" t="s">
        <v>135</v>
      </c>
      <c r="D788" s="24" t="s">
        <v>730</v>
      </c>
      <c r="E788" s="324"/>
      <c r="F788" s="4">
        <f aca="true" t="shared" si="110" ref="F788">F789</f>
        <v>793.2</v>
      </c>
    </row>
    <row r="789" spans="1:8" ht="47.25">
      <c r="A789" s="42" t="s">
        <v>954</v>
      </c>
      <c r="B789" s="24" t="s">
        <v>316</v>
      </c>
      <c r="C789" s="24" t="s">
        <v>135</v>
      </c>
      <c r="D789" s="24" t="s">
        <v>952</v>
      </c>
      <c r="E789" s="324"/>
      <c r="F789" s="4">
        <f>F790</f>
        <v>793.2</v>
      </c>
      <c r="G789" s="213"/>
      <c r="H789" s="115"/>
    </row>
    <row r="790" spans="1:6" ht="47.25">
      <c r="A790" s="107" t="s">
        <v>1198</v>
      </c>
      <c r="B790" s="20" t="s">
        <v>316</v>
      </c>
      <c r="C790" s="20" t="s">
        <v>135</v>
      </c>
      <c r="D790" s="20" t="s">
        <v>953</v>
      </c>
      <c r="E790" s="33"/>
      <c r="F790" s="59">
        <f>F791</f>
        <v>793.2</v>
      </c>
    </row>
    <row r="791" spans="1:6" ht="31.5">
      <c r="A791" s="25" t="s">
        <v>148</v>
      </c>
      <c r="B791" s="20" t="s">
        <v>316</v>
      </c>
      <c r="C791" s="20" t="s">
        <v>135</v>
      </c>
      <c r="D791" s="20" t="s">
        <v>953</v>
      </c>
      <c r="E791" s="33" t="s">
        <v>149</v>
      </c>
      <c r="F791" s="6">
        <f>F792</f>
        <v>793.2</v>
      </c>
    </row>
    <row r="792" spans="1:6" ht="31.5">
      <c r="A792" s="25" t="s">
        <v>150</v>
      </c>
      <c r="B792" s="20" t="s">
        <v>316</v>
      </c>
      <c r="C792" s="20" t="s">
        <v>135</v>
      </c>
      <c r="D792" s="20" t="s">
        <v>953</v>
      </c>
      <c r="E792" s="33" t="s">
        <v>151</v>
      </c>
      <c r="F792" s="6">
        <f>'Пр.6 ведом.20'!G388</f>
        <v>793.2</v>
      </c>
    </row>
    <row r="793" spans="1:6" s="252" customFormat="1" ht="31.5">
      <c r="A793" s="23" t="s">
        <v>350</v>
      </c>
      <c r="B793" s="24" t="s">
        <v>316</v>
      </c>
      <c r="C793" s="24" t="s">
        <v>167</v>
      </c>
      <c r="D793" s="24"/>
      <c r="E793" s="33"/>
      <c r="F793" s="4">
        <f>F794+F804+F816</f>
        <v>19790.134</v>
      </c>
    </row>
    <row r="794" spans="1:6" s="252" customFormat="1" ht="31.5">
      <c r="A794" s="23" t="s">
        <v>995</v>
      </c>
      <c r="B794" s="24" t="s">
        <v>316</v>
      </c>
      <c r="C794" s="24" t="s">
        <v>167</v>
      </c>
      <c r="D794" s="24" t="s">
        <v>909</v>
      </c>
      <c r="E794" s="33"/>
      <c r="F794" s="4">
        <f>F795</f>
        <v>7489.590999999999</v>
      </c>
    </row>
    <row r="795" spans="1:6" s="252" customFormat="1" ht="15.75">
      <c r="A795" s="23" t="s">
        <v>996</v>
      </c>
      <c r="B795" s="24" t="s">
        <v>316</v>
      </c>
      <c r="C795" s="24" t="s">
        <v>167</v>
      </c>
      <c r="D795" s="24" t="s">
        <v>910</v>
      </c>
      <c r="E795" s="33"/>
      <c r="F795" s="4">
        <f>F796+F801</f>
        <v>7489.590999999999</v>
      </c>
    </row>
    <row r="796" spans="1:6" s="252" customFormat="1" ht="31.5">
      <c r="A796" s="25" t="s">
        <v>972</v>
      </c>
      <c r="B796" s="20" t="s">
        <v>316</v>
      </c>
      <c r="C796" s="20" t="s">
        <v>167</v>
      </c>
      <c r="D796" s="20" t="s">
        <v>911</v>
      </c>
      <c r="E796" s="33"/>
      <c r="F796" s="6">
        <f>F797+F799</f>
        <v>7339.590999999999</v>
      </c>
    </row>
    <row r="797" spans="1:6" s="252" customFormat="1" ht="78.75">
      <c r="A797" s="25" t="s">
        <v>144</v>
      </c>
      <c r="B797" s="20" t="s">
        <v>316</v>
      </c>
      <c r="C797" s="20" t="s">
        <v>167</v>
      </c>
      <c r="D797" s="20" t="s">
        <v>911</v>
      </c>
      <c r="E797" s="33" t="s">
        <v>145</v>
      </c>
      <c r="F797" s="6">
        <f>F798</f>
        <v>7339.590999999999</v>
      </c>
    </row>
    <row r="798" spans="1:6" ht="31.5">
      <c r="A798" s="25" t="s">
        <v>146</v>
      </c>
      <c r="B798" s="20" t="s">
        <v>316</v>
      </c>
      <c r="C798" s="20" t="s">
        <v>167</v>
      </c>
      <c r="D798" s="20" t="s">
        <v>911</v>
      </c>
      <c r="E798" s="41" t="s">
        <v>147</v>
      </c>
      <c r="F798" s="6">
        <f>'Пр.6 ведом.20'!G394</f>
        <v>7339.590999999999</v>
      </c>
    </row>
    <row r="799" spans="1:6" ht="31.5">
      <c r="A799" s="25" t="s">
        <v>148</v>
      </c>
      <c r="B799" s="20" t="s">
        <v>316</v>
      </c>
      <c r="C799" s="20" t="s">
        <v>167</v>
      </c>
      <c r="D799" s="20" t="s">
        <v>911</v>
      </c>
      <c r="E799" s="41" t="s">
        <v>149</v>
      </c>
      <c r="F799" s="6">
        <f>F800</f>
        <v>0</v>
      </c>
    </row>
    <row r="800" spans="1:6" ht="31.5">
      <c r="A800" s="25" t="s">
        <v>150</v>
      </c>
      <c r="B800" s="20" t="s">
        <v>316</v>
      </c>
      <c r="C800" s="20" t="s">
        <v>167</v>
      </c>
      <c r="D800" s="20" t="s">
        <v>911</v>
      </c>
      <c r="E800" s="41" t="s">
        <v>151</v>
      </c>
      <c r="F800" s="6">
        <f>'Пр.6 ведом.20'!G396</f>
        <v>0</v>
      </c>
    </row>
    <row r="801" spans="1:6" ht="47.25">
      <c r="A801" s="25" t="s">
        <v>889</v>
      </c>
      <c r="B801" s="20" t="s">
        <v>316</v>
      </c>
      <c r="C801" s="20" t="s">
        <v>167</v>
      </c>
      <c r="D801" s="20" t="s">
        <v>913</v>
      </c>
      <c r="E801" s="41"/>
      <c r="F801" s="6">
        <f>F802</f>
        <v>150</v>
      </c>
    </row>
    <row r="802" spans="1:6" ht="78.75">
      <c r="A802" s="25" t="s">
        <v>144</v>
      </c>
      <c r="B802" s="20" t="s">
        <v>316</v>
      </c>
      <c r="C802" s="20" t="s">
        <v>167</v>
      </c>
      <c r="D802" s="20" t="s">
        <v>913</v>
      </c>
      <c r="E802" s="41" t="s">
        <v>145</v>
      </c>
      <c r="F802" s="6">
        <f aca="true" t="shared" si="111" ref="F802">F803</f>
        <v>150</v>
      </c>
    </row>
    <row r="803" spans="1:6" ht="31.5">
      <c r="A803" s="25" t="s">
        <v>146</v>
      </c>
      <c r="B803" s="20" t="s">
        <v>316</v>
      </c>
      <c r="C803" s="20" t="s">
        <v>167</v>
      </c>
      <c r="D803" s="20" t="s">
        <v>913</v>
      </c>
      <c r="E803" s="41" t="s">
        <v>147</v>
      </c>
      <c r="F803" s="6">
        <f>'Пр.6 ведом.20'!G399</f>
        <v>150</v>
      </c>
    </row>
    <row r="804" spans="1:6" ht="15.75">
      <c r="A804" s="23" t="s">
        <v>1006</v>
      </c>
      <c r="B804" s="24" t="s">
        <v>316</v>
      </c>
      <c r="C804" s="24" t="s">
        <v>167</v>
      </c>
      <c r="D804" s="24" t="s">
        <v>917</v>
      </c>
      <c r="E804" s="41"/>
      <c r="F804" s="4">
        <f aca="true" t="shared" si="112" ref="F804">F805</f>
        <v>12040.543</v>
      </c>
    </row>
    <row r="805" spans="1:6" ht="31.5">
      <c r="A805" s="23" t="s">
        <v>1009</v>
      </c>
      <c r="B805" s="24" t="s">
        <v>316</v>
      </c>
      <c r="C805" s="24" t="s">
        <v>167</v>
      </c>
      <c r="D805" s="24" t="s">
        <v>992</v>
      </c>
      <c r="E805" s="41"/>
      <c r="F805" s="4">
        <f>F806+F813</f>
        <v>12040.543</v>
      </c>
    </row>
    <row r="806" spans="1:6" ht="31.5">
      <c r="A806" s="25" t="s">
        <v>979</v>
      </c>
      <c r="B806" s="20" t="s">
        <v>316</v>
      </c>
      <c r="C806" s="20" t="s">
        <v>167</v>
      </c>
      <c r="D806" s="20" t="s">
        <v>993</v>
      </c>
      <c r="E806" s="41"/>
      <c r="F806" s="6">
        <f>F807+F809+F811</f>
        <v>11860.543</v>
      </c>
    </row>
    <row r="807" spans="1:6" ht="78.75">
      <c r="A807" s="25" t="s">
        <v>144</v>
      </c>
      <c r="B807" s="20" t="s">
        <v>316</v>
      </c>
      <c r="C807" s="20" t="s">
        <v>167</v>
      </c>
      <c r="D807" s="20" t="s">
        <v>993</v>
      </c>
      <c r="E807" s="41" t="s">
        <v>145</v>
      </c>
      <c r="F807" s="6">
        <f aca="true" t="shared" si="113" ref="F807">F808</f>
        <v>9909.543</v>
      </c>
    </row>
    <row r="808" spans="1:6" ht="21.75" customHeight="1">
      <c r="A808" s="25" t="s">
        <v>359</v>
      </c>
      <c r="B808" s="20" t="s">
        <v>316</v>
      </c>
      <c r="C808" s="20" t="s">
        <v>167</v>
      </c>
      <c r="D808" s="20" t="s">
        <v>993</v>
      </c>
      <c r="E808" s="41" t="s">
        <v>226</v>
      </c>
      <c r="F808" s="6">
        <f>'Пр.6 ведом.20'!G404</f>
        <v>9909.543</v>
      </c>
    </row>
    <row r="809" spans="1:6" ht="31.5">
      <c r="A809" s="25" t="s">
        <v>148</v>
      </c>
      <c r="B809" s="20" t="s">
        <v>316</v>
      </c>
      <c r="C809" s="20" t="s">
        <v>167</v>
      </c>
      <c r="D809" s="20" t="s">
        <v>993</v>
      </c>
      <c r="E809" s="41" t="s">
        <v>149</v>
      </c>
      <c r="F809" s="6">
        <f aca="true" t="shared" si="114" ref="F809:F811">F810</f>
        <v>1937</v>
      </c>
    </row>
    <row r="810" spans="1:6" ht="31.5">
      <c r="A810" s="25" t="s">
        <v>150</v>
      </c>
      <c r="B810" s="20" t="s">
        <v>316</v>
      </c>
      <c r="C810" s="20" t="s">
        <v>167</v>
      </c>
      <c r="D810" s="20" t="s">
        <v>993</v>
      </c>
      <c r="E810" s="41" t="s">
        <v>151</v>
      </c>
      <c r="F810" s="6">
        <f>'Пр.6 ведом.20'!G406</f>
        <v>1937</v>
      </c>
    </row>
    <row r="811" spans="1:6" ht="15.75">
      <c r="A811" s="25" t="s">
        <v>152</v>
      </c>
      <c r="B811" s="20" t="s">
        <v>316</v>
      </c>
      <c r="C811" s="20" t="s">
        <v>167</v>
      </c>
      <c r="D811" s="20" t="s">
        <v>993</v>
      </c>
      <c r="E811" s="41" t="s">
        <v>162</v>
      </c>
      <c r="F811" s="6">
        <f t="shared" si="114"/>
        <v>14</v>
      </c>
    </row>
    <row r="812" spans="1:6" ht="15.75">
      <c r="A812" s="25" t="s">
        <v>585</v>
      </c>
      <c r="B812" s="20" t="s">
        <v>316</v>
      </c>
      <c r="C812" s="20" t="s">
        <v>167</v>
      </c>
      <c r="D812" s="20" t="s">
        <v>993</v>
      </c>
      <c r="E812" s="41" t="s">
        <v>155</v>
      </c>
      <c r="F812" s="6">
        <f>'Пр.6 ведом.20'!G408</f>
        <v>14</v>
      </c>
    </row>
    <row r="813" spans="1:6" ht="47.25">
      <c r="A813" s="25" t="s">
        <v>889</v>
      </c>
      <c r="B813" s="20" t="s">
        <v>316</v>
      </c>
      <c r="C813" s="20" t="s">
        <v>167</v>
      </c>
      <c r="D813" s="20" t="s">
        <v>994</v>
      </c>
      <c r="E813" s="41"/>
      <c r="F813" s="6">
        <f>F814</f>
        <v>180</v>
      </c>
    </row>
    <row r="814" spans="1:6" ht="78.75">
      <c r="A814" s="25" t="s">
        <v>144</v>
      </c>
      <c r="B814" s="20" t="s">
        <v>316</v>
      </c>
      <c r="C814" s="20" t="s">
        <v>167</v>
      </c>
      <c r="D814" s="20" t="s">
        <v>994</v>
      </c>
      <c r="E814" s="41" t="s">
        <v>145</v>
      </c>
      <c r="F814" s="6">
        <f aca="true" t="shared" si="115" ref="F814">F815</f>
        <v>180</v>
      </c>
    </row>
    <row r="815" spans="1:6" ht="31.5">
      <c r="A815" s="25" t="s">
        <v>146</v>
      </c>
      <c r="B815" s="20" t="s">
        <v>316</v>
      </c>
      <c r="C815" s="20" t="s">
        <v>167</v>
      </c>
      <c r="D815" s="20" t="s">
        <v>994</v>
      </c>
      <c r="E815" s="41" t="s">
        <v>226</v>
      </c>
      <c r="F815" s="6">
        <f>'Пр.6 ведом.20'!G411</f>
        <v>180</v>
      </c>
    </row>
    <row r="816" spans="1:6" ht="47.25">
      <c r="A816" s="23" t="s">
        <v>360</v>
      </c>
      <c r="B816" s="24" t="s">
        <v>316</v>
      </c>
      <c r="C816" s="24" t="s">
        <v>167</v>
      </c>
      <c r="D816" s="24" t="s">
        <v>361</v>
      </c>
      <c r="E816" s="41"/>
      <c r="F816" s="4">
        <f>F817</f>
        <v>260</v>
      </c>
    </row>
    <row r="817" spans="1:6" ht="47.25">
      <c r="A817" s="23" t="s">
        <v>381</v>
      </c>
      <c r="B817" s="24" t="s">
        <v>316</v>
      </c>
      <c r="C817" s="24" t="s">
        <v>167</v>
      </c>
      <c r="D817" s="24" t="s">
        <v>382</v>
      </c>
      <c r="E817" s="41"/>
      <c r="F817" s="4">
        <f>F818</f>
        <v>260</v>
      </c>
    </row>
    <row r="818" spans="1:6" ht="31.5">
      <c r="A818" s="23" t="s">
        <v>1155</v>
      </c>
      <c r="B818" s="24" t="s">
        <v>316</v>
      </c>
      <c r="C818" s="24" t="s">
        <v>167</v>
      </c>
      <c r="D818" s="24" t="s">
        <v>971</v>
      </c>
      <c r="E818" s="41"/>
      <c r="F818" s="4">
        <f>F819</f>
        <v>260</v>
      </c>
    </row>
    <row r="819" spans="1:6" ht="31.5">
      <c r="A819" s="25" t="s">
        <v>1154</v>
      </c>
      <c r="B819" s="20" t="s">
        <v>316</v>
      </c>
      <c r="C819" s="20" t="s">
        <v>167</v>
      </c>
      <c r="D819" s="20" t="s">
        <v>1240</v>
      </c>
      <c r="E819" s="41"/>
      <c r="F819" s="6">
        <f aca="true" t="shared" si="116" ref="F819">F820</f>
        <v>260</v>
      </c>
    </row>
    <row r="820" spans="1:6" ht="31.5">
      <c r="A820" s="25" t="s">
        <v>148</v>
      </c>
      <c r="B820" s="20" t="s">
        <v>316</v>
      </c>
      <c r="C820" s="20" t="s">
        <v>167</v>
      </c>
      <c r="D820" s="20" t="s">
        <v>1240</v>
      </c>
      <c r="E820" s="41"/>
      <c r="F820" s="6">
        <f>F821</f>
        <v>260</v>
      </c>
    </row>
    <row r="821" spans="1:6" ht="31.5">
      <c r="A821" s="25" t="s">
        <v>150</v>
      </c>
      <c r="B821" s="20" t="s">
        <v>316</v>
      </c>
      <c r="C821" s="20" t="s">
        <v>167</v>
      </c>
      <c r="D821" s="20" t="s">
        <v>1240</v>
      </c>
      <c r="E821" s="41"/>
      <c r="F821" s="6">
        <f>'Пр.6 ведом.20'!G417</f>
        <v>260</v>
      </c>
    </row>
    <row r="822" spans="1:8" s="252" customFormat="1" ht="15.75">
      <c r="A822" s="23" t="s">
        <v>260</v>
      </c>
      <c r="B822" s="24" t="s">
        <v>261</v>
      </c>
      <c r="C822" s="24"/>
      <c r="D822" s="24"/>
      <c r="E822" s="24"/>
      <c r="F822" s="4">
        <f>F823+F829+F862</f>
        <v>15036.9</v>
      </c>
      <c r="H822" s="22"/>
    </row>
    <row r="823" spans="1:6" s="252" customFormat="1" ht="15.75">
      <c r="A823" s="23" t="s">
        <v>262</v>
      </c>
      <c r="B823" s="24" t="s">
        <v>261</v>
      </c>
      <c r="C823" s="24" t="s">
        <v>135</v>
      </c>
      <c r="D823" s="24"/>
      <c r="E823" s="24"/>
      <c r="F823" s="4">
        <f>F824</f>
        <v>9456</v>
      </c>
    </row>
    <row r="824" spans="1:6" s="252" customFormat="1" ht="15.75">
      <c r="A824" s="23" t="s">
        <v>158</v>
      </c>
      <c r="B824" s="24" t="s">
        <v>261</v>
      </c>
      <c r="C824" s="24" t="s">
        <v>135</v>
      </c>
      <c r="D824" s="24" t="s">
        <v>917</v>
      </c>
      <c r="E824" s="24"/>
      <c r="F824" s="4">
        <f>F825</f>
        <v>9456</v>
      </c>
    </row>
    <row r="825" spans="1:6" s="252" customFormat="1" ht="31.5">
      <c r="A825" s="23" t="s">
        <v>921</v>
      </c>
      <c r="B825" s="24" t="s">
        <v>261</v>
      </c>
      <c r="C825" s="24" t="s">
        <v>135</v>
      </c>
      <c r="D825" s="24" t="s">
        <v>916</v>
      </c>
      <c r="E825" s="24"/>
      <c r="F825" s="4">
        <f>F826</f>
        <v>9456</v>
      </c>
    </row>
    <row r="826" spans="1:6" s="252" customFormat="1" ht="15.75">
      <c r="A826" s="25" t="s">
        <v>263</v>
      </c>
      <c r="B826" s="20" t="s">
        <v>261</v>
      </c>
      <c r="C826" s="20" t="s">
        <v>135</v>
      </c>
      <c r="D826" s="20" t="s">
        <v>933</v>
      </c>
      <c r="E826" s="20"/>
      <c r="F826" s="6">
        <f>F827</f>
        <v>9456</v>
      </c>
    </row>
    <row r="827" spans="1:6" s="252" customFormat="1" ht="18" customHeight="1">
      <c r="A827" s="25" t="s">
        <v>265</v>
      </c>
      <c r="B827" s="20" t="s">
        <v>261</v>
      </c>
      <c r="C827" s="20" t="s">
        <v>135</v>
      </c>
      <c r="D827" s="20" t="s">
        <v>933</v>
      </c>
      <c r="E827" s="20" t="s">
        <v>266</v>
      </c>
      <c r="F827" s="6">
        <f>F828</f>
        <v>9456</v>
      </c>
    </row>
    <row r="828" spans="1:6" s="252" customFormat="1" ht="31.5">
      <c r="A828" s="25" t="s">
        <v>267</v>
      </c>
      <c r="B828" s="20" t="s">
        <v>261</v>
      </c>
      <c r="C828" s="20" t="s">
        <v>135</v>
      </c>
      <c r="D828" s="20" t="s">
        <v>933</v>
      </c>
      <c r="E828" s="20" t="s">
        <v>268</v>
      </c>
      <c r="F828" s="6">
        <f>'Пр.6 ведом.20'!G183</f>
        <v>9456</v>
      </c>
    </row>
    <row r="829" spans="1:6" ht="15.75">
      <c r="A829" s="23" t="s">
        <v>269</v>
      </c>
      <c r="B829" s="24" t="s">
        <v>261</v>
      </c>
      <c r="C829" s="24" t="s">
        <v>232</v>
      </c>
      <c r="D829" s="24"/>
      <c r="E829" s="24"/>
      <c r="F829" s="4">
        <f>F830+F857</f>
        <v>2230</v>
      </c>
    </row>
    <row r="830" spans="1:6" ht="47.25">
      <c r="A830" s="23" t="s">
        <v>360</v>
      </c>
      <c r="B830" s="24" t="s">
        <v>261</v>
      </c>
      <c r="C830" s="24" t="s">
        <v>232</v>
      </c>
      <c r="D830" s="24" t="s">
        <v>361</v>
      </c>
      <c r="E830" s="24"/>
      <c r="F830" s="4">
        <f>F831+F836+F841+F852</f>
        <v>2220</v>
      </c>
    </row>
    <row r="831" spans="1:6" ht="31.5">
      <c r="A831" s="23" t="s">
        <v>369</v>
      </c>
      <c r="B831" s="24" t="s">
        <v>261</v>
      </c>
      <c r="C831" s="24" t="s">
        <v>232</v>
      </c>
      <c r="D831" s="24" t="s">
        <v>370</v>
      </c>
      <c r="E831" s="24"/>
      <c r="F831" s="4">
        <f aca="true" t="shared" si="117" ref="F831">F832</f>
        <v>150</v>
      </c>
    </row>
    <row r="832" spans="1:6" ht="30" customHeight="1">
      <c r="A832" s="23" t="s">
        <v>981</v>
      </c>
      <c r="B832" s="24" t="s">
        <v>261</v>
      </c>
      <c r="C832" s="24" t="s">
        <v>232</v>
      </c>
      <c r="D832" s="24" t="s">
        <v>980</v>
      </c>
      <c r="E832" s="24"/>
      <c r="F832" s="4">
        <f>F833</f>
        <v>150</v>
      </c>
    </row>
    <row r="833" spans="1:6" ht="31.5">
      <c r="A833" s="25" t="s">
        <v>873</v>
      </c>
      <c r="B833" s="20" t="s">
        <v>261</v>
      </c>
      <c r="C833" s="20" t="s">
        <v>232</v>
      </c>
      <c r="D833" s="20" t="s">
        <v>982</v>
      </c>
      <c r="E833" s="20"/>
      <c r="F833" s="6">
        <f>F834</f>
        <v>150</v>
      </c>
    </row>
    <row r="834" spans="1:6" ht="19.5" customHeight="1">
      <c r="A834" s="25" t="s">
        <v>265</v>
      </c>
      <c r="B834" s="20" t="s">
        <v>261</v>
      </c>
      <c r="C834" s="20" t="s">
        <v>232</v>
      </c>
      <c r="D834" s="20" t="s">
        <v>982</v>
      </c>
      <c r="E834" s="20" t="s">
        <v>266</v>
      </c>
      <c r="F834" s="6">
        <f aca="true" t="shared" si="118" ref="F834:F836">F835</f>
        <v>150</v>
      </c>
    </row>
    <row r="835" spans="1:6" ht="31.5">
      <c r="A835" s="25" t="s">
        <v>267</v>
      </c>
      <c r="B835" s="20" t="s">
        <v>261</v>
      </c>
      <c r="C835" s="20" t="s">
        <v>232</v>
      </c>
      <c r="D835" s="20" t="s">
        <v>982</v>
      </c>
      <c r="E835" s="20" t="s">
        <v>268</v>
      </c>
      <c r="F835" s="6">
        <f>'Пр.6 ведом.20'!G425</f>
        <v>150</v>
      </c>
    </row>
    <row r="836" spans="1:6" ht="31.5">
      <c r="A836" s="23" t="s">
        <v>372</v>
      </c>
      <c r="B836" s="19">
        <v>10</v>
      </c>
      <c r="C836" s="24" t="s">
        <v>232</v>
      </c>
      <c r="D836" s="24" t="s">
        <v>373</v>
      </c>
      <c r="E836" s="24"/>
      <c r="F836" s="4">
        <f t="shared" si="118"/>
        <v>420</v>
      </c>
    </row>
    <row r="837" spans="1:6" ht="31.5">
      <c r="A837" s="23" t="s">
        <v>1156</v>
      </c>
      <c r="B837" s="19">
        <v>10</v>
      </c>
      <c r="C837" s="24" t="s">
        <v>232</v>
      </c>
      <c r="D837" s="24" t="s">
        <v>983</v>
      </c>
      <c r="E837" s="24"/>
      <c r="F837" s="4">
        <f>F838</f>
        <v>420</v>
      </c>
    </row>
    <row r="838" spans="1:6" ht="15.75">
      <c r="A838" s="25" t="s">
        <v>1220</v>
      </c>
      <c r="B838" s="20" t="s">
        <v>261</v>
      </c>
      <c r="C838" s="20" t="s">
        <v>232</v>
      </c>
      <c r="D838" s="20" t="s">
        <v>984</v>
      </c>
      <c r="E838" s="20"/>
      <c r="F838" s="6">
        <f>F839</f>
        <v>420</v>
      </c>
    </row>
    <row r="839" spans="1:6" ht="18.75" customHeight="1">
      <c r="A839" s="25" t="s">
        <v>265</v>
      </c>
      <c r="B839" s="20" t="s">
        <v>261</v>
      </c>
      <c r="C839" s="20" t="s">
        <v>232</v>
      </c>
      <c r="D839" s="20" t="s">
        <v>984</v>
      </c>
      <c r="E839" s="20" t="s">
        <v>266</v>
      </c>
      <c r="F839" s="6">
        <f>F840</f>
        <v>420</v>
      </c>
    </row>
    <row r="840" spans="1:6" ht="31.5" customHeight="1">
      <c r="A840" s="25" t="s">
        <v>365</v>
      </c>
      <c r="B840" s="20" t="s">
        <v>261</v>
      </c>
      <c r="C840" s="20" t="s">
        <v>232</v>
      </c>
      <c r="D840" s="20" t="s">
        <v>984</v>
      </c>
      <c r="E840" s="20" t="s">
        <v>366</v>
      </c>
      <c r="F840" s="6">
        <f>'Пр.6 ведом.20'!G430</f>
        <v>420</v>
      </c>
    </row>
    <row r="841" spans="1:6" ht="19.5" customHeight="1">
      <c r="A841" s="23" t="s">
        <v>375</v>
      </c>
      <c r="B841" s="19">
        <v>10</v>
      </c>
      <c r="C841" s="24" t="s">
        <v>232</v>
      </c>
      <c r="D841" s="24" t="s">
        <v>376</v>
      </c>
      <c r="E841" s="24"/>
      <c r="F841" s="4">
        <f>F842+F846</f>
        <v>1400</v>
      </c>
    </row>
    <row r="842" spans="1:6" ht="31.5">
      <c r="A842" s="23" t="s">
        <v>1222</v>
      </c>
      <c r="B842" s="24" t="s">
        <v>261</v>
      </c>
      <c r="C842" s="24" t="s">
        <v>232</v>
      </c>
      <c r="D842" s="24" t="s">
        <v>986</v>
      </c>
      <c r="E842" s="24"/>
      <c r="F842" s="4">
        <f>F843</f>
        <v>920</v>
      </c>
    </row>
    <row r="843" spans="1:6" ht="49.5" customHeight="1">
      <c r="A843" s="107" t="s">
        <v>1223</v>
      </c>
      <c r="B843" s="20" t="s">
        <v>261</v>
      </c>
      <c r="C843" s="20" t="s">
        <v>232</v>
      </c>
      <c r="D843" s="20" t="s">
        <v>987</v>
      </c>
      <c r="E843" s="20"/>
      <c r="F843" s="6">
        <f>F844</f>
        <v>920</v>
      </c>
    </row>
    <row r="844" spans="1:6" ht="20.25" customHeight="1">
      <c r="A844" s="25" t="s">
        <v>265</v>
      </c>
      <c r="B844" s="20" t="s">
        <v>261</v>
      </c>
      <c r="C844" s="20" t="s">
        <v>232</v>
      </c>
      <c r="D844" s="20" t="s">
        <v>987</v>
      </c>
      <c r="E844" s="20" t="s">
        <v>266</v>
      </c>
      <c r="F844" s="6">
        <f aca="true" t="shared" si="119" ref="F844">F845</f>
        <v>920</v>
      </c>
    </row>
    <row r="845" spans="1:6" ht="15.75" customHeight="1">
      <c r="A845" s="25" t="s">
        <v>365</v>
      </c>
      <c r="B845" s="20" t="s">
        <v>261</v>
      </c>
      <c r="C845" s="20" t="s">
        <v>232</v>
      </c>
      <c r="D845" s="20" t="s">
        <v>987</v>
      </c>
      <c r="E845" s="20" t="s">
        <v>366</v>
      </c>
      <c r="F845" s="6">
        <f>'Пр.6 ведом.20'!G435</f>
        <v>920</v>
      </c>
    </row>
    <row r="846" spans="1:6" ht="34.5" customHeight="1">
      <c r="A846" s="23" t="s">
        <v>985</v>
      </c>
      <c r="B846" s="19">
        <v>10</v>
      </c>
      <c r="C846" s="24" t="s">
        <v>232</v>
      </c>
      <c r="D846" s="24" t="s">
        <v>988</v>
      </c>
      <c r="E846" s="24"/>
      <c r="F846" s="4">
        <f>F847+F850</f>
        <v>480</v>
      </c>
    </row>
    <row r="847" spans="1:6" ht="31.5">
      <c r="A847" s="25" t="s">
        <v>1157</v>
      </c>
      <c r="B847" s="20" t="s">
        <v>261</v>
      </c>
      <c r="C847" s="20" t="s">
        <v>232</v>
      </c>
      <c r="D847" s="20" t="s">
        <v>989</v>
      </c>
      <c r="E847" s="20"/>
      <c r="F847" s="6">
        <f aca="true" t="shared" si="120" ref="F847:F848">F848</f>
        <v>270</v>
      </c>
    </row>
    <row r="848" spans="1:6" ht="31.5">
      <c r="A848" s="25" t="s">
        <v>148</v>
      </c>
      <c r="B848" s="20" t="s">
        <v>261</v>
      </c>
      <c r="C848" s="20" t="s">
        <v>232</v>
      </c>
      <c r="D848" s="20" t="s">
        <v>989</v>
      </c>
      <c r="E848" s="20" t="s">
        <v>149</v>
      </c>
      <c r="F848" s="6">
        <f t="shared" si="120"/>
        <v>270</v>
      </c>
    </row>
    <row r="849" spans="1:6" ht="31.5">
      <c r="A849" s="25" t="s">
        <v>150</v>
      </c>
      <c r="B849" s="20" t="s">
        <v>261</v>
      </c>
      <c r="C849" s="20" t="s">
        <v>232</v>
      </c>
      <c r="D849" s="20" t="s">
        <v>989</v>
      </c>
      <c r="E849" s="20" t="s">
        <v>151</v>
      </c>
      <c r="F849" s="6">
        <f>'Пр.6 ведом.20'!G439</f>
        <v>270</v>
      </c>
    </row>
    <row r="850" spans="1:6" s="252" customFormat="1" ht="31.5">
      <c r="A850" s="25" t="s">
        <v>265</v>
      </c>
      <c r="B850" s="20" t="s">
        <v>261</v>
      </c>
      <c r="C850" s="20" t="s">
        <v>232</v>
      </c>
      <c r="D850" s="20" t="s">
        <v>989</v>
      </c>
      <c r="E850" s="20" t="s">
        <v>266</v>
      </c>
      <c r="F850" s="26">
        <f>F851</f>
        <v>210</v>
      </c>
    </row>
    <row r="851" spans="1:6" s="252" customFormat="1" ht="31.5">
      <c r="A851" s="25" t="s">
        <v>365</v>
      </c>
      <c r="B851" s="20" t="s">
        <v>261</v>
      </c>
      <c r="C851" s="20" t="s">
        <v>232</v>
      </c>
      <c r="D851" s="20" t="s">
        <v>989</v>
      </c>
      <c r="E851" s="20" t="s">
        <v>366</v>
      </c>
      <c r="F851" s="26">
        <f>'Пр.6 ведом.20'!G441</f>
        <v>210</v>
      </c>
    </row>
    <row r="852" spans="1:6" ht="31.5" customHeight="1">
      <c r="A852" s="23" t="s">
        <v>378</v>
      </c>
      <c r="B852" s="24" t="s">
        <v>261</v>
      </c>
      <c r="C852" s="24" t="s">
        <v>232</v>
      </c>
      <c r="D852" s="24" t="s">
        <v>379</v>
      </c>
      <c r="E852" s="24"/>
      <c r="F852" s="4">
        <f aca="true" t="shared" si="121" ref="F852:F853">F853</f>
        <v>250</v>
      </c>
    </row>
    <row r="853" spans="1:6" ht="31.5" customHeight="1">
      <c r="A853" s="23" t="s">
        <v>1225</v>
      </c>
      <c r="B853" s="24" t="s">
        <v>261</v>
      </c>
      <c r="C853" s="24" t="s">
        <v>232</v>
      </c>
      <c r="D853" s="24" t="s">
        <v>991</v>
      </c>
      <c r="E853" s="24"/>
      <c r="F853" s="4">
        <f t="shared" si="121"/>
        <v>250</v>
      </c>
    </row>
    <row r="854" spans="1:6" ht="47.25" customHeight="1">
      <c r="A854" s="25" t="s">
        <v>1224</v>
      </c>
      <c r="B854" s="20" t="s">
        <v>261</v>
      </c>
      <c r="C854" s="20" t="s">
        <v>232</v>
      </c>
      <c r="D854" s="20" t="s">
        <v>990</v>
      </c>
      <c r="E854" s="20"/>
      <c r="F854" s="6">
        <f>F855</f>
        <v>250</v>
      </c>
    </row>
    <row r="855" spans="1:6" ht="19.5" customHeight="1">
      <c r="A855" s="25" t="s">
        <v>265</v>
      </c>
      <c r="B855" s="20" t="s">
        <v>261</v>
      </c>
      <c r="C855" s="20" t="s">
        <v>232</v>
      </c>
      <c r="D855" s="20" t="s">
        <v>990</v>
      </c>
      <c r="E855" s="20" t="s">
        <v>266</v>
      </c>
      <c r="F855" s="6">
        <f aca="true" t="shared" si="122" ref="F855">F856</f>
        <v>250</v>
      </c>
    </row>
    <row r="856" spans="1:6" ht="31.5">
      <c r="A856" s="25" t="s">
        <v>365</v>
      </c>
      <c r="B856" s="20" t="s">
        <v>261</v>
      </c>
      <c r="C856" s="20" t="s">
        <v>232</v>
      </c>
      <c r="D856" s="20" t="s">
        <v>990</v>
      </c>
      <c r="E856" s="20" t="s">
        <v>366</v>
      </c>
      <c r="F856" s="6">
        <f>'Пр.6 ведом.20'!G446</f>
        <v>250</v>
      </c>
    </row>
    <row r="857" spans="1:6" ht="78" customHeight="1">
      <c r="A857" s="23" t="s">
        <v>270</v>
      </c>
      <c r="B857" s="24" t="s">
        <v>261</v>
      </c>
      <c r="C857" s="24" t="s">
        <v>232</v>
      </c>
      <c r="D857" s="24" t="s">
        <v>271</v>
      </c>
      <c r="E857" s="24"/>
      <c r="F857" s="4">
        <f aca="true" t="shared" si="123" ref="F857:F859">F858</f>
        <v>10</v>
      </c>
    </row>
    <row r="858" spans="1:6" ht="47.25">
      <c r="A858" s="23" t="s">
        <v>936</v>
      </c>
      <c r="B858" s="24" t="s">
        <v>261</v>
      </c>
      <c r="C858" s="24" t="s">
        <v>232</v>
      </c>
      <c r="D858" s="24" t="s">
        <v>934</v>
      </c>
      <c r="E858" s="24"/>
      <c r="F858" s="4">
        <f t="shared" si="123"/>
        <v>10</v>
      </c>
    </row>
    <row r="859" spans="1:6" ht="31.5">
      <c r="A859" s="25" t="s">
        <v>935</v>
      </c>
      <c r="B859" s="20" t="s">
        <v>261</v>
      </c>
      <c r="C859" s="20" t="s">
        <v>232</v>
      </c>
      <c r="D859" s="20" t="s">
        <v>1158</v>
      </c>
      <c r="E859" s="20"/>
      <c r="F859" s="6">
        <f t="shared" si="123"/>
        <v>10</v>
      </c>
    </row>
    <row r="860" spans="1:6" ht="19.5" customHeight="1">
      <c r="A860" s="25" t="s">
        <v>265</v>
      </c>
      <c r="B860" s="20" t="s">
        <v>261</v>
      </c>
      <c r="C860" s="20" t="s">
        <v>232</v>
      </c>
      <c r="D860" s="20" t="s">
        <v>1158</v>
      </c>
      <c r="E860" s="20" t="s">
        <v>266</v>
      </c>
      <c r="F860" s="6">
        <v>10</v>
      </c>
    </row>
    <row r="861" spans="1:6" ht="31.5">
      <c r="A861" s="25" t="s">
        <v>267</v>
      </c>
      <c r="B861" s="20" t="s">
        <v>261</v>
      </c>
      <c r="C861" s="20" t="s">
        <v>232</v>
      </c>
      <c r="D861" s="20" t="s">
        <v>1158</v>
      </c>
      <c r="E861" s="20" t="s">
        <v>268</v>
      </c>
      <c r="F861" s="6">
        <f>'Пр.6 ведом.20'!G189</f>
        <v>10</v>
      </c>
    </row>
    <row r="862" spans="1:6" s="252" customFormat="1" ht="15.75">
      <c r="A862" s="23" t="s">
        <v>275</v>
      </c>
      <c r="B862" s="24" t="s">
        <v>261</v>
      </c>
      <c r="C862" s="24" t="s">
        <v>137</v>
      </c>
      <c r="D862" s="24"/>
      <c r="E862" s="24"/>
      <c r="F862" s="4">
        <f>F863+F870</f>
        <v>3350.9</v>
      </c>
    </row>
    <row r="863" spans="1:6" s="252" customFormat="1" ht="31.5">
      <c r="A863" s="23" t="s">
        <v>995</v>
      </c>
      <c r="B863" s="24" t="s">
        <v>261</v>
      </c>
      <c r="C863" s="24" t="s">
        <v>137</v>
      </c>
      <c r="D863" s="24" t="s">
        <v>909</v>
      </c>
      <c r="E863" s="24"/>
      <c r="F863" s="4">
        <f>F864</f>
        <v>3263.9</v>
      </c>
    </row>
    <row r="864" spans="1:6" ht="31.5">
      <c r="A864" s="23" t="s">
        <v>937</v>
      </c>
      <c r="B864" s="24" t="s">
        <v>261</v>
      </c>
      <c r="C864" s="24" t="s">
        <v>137</v>
      </c>
      <c r="D864" s="24" t="s">
        <v>914</v>
      </c>
      <c r="E864" s="24"/>
      <c r="F864" s="4">
        <f>F865</f>
        <v>3263.9</v>
      </c>
    </row>
    <row r="865" spans="1:6" ht="43.5" customHeight="1">
      <c r="A865" s="32" t="s">
        <v>276</v>
      </c>
      <c r="B865" s="20" t="s">
        <v>261</v>
      </c>
      <c r="C865" s="20" t="s">
        <v>137</v>
      </c>
      <c r="D865" s="20" t="s">
        <v>1005</v>
      </c>
      <c r="E865" s="20"/>
      <c r="F865" s="6">
        <f>F866+F868</f>
        <v>3263.9</v>
      </c>
    </row>
    <row r="866" spans="1:6" ht="78.75">
      <c r="A866" s="25" t="s">
        <v>144</v>
      </c>
      <c r="B866" s="20" t="s">
        <v>261</v>
      </c>
      <c r="C866" s="20" t="s">
        <v>137</v>
      </c>
      <c r="D866" s="20" t="s">
        <v>1005</v>
      </c>
      <c r="E866" s="20" t="s">
        <v>145</v>
      </c>
      <c r="F866" s="6">
        <f aca="true" t="shared" si="124" ref="F866">F867</f>
        <v>2995.8</v>
      </c>
    </row>
    <row r="867" spans="1:6" ht="31.5">
      <c r="A867" s="25" t="s">
        <v>146</v>
      </c>
      <c r="B867" s="20" t="s">
        <v>261</v>
      </c>
      <c r="C867" s="20" t="s">
        <v>137</v>
      </c>
      <c r="D867" s="20" t="s">
        <v>1005</v>
      </c>
      <c r="E867" s="20" t="s">
        <v>147</v>
      </c>
      <c r="F867" s="6">
        <f>'Пр.6 ведом.20'!G195</f>
        <v>2995.8</v>
      </c>
    </row>
    <row r="868" spans="1:6" ht="32.25" customHeight="1">
      <c r="A868" s="25" t="s">
        <v>148</v>
      </c>
      <c r="B868" s="20" t="s">
        <v>261</v>
      </c>
      <c r="C868" s="20" t="s">
        <v>137</v>
      </c>
      <c r="D868" s="20" t="s">
        <v>1005</v>
      </c>
      <c r="E868" s="20" t="s">
        <v>149</v>
      </c>
      <c r="F868" s="6">
        <f aca="true" t="shared" si="125" ref="F868">F869</f>
        <v>268.09999999999997</v>
      </c>
    </row>
    <row r="869" spans="1:6" ht="31.5" customHeight="1">
      <c r="A869" s="25" t="s">
        <v>150</v>
      </c>
      <c r="B869" s="20" t="s">
        <v>261</v>
      </c>
      <c r="C869" s="20" t="s">
        <v>137</v>
      </c>
      <c r="D869" s="20" t="s">
        <v>1005</v>
      </c>
      <c r="E869" s="20" t="s">
        <v>151</v>
      </c>
      <c r="F869" s="6">
        <f>'Пр.6 ведом.20'!G197</f>
        <v>268.09999999999997</v>
      </c>
    </row>
    <row r="870" spans="1:6" s="252" customFormat="1" ht="15" customHeight="1">
      <c r="A870" s="23" t="s">
        <v>158</v>
      </c>
      <c r="B870" s="24" t="s">
        <v>261</v>
      </c>
      <c r="C870" s="24" t="s">
        <v>137</v>
      </c>
      <c r="D870" s="24" t="s">
        <v>917</v>
      </c>
      <c r="E870" s="24"/>
      <c r="F870" s="4">
        <f>F871</f>
        <v>87</v>
      </c>
    </row>
    <row r="871" spans="1:6" ht="37.5" customHeight="1">
      <c r="A871" s="23" t="s">
        <v>921</v>
      </c>
      <c r="B871" s="24" t="s">
        <v>261</v>
      </c>
      <c r="C871" s="24" t="s">
        <v>137</v>
      </c>
      <c r="D871" s="24" t="s">
        <v>916</v>
      </c>
      <c r="E871" s="24"/>
      <c r="F871" s="4">
        <f>F872</f>
        <v>87</v>
      </c>
    </row>
    <row r="872" spans="1:6" ht="15.75" customHeight="1">
      <c r="A872" s="25" t="s">
        <v>589</v>
      </c>
      <c r="B872" s="20" t="s">
        <v>261</v>
      </c>
      <c r="C872" s="20" t="s">
        <v>137</v>
      </c>
      <c r="D872" s="20" t="s">
        <v>1141</v>
      </c>
      <c r="E872" s="20"/>
      <c r="F872" s="6">
        <f>F873</f>
        <v>87</v>
      </c>
    </row>
    <row r="873" spans="1:6" ht="31.5" customHeight="1">
      <c r="A873" s="25" t="s">
        <v>148</v>
      </c>
      <c r="B873" s="20" t="s">
        <v>261</v>
      </c>
      <c r="C873" s="20" t="s">
        <v>137</v>
      </c>
      <c r="D873" s="20" t="s">
        <v>1141</v>
      </c>
      <c r="E873" s="20" t="s">
        <v>149</v>
      </c>
      <c r="F873" s="6">
        <f>F874</f>
        <v>87</v>
      </c>
    </row>
    <row r="874" spans="1:6" ht="35.25" customHeight="1">
      <c r="A874" s="25" t="s">
        <v>150</v>
      </c>
      <c r="B874" s="20" t="s">
        <v>261</v>
      </c>
      <c r="C874" s="20" t="s">
        <v>137</v>
      </c>
      <c r="D874" s="20" t="s">
        <v>1141</v>
      </c>
      <c r="E874" s="20" t="s">
        <v>151</v>
      </c>
      <c r="F874" s="6">
        <f>'Пр.6 ведом.20'!G988</f>
        <v>87</v>
      </c>
    </row>
    <row r="875" spans="1:8" ht="15.75">
      <c r="A875" s="42" t="s">
        <v>507</v>
      </c>
      <c r="B875" s="7" t="s">
        <v>508</v>
      </c>
      <c r="C875" s="41"/>
      <c r="D875" s="41"/>
      <c r="E875" s="41"/>
      <c r="F875" s="4">
        <f>F876+F915</f>
        <v>60935.022999999994</v>
      </c>
      <c r="H875" s="22"/>
    </row>
    <row r="876" spans="1:10" ht="15.75">
      <c r="A876" s="23" t="s">
        <v>509</v>
      </c>
      <c r="B876" s="24" t="s">
        <v>508</v>
      </c>
      <c r="C876" s="24" t="s">
        <v>135</v>
      </c>
      <c r="D876" s="20"/>
      <c r="E876" s="20"/>
      <c r="F876" s="4">
        <f>F877+F910</f>
        <v>48328.299999999996</v>
      </c>
      <c r="G876" s="22"/>
      <c r="H876" s="22"/>
      <c r="I876" s="22"/>
      <c r="J876" s="22"/>
    </row>
    <row r="877" spans="1:8" ht="47.25">
      <c r="A877" s="23" t="s">
        <v>498</v>
      </c>
      <c r="B877" s="24" t="s">
        <v>508</v>
      </c>
      <c r="C877" s="24" t="s">
        <v>135</v>
      </c>
      <c r="D877" s="24" t="s">
        <v>499</v>
      </c>
      <c r="E877" s="24"/>
      <c r="F877" s="4">
        <f aca="true" t="shared" si="126" ref="F877">F878</f>
        <v>47788.2</v>
      </c>
      <c r="H877" s="22"/>
    </row>
    <row r="878" spans="1:8" ht="47.25">
      <c r="A878" s="23" t="s">
        <v>510</v>
      </c>
      <c r="B878" s="24" t="s">
        <v>508</v>
      </c>
      <c r="C878" s="24" t="s">
        <v>135</v>
      </c>
      <c r="D878" s="24" t="s">
        <v>511</v>
      </c>
      <c r="E878" s="24"/>
      <c r="F878" s="4">
        <f>F879+F889+F899+F906</f>
        <v>47788.2</v>
      </c>
      <c r="H878" s="22"/>
    </row>
    <row r="879" spans="1:6" ht="31.5">
      <c r="A879" s="23" t="s">
        <v>1036</v>
      </c>
      <c r="B879" s="24" t="s">
        <v>508</v>
      </c>
      <c r="C879" s="24" t="s">
        <v>135</v>
      </c>
      <c r="D879" s="24" t="s">
        <v>1069</v>
      </c>
      <c r="E879" s="24"/>
      <c r="F879" s="4">
        <f>F880+F883+F886</f>
        <v>46082</v>
      </c>
    </row>
    <row r="880" spans="1:6" ht="47.25">
      <c r="A880" s="25" t="s">
        <v>841</v>
      </c>
      <c r="B880" s="20" t="s">
        <v>508</v>
      </c>
      <c r="C880" s="20" t="s">
        <v>135</v>
      </c>
      <c r="D880" s="20" t="s">
        <v>1079</v>
      </c>
      <c r="E880" s="20"/>
      <c r="F880" s="6">
        <f>F881</f>
        <v>13608</v>
      </c>
    </row>
    <row r="881" spans="1:6" ht="31.5">
      <c r="A881" s="25" t="s">
        <v>289</v>
      </c>
      <c r="B881" s="20" t="s">
        <v>508</v>
      </c>
      <c r="C881" s="20" t="s">
        <v>135</v>
      </c>
      <c r="D881" s="20" t="s">
        <v>1079</v>
      </c>
      <c r="E881" s="20" t="s">
        <v>290</v>
      </c>
      <c r="F881" s="6">
        <f>F882</f>
        <v>13608</v>
      </c>
    </row>
    <row r="882" spans="1:8" ht="15.75">
      <c r="A882" s="25" t="s">
        <v>291</v>
      </c>
      <c r="B882" s="20" t="s">
        <v>508</v>
      </c>
      <c r="C882" s="20" t="s">
        <v>135</v>
      </c>
      <c r="D882" s="20" t="s">
        <v>1079</v>
      </c>
      <c r="E882" s="20" t="s">
        <v>292</v>
      </c>
      <c r="F882" s="6">
        <f>'Пр.6 ведом.20'!G720</f>
        <v>13608</v>
      </c>
      <c r="H882" s="22"/>
    </row>
    <row r="883" spans="1:8" ht="47.25">
      <c r="A883" s="25" t="s">
        <v>862</v>
      </c>
      <c r="B883" s="20" t="s">
        <v>508</v>
      </c>
      <c r="C883" s="20" t="s">
        <v>135</v>
      </c>
      <c r="D883" s="20" t="s">
        <v>1080</v>
      </c>
      <c r="E883" s="20"/>
      <c r="F883" s="6">
        <f>F884</f>
        <v>13397</v>
      </c>
      <c r="H883" s="22"/>
    </row>
    <row r="884" spans="1:8" ht="31.5">
      <c r="A884" s="25" t="s">
        <v>289</v>
      </c>
      <c r="B884" s="20" t="s">
        <v>508</v>
      </c>
      <c r="C884" s="20" t="s">
        <v>135</v>
      </c>
      <c r="D884" s="20" t="s">
        <v>1080</v>
      </c>
      <c r="E884" s="20" t="s">
        <v>290</v>
      </c>
      <c r="F884" s="6">
        <f>F885</f>
        <v>13397</v>
      </c>
      <c r="H884" s="22"/>
    </row>
    <row r="885" spans="1:8" ht="15.75">
      <c r="A885" s="25" t="s">
        <v>291</v>
      </c>
      <c r="B885" s="20" t="s">
        <v>508</v>
      </c>
      <c r="C885" s="20" t="s">
        <v>135</v>
      </c>
      <c r="D885" s="20" t="s">
        <v>1080</v>
      </c>
      <c r="E885" s="20" t="s">
        <v>292</v>
      </c>
      <c r="F885" s="6">
        <f>'Пр.6 ведом.20'!G723</f>
        <v>13397</v>
      </c>
      <c r="H885" s="22"/>
    </row>
    <row r="886" spans="1:8" ht="47.25">
      <c r="A886" s="25" t="s">
        <v>863</v>
      </c>
      <c r="B886" s="20" t="s">
        <v>508</v>
      </c>
      <c r="C886" s="20" t="s">
        <v>135</v>
      </c>
      <c r="D886" s="20" t="s">
        <v>1081</v>
      </c>
      <c r="E886" s="20"/>
      <c r="F886" s="6">
        <f>F887</f>
        <v>19077</v>
      </c>
      <c r="H886" s="22"/>
    </row>
    <row r="887" spans="1:8" ht="31.5">
      <c r="A887" s="25" t="s">
        <v>289</v>
      </c>
      <c r="B887" s="20" t="s">
        <v>508</v>
      </c>
      <c r="C887" s="20" t="s">
        <v>135</v>
      </c>
      <c r="D887" s="20" t="s">
        <v>1081</v>
      </c>
      <c r="E887" s="20" t="s">
        <v>290</v>
      </c>
      <c r="F887" s="6">
        <f>F888</f>
        <v>19077</v>
      </c>
      <c r="H887" s="22"/>
    </row>
    <row r="888" spans="1:8" ht="15.75">
      <c r="A888" s="25" t="s">
        <v>291</v>
      </c>
      <c r="B888" s="20" t="s">
        <v>508</v>
      </c>
      <c r="C888" s="20" t="s">
        <v>135</v>
      </c>
      <c r="D888" s="20" t="s">
        <v>1081</v>
      </c>
      <c r="E888" s="20" t="s">
        <v>292</v>
      </c>
      <c r="F888" s="6">
        <f>'Пр.6 ведом.20'!G726</f>
        <v>19077</v>
      </c>
      <c r="H888" s="22"/>
    </row>
    <row r="889" spans="1:6" ht="31.5">
      <c r="A889" s="23" t="s">
        <v>1082</v>
      </c>
      <c r="B889" s="24" t="s">
        <v>508</v>
      </c>
      <c r="C889" s="24" t="s">
        <v>135</v>
      </c>
      <c r="D889" s="24" t="s">
        <v>1083</v>
      </c>
      <c r="E889" s="24"/>
      <c r="F889" s="4">
        <f>F890+F893+F896</f>
        <v>36</v>
      </c>
    </row>
    <row r="890" spans="1:6" ht="31.5" hidden="1">
      <c r="A890" s="25" t="s">
        <v>295</v>
      </c>
      <c r="B890" s="20" t="s">
        <v>508</v>
      </c>
      <c r="C890" s="20" t="s">
        <v>135</v>
      </c>
      <c r="D890" s="20" t="s">
        <v>1087</v>
      </c>
      <c r="E890" s="20"/>
      <c r="F890" s="6">
        <f aca="true" t="shared" si="127" ref="F890">F891</f>
        <v>0</v>
      </c>
    </row>
    <row r="891" spans="1:6" ht="31.5" hidden="1">
      <c r="A891" s="25" t="s">
        <v>289</v>
      </c>
      <c r="B891" s="20" t="s">
        <v>508</v>
      </c>
      <c r="C891" s="20" t="s">
        <v>135</v>
      </c>
      <c r="D891" s="20" t="s">
        <v>1087</v>
      </c>
      <c r="E891" s="20" t="s">
        <v>290</v>
      </c>
      <c r="F891" s="6">
        <f>'Пр.6 ведом.20'!G730</f>
        <v>0</v>
      </c>
    </row>
    <row r="892" spans="1:6" ht="20.25" customHeight="1" hidden="1">
      <c r="A892" s="25" t="s">
        <v>291</v>
      </c>
      <c r="B892" s="20" t="s">
        <v>508</v>
      </c>
      <c r="C892" s="20" t="s">
        <v>135</v>
      </c>
      <c r="D892" s="20" t="s">
        <v>1087</v>
      </c>
      <c r="E892" s="20" t="s">
        <v>292</v>
      </c>
      <c r="F892" s="6">
        <f>'Пр.6 ведом.20'!G730</f>
        <v>0</v>
      </c>
    </row>
    <row r="893" spans="1:6" ht="33" customHeight="1" hidden="1">
      <c r="A893" s="25" t="s">
        <v>297</v>
      </c>
      <c r="B893" s="20" t="s">
        <v>508</v>
      </c>
      <c r="C893" s="20" t="s">
        <v>135</v>
      </c>
      <c r="D893" s="20" t="s">
        <v>1088</v>
      </c>
      <c r="E893" s="20"/>
      <c r="F893" s="6">
        <f aca="true" t="shared" si="128" ref="F893">F894</f>
        <v>0</v>
      </c>
    </row>
    <row r="894" spans="1:6" ht="37.5" customHeight="1" hidden="1">
      <c r="A894" s="25" t="s">
        <v>289</v>
      </c>
      <c r="B894" s="20" t="s">
        <v>508</v>
      </c>
      <c r="C894" s="20" t="s">
        <v>135</v>
      </c>
      <c r="D894" s="20" t="s">
        <v>1088</v>
      </c>
      <c r="E894" s="20" t="s">
        <v>290</v>
      </c>
      <c r="F894" s="6">
        <f>'Пр.6 ведом.20'!G733</f>
        <v>0</v>
      </c>
    </row>
    <row r="895" spans="1:6" s="252" customFormat="1" ht="15.75" customHeight="1" hidden="1">
      <c r="A895" s="25" t="s">
        <v>291</v>
      </c>
      <c r="B895" s="20" t="s">
        <v>508</v>
      </c>
      <c r="C895" s="20" t="s">
        <v>135</v>
      </c>
      <c r="D895" s="20" t="s">
        <v>1088</v>
      </c>
      <c r="E895" s="20" t="s">
        <v>292</v>
      </c>
      <c r="F895" s="6">
        <f>'Пр.6 ведом.20'!G733</f>
        <v>0</v>
      </c>
    </row>
    <row r="896" spans="1:6" s="252" customFormat="1" ht="15.75" customHeight="1">
      <c r="A896" s="25" t="s">
        <v>880</v>
      </c>
      <c r="B896" s="20" t="s">
        <v>508</v>
      </c>
      <c r="C896" s="20" t="s">
        <v>135</v>
      </c>
      <c r="D896" s="20" t="s">
        <v>1089</v>
      </c>
      <c r="E896" s="20"/>
      <c r="F896" s="6">
        <f>F897</f>
        <v>36</v>
      </c>
    </row>
    <row r="897" spans="1:6" s="252" customFormat="1" ht="33" customHeight="1">
      <c r="A897" s="25" t="s">
        <v>289</v>
      </c>
      <c r="B897" s="20" t="s">
        <v>508</v>
      </c>
      <c r="C897" s="20" t="s">
        <v>135</v>
      </c>
      <c r="D897" s="20" t="s">
        <v>1089</v>
      </c>
      <c r="E897" s="20" t="s">
        <v>290</v>
      </c>
      <c r="F897" s="6">
        <f>'Пр.6 ведом.20'!G736</f>
        <v>36</v>
      </c>
    </row>
    <row r="898" spans="1:6" ht="20.25" customHeight="1">
      <c r="A898" s="25" t="s">
        <v>291</v>
      </c>
      <c r="B898" s="20" t="s">
        <v>508</v>
      </c>
      <c r="C898" s="20" t="s">
        <v>135</v>
      </c>
      <c r="D898" s="20" t="s">
        <v>1089</v>
      </c>
      <c r="E898" s="20" t="s">
        <v>292</v>
      </c>
      <c r="F898" s="6">
        <f>'Пр.6 ведом.20'!G736</f>
        <v>36</v>
      </c>
    </row>
    <row r="899" spans="1:6" ht="47.25" customHeight="1">
      <c r="A899" s="23" t="s">
        <v>1084</v>
      </c>
      <c r="B899" s="24" t="s">
        <v>508</v>
      </c>
      <c r="C899" s="24" t="s">
        <v>135</v>
      </c>
      <c r="D899" s="24" t="s">
        <v>1086</v>
      </c>
      <c r="E899" s="24"/>
      <c r="F899" s="4">
        <f>F900+F903</f>
        <v>800</v>
      </c>
    </row>
    <row r="900" spans="1:6" ht="39" customHeight="1" hidden="1">
      <c r="A900" s="25" t="s">
        <v>819</v>
      </c>
      <c r="B900" s="20" t="s">
        <v>508</v>
      </c>
      <c r="C900" s="20" t="s">
        <v>135</v>
      </c>
      <c r="D900" s="20" t="s">
        <v>1090</v>
      </c>
      <c r="E900" s="20"/>
      <c r="F900" s="6">
        <f>'Пр.6 ведом.20'!G740</f>
        <v>0</v>
      </c>
    </row>
    <row r="901" spans="1:6" ht="40.5" customHeight="1" hidden="1">
      <c r="A901" s="25" t="s">
        <v>289</v>
      </c>
      <c r="B901" s="20" t="s">
        <v>508</v>
      </c>
      <c r="C901" s="20" t="s">
        <v>135</v>
      </c>
      <c r="D901" s="20" t="s">
        <v>1090</v>
      </c>
      <c r="E901" s="20" t="s">
        <v>290</v>
      </c>
      <c r="F901" s="6">
        <f aca="true" t="shared" si="129" ref="F901">F902</f>
        <v>0</v>
      </c>
    </row>
    <row r="902" spans="1:6" ht="15.75" customHeight="1" hidden="1">
      <c r="A902" s="25" t="s">
        <v>291</v>
      </c>
      <c r="B902" s="20" t="s">
        <v>508</v>
      </c>
      <c r="C902" s="20" t="s">
        <v>135</v>
      </c>
      <c r="D902" s="20" t="s">
        <v>1090</v>
      </c>
      <c r="E902" s="20" t="s">
        <v>292</v>
      </c>
      <c r="F902" s="6">
        <f>'Пр.6 ведом.20'!G740</f>
        <v>0</v>
      </c>
    </row>
    <row r="903" spans="1:6" ht="15.75" customHeight="1">
      <c r="A903" s="46" t="s">
        <v>789</v>
      </c>
      <c r="B903" s="20" t="s">
        <v>508</v>
      </c>
      <c r="C903" s="20" t="s">
        <v>135</v>
      </c>
      <c r="D903" s="20" t="s">
        <v>1091</v>
      </c>
      <c r="E903" s="20"/>
      <c r="F903" s="6">
        <f>'Пр.6 ведом.20'!G743</f>
        <v>800</v>
      </c>
    </row>
    <row r="904" spans="1:6" ht="47.25" customHeight="1">
      <c r="A904" s="32" t="s">
        <v>289</v>
      </c>
      <c r="B904" s="20" t="s">
        <v>508</v>
      </c>
      <c r="C904" s="20" t="s">
        <v>135</v>
      </c>
      <c r="D904" s="20" t="s">
        <v>1091</v>
      </c>
      <c r="E904" s="20" t="s">
        <v>290</v>
      </c>
      <c r="F904" s="6">
        <f>F905</f>
        <v>800</v>
      </c>
    </row>
    <row r="905" spans="1:6" ht="15.75">
      <c r="A905" s="32" t="s">
        <v>291</v>
      </c>
      <c r="B905" s="20" t="s">
        <v>508</v>
      </c>
      <c r="C905" s="20" t="s">
        <v>135</v>
      </c>
      <c r="D905" s="20" t="s">
        <v>1091</v>
      </c>
      <c r="E905" s="20" t="s">
        <v>292</v>
      </c>
      <c r="F905" s="6">
        <f>'Пр.6 ведом.20'!G743</f>
        <v>800</v>
      </c>
    </row>
    <row r="906" spans="1:6" ht="47.25">
      <c r="A906" s="23" t="s">
        <v>976</v>
      </c>
      <c r="B906" s="24" t="s">
        <v>508</v>
      </c>
      <c r="C906" s="24" t="s">
        <v>135</v>
      </c>
      <c r="D906" s="24" t="s">
        <v>1092</v>
      </c>
      <c r="E906" s="24"/>
      <c r="F906" s="4">
        <f>F907</f>
        <v>870.2</v>
      </c>
    </row>
    <row r="907" spans="1:6" ht="15.75" customHeight="1">
      <c r="A907" s="32" t="s">
        <v>481</v>
      </c>
      <c r="B907" s="20" t="s">
        <v>508</v>
      </c>
      <c r="C907" s="20" t="s">
        <v>135</v>
      </c>
      <c r="D907" s="20" t="s">
        <v>1093</v>
      </c>
      <c r="E907" s="20"/>
      <c r="F907" s="6">
        <f>F908</f>
        <v>870.2</v>
      </c>
    </row>
    <row r="908" spans="1:6" ht="31.5">
      <c r="A908" s="25" t="s">
        <v>289</v>
      </c>
      <c r="B908" s="20" t="s">
        <v>508</v>
      </c>
      <c r="C908" s="20" t="s">
        <v>135</v>
      </c>
      <c r="D908" s="20" t="s">
        <v>1093</v>
      </c>
      <c r="E908" s="20" t="s">
        <v>290</v>
      </c>
      <c r="F908" s="6">
        <f aca="true" t="shared" si="130" ref="F908:F910">F909</f>
        <v>870.2</v>
      </c>
    </row>
    <row r="909" spans="1:6" ht="15.75">
      <c r="A909" s="25" t="s">
        <v>291</v>
      </c>
      <c r="B909" s="20" t="s">
        <v>508</v>
      </c>
      <c r="C909" s="20" t="s">
        <v>135</v>
      </c>
      <c r="D909" s="20" t="s">
        <v>1093</v>
      </c>
      <c r="E909" s="20" t="s">
        <v>292</v>
      </c>
      <c r="F909" s="6">
        <f>'Пр.6 ведом.20'!G747</f>
        <v>870.2</v>
      </c>
    </row>
    <row r="910" spans="1:6" ht="63">
      <c r="A910" s="42" t="s">
        <v>1188</v>
      </c>
      <c r="B910" s="24" t="s">
        <v>508</v>
      </c>
      <c r="C910" s="24" t="s">
        <v>135</v>
      </c>
      <c r="D910" s="24" t="s">
        <v>730</v>
      </c>
      <c r="E910" s="324"/>
      <c r="F910" s="4">
        <f t="shared" si="130"/>
        <v>540.1</v>
      </c>
    </row>
    <row r="911" spans="1:6" ht="47.25">
      <c r="A911" s="42" t="s">
        <v>954</v>
      </c>
      <c r="B911" s="24" t="s">
        <v>508</v>
      </c>
      <c r="C911" s="24" t="s">
        <v>135</v>
      </c>
      <c r="D911" s="24" t="s">
        <v>952</v>
      </c>
      <c r="E911" s="324"/>
      <c r="F911" s="4">
        <f>F912</f>
        <v>540.1</v>
      </c>
    </row>
    <row r="912" spans="1:6" ht="47.25">
      <c r="A912" s="107" t="s">
        <v>805</v>
      </c>
      <c r="B912" s="20" t="s">
        <v>508</v>
      </c>
      <c r="C912" s="20" t="s">
        <v>135</v>
      </c>
      <c r="D912" s="20" t="s">
        <v>1035</v>
      </c>
      <c r="E912" s="33"/>
      <c r="F912" s="6">
        <f>F913</f>
        <v>540.1</v>
      </c>
    </row>
    <row r="913" spans="1:6" ht="31.5">
      <c r="A913" s="30" t="s">
        <v>289</v>
      </c>
      <c r="B913" s="20" t="s">
        <v>508</v>
      </c>
      <c r="C913" s="20" t="s">
        <v>135</v>
      </c>
      <c r="D913" s="20" t="s">
        <v>1035</v>
      </c>
      <c r="E913" s="33" t="s">
        <v>290</v>
      </c>
      <c r="F913" s="6">
        <f>F914</f>
        <v>540.1</v>
      </c>
    </row>
    <row r="914" spans="1:6" ht="15.75">
      <c r="A914" s="208" t="s">
        <v>291</v>
      </c>
      <c r="B914" s="20" t="s">
        <v>508</v>
      </c>
      <c r="C914" s="20" t="s">
        <v>135</v>
      </c>
      <c r="D914" s="20" t="s">
        <v>1035</v>
      </c>
      <c r="E914" s="33" t="s">
        <v>292</v>
      </c>
      <c r="F914" s="6">
        <f>'Пр.6 ведом.20'!G752</f>
        <v>540.1</v>
      </c>
    </row>
    <row r="915" spans="1:6" ht="31.5">
      <c r="A915" s="23" t="s">
        <v>517</v>
      </c>
      <c r="B915" s="24" t="s">
        <v>508</v>
      </c>
      <c r="C915" s="24" t="s">
        <v>251</v>
      </c>
      <c r="D915" s="24"/>
      <c r="E915" s="24"/>
      <c r="F915" s="4">
        <f>F916+F924+F936</f>
        <v>12606.723</v>
      </c>
    </row>
    <row r="916" spans="1:6" ht="31.5">
      <c r="A916" s="23" t="s">
        <v>995</v>
      </c>
      <c r="B916" s="24" t="s">
        <v>508</v>
      </c>
      <c r="C916" s="24" t="s">
        <v>251</v>
      </c>
      <c r="D916" s="24" t="s">
        <v>909</v>
      </c>
      <c r="E916" s="24"/>
      <c r="F916" s="4">
        <f>F917</f>
        <v>4728.834</v>
      </c>
    </row>
    <row r="917" spans="1:6" ht="15.75">
      <c r="A917" s="23" t="s">
        <v>996</v>
      </c>
      <c r="B917" s="24" t="s">
        <v>508</v>
      </c>
      <c r="C917" s="24" t="s">
        <v>251</v>
      </c>
      <c r="D917" s="24" t="s">
        <v>910</v>
      </c>
      <c r="E917" s="24"/>
      <c r="F917" s="4">
        <f>F918+F921</f>
        <v>4728.834</v>
      </c>
    </row>
    <row r="918" spans="1:6" ht="31.5">
      <c r="A918" s="25" t="s">
        <v>972</v>
      </c>
      <c r="B918" s="20" t="s">
        <v>508</v>
      </c>
      <c r="C918" s="20" t="s">
        <v>251</v>
      </c>
      <c r="D918" s="20" t="s">
        <v>911</v>
      </c>
      <c r="E918" s="20"/>
      <c r="F918" s="6">
        <f>F919</f>
        <v>4628.834</v>
      </c>
    </row>
    <row r="919" spans="1:6" ht="78.75">
      <c r="A919" s="25" t="s">
        <v>144</v>
      </c>
      <c r="B919" s="20" t="s">
        <v>508</v>
      </c>
      <c r="C919" s="20" t="s">
        <v>251</v>
      </c>
      <c r="D919" s="20" t="s">
        <v>911</v>
      </c>
      <c r="E919" s="20" t="s">
        <v>145</v>
      </c>
      <c r="F919" s="6">
        <f>F920</f>
        <v>4628.834</v>
      </c>
    </row>
    <row r="920" spans="1:6" ht="31.5">
      <c r="A920" s="25" t="s">
        <v>146</v>
      </c>
      <c r="B920" s="20" t="s">
        <v>508</v>
      </c>
      <c r="C920" s="20" t="s">
        <v>251</v>
      </c>
      <c r="D920" s="20" t="s">
        <v>911</v>
      </c>
      <c r="E920" s="20" t="s">
        <v>147</v>
      </c>
      <c r="F920" s="6">
        <f>'Пр.6 ведом.20'!G758</f>
        <v>4628.834</v>
      </c>
    </row>
    <row r="921" spans="1:6" ht="47.25">
      <c r="A921" s="25" t="s">
        <v>889</v>
      </c>
      <c r="B921" s="20" t="s">
        <v>508</v>
      </c>
      <c r="C921" s="20" t="s">
        <v>251</v>
      </c>
      <c r="D921" s="20" t="s">
        <v>913</v>
      </c>
      <c r="E921" s="20"/>
      <c r="F921" s="6">
        <f>F922</f>
        <v>100</v>
      </c>
    </row>
    <row r="922" spans="1:6" ht="78.75">
      <c r="A922" s="25" t="s">
        <v>144</v>
      </c>
      <c r="B922" s="20" t="s">
        <v>508</v>
      </c>
      <c r="C922" s="20" t="s">
        <v>251</v>
      </c>
      <c r="D922" s="20" t="s">
        <v>913</v>
      </c>
      <c r="E922" s="20" t="s">
        <v>145</v>
      </c>
      <c r="F922" s="6">
        <f>F923</f>
        <v>100</v>
      </c>
    </row>
    <row r="923" spans="1:6" ht="31.5">
      <c r="A923" s="25" t="s">
        <v>146</v>
      </c>
      <c r="B923" s="20" t="s">
        <v>508</v>
      </c>
      <c r="C923" s="20" t="s">
        <v>251</v>
      </c>
      <c r="D923" s="20" t="s">
        <v>913</v>
      </c>
      <c r="E923" s="20" t="s">
        <v>147</v>
      </c>
      <c r="F923" s="6">
        <f>'Пр.6 ведом.20'!G761</f>
        <v>100</v>
      </c>
    </row>
    <row r="924" spans="1:6" ht="15.75">
      <c r="A924" s="23" t="s">
        <v>158</v>
      </c>
      <c r="B924" s="24" t="s">
        <v>508</v>
      </c>
      <c r="C924" s="24" t="s">
        <v>251</v>
      </c>
      <c r="D924" s="24" t="s">
        <v>917</v>
      </c>
      <c r="E924" s="24"/>
      <c r="F924" s="4">
        <f>F925</f>
        <v>5377.889</v>
      </c>
    </row>
    <row r="925" spans="1:6" ht="31.5">
      <c r="A925" s="23" t="s">
        <v>1009</v>
      </c>
      <c r="B925" s="24" t="s">
        <v>508</v>
      </c>
      <c r="C925" s="24" t="s">
        <v>251</v>
      </c>
      <c r="D925" s="24" t="s">
        <v>992</v>
      </c>
      <c r="E925" s="24"/>
      <c r="F925" s="4">
        <f>F926+F933</f>
        <v>5377.889</v>
      </c>
    </row>
    <row r="926" spans="1:6" ht="31.5">
      <c r="A926" s="25" t="s">
        <v>979</v>
      </c>
      <c r="B926" s="20" t="s">
        <v>508</v>
      </c>
      <c r="C926" s="20" t="s">
        <v>251</v>
      </c>
      <c r="D926" s="20" t="s">
        <v>993</v>
      </c>
      <c r="E926" s="20"/>
      <c r="F926" s="6">
        <f>F927+F929+F931</f>
        <v>5157.889</v>
      </c>
    </row>
    <row r="927" spans="1:6" ht="78.75">
      <c r="A927" s="25" t="s">
        <v>144</v>
      </c>
      <c r="B927" s="20" t="s">
        <v>508</v>
      </c>
      <c r="C927" s="20" t="s">
        <v>251</v>
      </c>
      <c r="D927" s="20" t="s">
        <v>993</v>
      </c>
      <c r="E927" s="20" t="s">
        <v>145</v>
      </c>
      <c r="F927" s="6">
        <f>F928</f>
        <v>4508.889</v>
      </c>
    </row>
    <row r="928" spans="1:6" ht="31.5">
      <c r="A928" s="25" t="s">
        <v>359</v>
      </c>
      <c r="B928" s="20" t="s">
        <v>508</v>
      </c>
      <c r="C928" s="20" t="s">
        <v>251</v>
      </c>
      <c r="D928" s="20" t="s">
        <v>993</v>
      </c>
      <c r="E928" s="20" t="s">
        <v>226</v>
      </c>
      <c r="F928" s="6">
        <f>'Пр.6 ведом.20'!G766</f>
        <v>4508.889</v>
      </c>
    </row>
    <row r="929" spans="1:6" ht="31.5">
      <c r="A929" s="25" t="s">
        <v>148</v>
      </c>
      <c r="B929" s="20" t="s">
        <v>508</v>
      </c>
      <c r="C929" s="20" t="s">
        <v>251</v>
      </c>
      <c r="D929" s="20" t="s">
        <v>993</v>
      </c>
      <c r="E929" s="20" t="s">
        <v>149</v>
      </c>
      <c r="F929" s="6">
        <f aca="true" t="shared" si="131" ref="F929">F930</f>
        <v>598.0000000000001</v>
      </c>
    </row>
    <row r="930" spans="1:6" ht="31.5">
      <c r="A930" s="25" t="s">
        <v>150</v>
      </c>
      <c r="B930" s="20" t="s">
        <v>508</v>
      </c>
      <c r="C930" s="20" t="s">
        <v>251</v>
      </c>
      <c r="D930" s="20" t="s">
        <v>993</v>
      </c>
      <c r="E930" s="20" t="s">
        <v>151</v>
      </c>
      <c r="F930" s="6">
        <f>'Пр.6 ведом.20'!G768</f>
        <v>598.0000000000001</v>
      </c>
    </row>
    <row r="931" spans="1:6" ht="15.75">
      <c r="A931" s="25" t="s">
        <v>152</v>
      </c>
      <c r="B931" s="20" t="s">
        <v>508</v>
      </c>
      <c r="C931" s="20" t="s">
        <v>251</v>
      </c>
      <c r="D931" s="20" t="s">
        <v>993</v>
      </c>
      <c r="E931" s="20" t="s">
        <v>162</v>
      </c>
      <c r="F931" s="6">
        <f>F932</f>
        <v>51</v>
      </c>
    </row>
    <row r="932" spans="1:6" ht="15.75">
      <c r="A932" s="25" t="s">
        <v>585</v>
      </c>
      <c r="B932" s="20" t="s">
        <v>508</v>
      </c>
      <c r="C932" s="20" t="s">
        <v>251</v>
      </c>
      <c r="D932" s="20" t="s">
        <v>993</v>
      </c>
      <c r="E932" s="20" t="s">
        <v>155</v>
      </c>
      <c r="F932" s="6">
        <f>'Пр.6 ведом.20'!G770</f>
        <v>51</v>
      </c>
    </row>
    <row r="933" spans="1:6" ht="47.25">
      <c r="A933" s="25" t="s">
        <v>889</v>
      </c>
      <c r="B933" s="20" t="s">
        <v>508</v>
      </c>
      <c r="C933" s="20" t="s">
        <v>251</v>
      </c>
      <c r="D933" s="20" t="s">
        <v>994</v>
      </c>
      <c r="E933" s="20"/>
      <c r="F933" s="6">
        <f>F934</f>
        <v>220</v>
      </c>
    </row>
    <row r="934" spans="1:6" ht="78.75">
      <c r="A934" s="25" t="s">
        <v>144</v>
      </c>
      <c r="B934" s="20" t="s">
        <v>508</v>
      </c>
      <c r="C934" s="20" t="s">
        <v>251</v>
      </c>
      <c r="D934" s="20" t="s">
        <v>994</v>
      </c>
      <c r="E934" s="20" t="s">
        <v>145</v>
      </c>
      <c r="F934" s="6">
        <f aca="true" t="shared" si="132" ref="F934">F935</f>
        <v>220</v>
      </c>
    </row>
    <row r="935" spans="1:6" ht="31.5">
      <c r="A935" s="25" t="s">
        <v>146</v>
      </c>
      <c r="B935" s="20" t="s">
        <v>508</v>
      </c>
      <c r="C935" s="20" t="s">
        <v>251</v>
      </c>
      <c r="D935" s="20" t="s">
        <v>994</v>
      </c>
      <c r="E935" s="20" t="s">
        <v>147</v>
      </c>
      <c r="F935" s="6">
        <f>'Пр.6 ведом.20'!G773</f>
        <v>220</v>
      </c>
    </row>
    <row r="936" spans="1:6" ht="47.25">
      <c r="A936" s="42" t="s">
        <v>498</v>
      </c>
      <c r="B936" s="24" t="s">
        <v>508</v>
      </c>
      <c r="C936" s="24" t="s">
        <v>251</v>
      </c>
      <c r="D936" s="7" t="s">
        <v>499</v>
      </c>
      <c r="E936" s="24"/>
      <c r="F936" s="4">
        <f>F937</f>
        <v>2500</v>
      </c>
    </row>
    <row r="937" spans="1:6" ht="47.25">
      <c r="A937" s="60" t="s">
        <v>518</v>
      </c>
      <c r="B937" s="24" t="s">
        <v>508</v>
      </c>
      <c r="C937" s="24" t="s">
        <v>251</v>
      </c>
      <c r="D937" s="7" t="s">
        <v>519</v>
      </c>
      <c r="E937" s="24"/>
      <c r="F937" s="4">
        <f>F938</f>
        <v>2500</v>
      </c>
    </row>
    <row r="938" spans="1:6" ht="33.75" customHeight="1">
      <c r="A938" s="60" t="s">
        <v>1094</v>
      </c>
      <c r="B938" s="24" t="s">
        <v>508</v>
      </c>
      <c r="C938" s="24" t="s">
        <v>251</v>
      </c>
      <c r="D938" s="7" t="s">
        <v>1095</v>
      </c>
      <c r="E938" s="24"/>
      <c r="F938" s="4">
        <f>F939</f>
        <v>2500</v>
      </c>
    </row>
    <row r="939" spans="1:6" ht="15.75">
      <c r="A939" s="30" t="s">
        <v>1096</v>
      </c>
      <c r="B939" s="20" t="s">
        <v>508</v>
      </c>
      <c r="C939" s="20" t="s">
        <v>251</v>
      </c>
      <c r="D939" s="41" t="s">
        <v>1253</v>
      </c>
      <c r="E939" s="20"/>
      <c r="F939" s="59">
        <f>F940+F942</f>
        <v>2500</v>
      </c>
    </row>
    <row r="940" spans="1:6" ht="78.75">
      <c r="A940" s="25" t="s">
        <v>144</v>
      </c>
      <c r="B940" s="20" t="s">
        <v>508</v>
      </c>
      <c r="C940" s="20" t="s">
        <v>251</v>
      </c>
      <c r="D940" s="41" t="s">
        <v>1253</v>
      </c>
      <c r="E940" s="20" t="s">
        <v>145</v>
      </c>
      <c r="F940" s="59">
        <f>F941</f>
        <v>1611</v>
      </c>
    </row>
    <row r="941" spans="1:6" ht="31.5" customHeight="1">
      <c r="A941" s="25" t="s">
        <v>359</v>
      </c>
      <c r="B941" s="20" t="s">
        <v>508</v>
      </c>
      <c r="C941" s="20" t="s">
        <v>251</v>
      </c>
      <c r="D941" s="41" t="s">
        <v>1253</v>
      </c>
      <c r="E941" s="20" t="s">
        <v>226</v>
      </c>
      <c r="F941" s="59">
        <f>'Пр.6 ведом.20'!G779</f>
        <v>1611</v>
      </c>
    </row>
    <row r="942" spans="1:6" ht="47.25" customHeight="1">
      <c r="A942" s="30" t="s">
        <v>148</v>
      </c>
      <c r="B942" s="20" t="s">
        <v>508</v>
      </c>
      <c r="C942" s="20" t="s">
        <v>251</v>
      </c>
      <c r="D942" s="41" t="s">
        <v>1253</v>
      </c>
      <c r="E942" s="20" t="s">
        <v>149</v>
      </c>
      <c r="F942" s="59">
        <f>F943</f>
        <v>889</v>
      </c>
    </row>
    <row r="943" spans="1:6" ht="31.5">
      <c r="A943" s="30" t="s">
        <v>150</v>
      </c>
      <c r="B943" s="20" t="s">
        <v>508</v>
      </c>
      <c r="C943" s="20" t="s">
        <v>251</v>
      </c>
      <c r="D943" s="41" t="s">
        <v>1253</v>
      </c>
      <c r="E943" s="20" t="s">
        <v>151</v>
      </c>
      <c r="F943" s="6">
        <f>'Пр.6 ведом.20'!G781</f>
        <v>889</v>
      </c>
    </row>
    <row r="944" spans="1:6" ht="15.75">
      <c r="A944" s="42" t="s">
        <v>599</v>
      </c>
      <c r="B944" s="7" t="s">
        <v>255</v>
      </c>
      <c r="C944" s="41"/>
      <c r="D944" s="41"/>
      <c r="E944" s="41"/>
      <c r="F944" s="4">
        <f aca="true" t="shared" si="133" ref="F944">F945</f>
        <v>7451</v>
      </c>
    </row>
    <row r="945" spans="1:6" ht="15.75">
      <c r="A945" s="42" t="s">
        <v>600</v>
      </c>
      <c r="B945" s="7" t="s">
        <v>255</v>
      </c>
      <c r="C945" s="7" t="s">
        <v>230</v>
      </c>
      <c r="D945" s="7"/>
      <c r="E945" s="7"/>
      <c r="F945" s="4">
        <f>F946+F958</f>
        <v>7451</v>
      </c>
    </row>
    <row r="946" spans="1:6" ht="15.75">
      <c r="A946" s="23" t="s">
        <v>158</v>
      </c>
      <c r="B946" s="24" t="s">
        <v>255</v>
      </c>
      <c r="C946" s="24" t="s">
        <v>230</v>
      </c>
      <c r="D946" s="24" t="s">
        <v>917</v>
      </c>
      <c r="E946" s="24"/>
      <c r="F946" s="4">
        <f>F947</f>
        <v>7246</v>
      </c>
    </row>
    <row r="947" spans="1:6" ht="15.75">
      <c r="A947" s="23" t="s">
        <v>1098</v>
      </c>
      <c r="B947" s="24" t="s">
        <v>255</v>
      </c>
      <c r="C947" s="24" t="s">
        <v>230</v>
      </c>
      <c r="D947" s="24" t="s">
        <v>1097</v>
      </c>
      <c r="E947" s="24"/>
      <c r="F947" s="4">
        <f>F948+F955</f>
        <v>7246</v>
      </c>
    </row>
    <row r="948" spans="1:6" ht="15.75">
      <c r="A948" s="25" t="s">
        <v>837</v>
      </c>
      <c r="B948" s="20" t="s">
        <v>255</v>
      </c>
      <c r="C948" s="20" t="s">
        <v>230</v>
      </c>
      <c r="D948" s="20" t="s">
        <v>1099</v>
      </c>
      <c r="E948" s="20"/>
      <c r="F948" s="6">
        <f>F949+F951+F953</f>
        <v>7031</v>
      </c>
    </row>
    <row r="949" spans="1:6" ht="78.75">
      <c r="A949" s="25" t="s">
        <v>144</v>
      </c>
      <c r="B949" s="20" t="s">
        <v>255</v>
      </c>
      <c r="C949" s="20" t="s">
        <v>230</v>
      </c>
      <c r="D949" s="20" t="s">
        <v>1099</v>
      </c>
      <c r="E949" s="20" t="s">
        <v>145</v>
      </c>
      <c r="F949" s="6">
        <f>F950</f>
        <v>5525</v>
      </c>
    </row>
    <row r="950" spans="1:6" ht="15.75">
      <c r="A950" s="25" t="s">
        <v>225</v>
      </c>
      <c r="B950" s="20" t="s">
        <v>255</v>
      </c>
      <c r="C950" s="20" t="s">
        <v>230</v>
      </c>
      <c r="D950" s="20" t="s">
        <v>1099</v>
      </c>
      <c r="E950" s="20" t="s">
        <v>226</v>
      </c>
      <c r="F950" s="6">
        <f>'Пр.6 ведом.20'!G1039</f>
        <v>5525</v>
      </c>
    </row>
    <row r="951" spans="1:6" ht="31.5">
      <c r="A951" s="25" t="s">
        <v>148</v>
      </c>
      <c r="B951" s="20" t="s">
        <v>255</v>
      </c>
      <c r="C951" s="20" t="s">
        <v>230</v>
      </c>
      <c r="D951" s="20" t="s">
        <v>1099</v>
      </c>
      <c r="E951" s="20" t="s">
        <v>149</v>
      </c>
      <c r="F951" s="6">
        <f aca="true" t="shared" si="134" ref="F951">F952</f>
        <v>1456</v>
      </c>
    </row>
    <row r="952" spans="1:6" ht="31.5">
      <c r="A952" s="25" t="s">
        <v>150</v>
      </c>
      <c r="B952" s="20" t="s">
        <v>255</v>
      </c>
      <c r="C952" s="20" t="s">
        <v>230</v>
      </c>
      <c r="D952" s="20" t="s">
        <v>1099</v>
      </c>
      <c r="E952" s="20" t="s">
        <v>151</v>
      </c>
      <c r="F952" s="6">
        <f>'Пр.6 ведом.20'!G1041</f>
        <v>1456</v>
      </c>
    </row>
    <row r="953" spans="1:6" ht="15.75">
      <c r="A953" s="25" t="s">
        <v>152</v>
      </c>
      <c r="B953" s="20" t="s">
        <v>255</v>
      </c>
      <c r="C953" s="20" t="s">
        <v>230</v>
      </c>
      <c r="D953" s="20" t="s">
        <v>1099</v>
      </c>
      <c r="E953" s="20" t="s">
        <v>162</v>
      </c>
      <c r="F953" s="59">
        <f aca="true" t="shared" si="135" ref="F953">F954</f>
        <v>50</v>
      </c>
    </row>
    <row r="954" spans="1:6" ht="15.75">
      <c r="A954" s="25" t="s">
        <v>585</v>
      </c>
      <c r="B954" s="20" t="s">
        <v>255</v>
      </c>
      <c r="C954" s="20" t="s">
        <v>230</v>
      </c>
      <c r="D954" s="20" t="s">
        <v>1099</v>
      </c>
      <c r="E954" s="20" t="s">
        <v>155</v>
      </c>
      <c r="F954" s="59">
        <f>'Пр.6 ведом.20'!G1043</f>
        <v>50</v>
      </c>
    </row>
    <row r="955" spans="1:6" ht="47.25">
      <c r="A955" s="25" t="s">
        <v>889</v>
      </c>
      <c r="B955" s="20" t="s">
        <v>255</v>
      </c>
      <c r="C955" s="20" t="s">
        <v>230</v>
      </c>
      <c r="D955" s="20" t="s">
        <v>1100</v>
      </c>
      <c r="E955" s="20"/>
      <c r="F955" s="6">
        <f>F956</f>
        <v>215</v>
      </c>
    </row>
    <row r="956" spans="1:6" ht="78.75">
      <c r="A956" s="25" t="s">
        <v>144</v>
      </c>
      <c r="B956" s="20" t="s">
        <v>255</v>
      </c>
      <c r="C956" s="20" t="s">
        <v>230</v>
      </c>
      <c r="D956" s="20" t="s">
        <v>1100</v>
      </c>
      <c r="E956" s="20" t="s">
        <v>145</v>
      </c>
      <c r="F956" s="6">
        <f>F957</f>
        <v>215</v>
      </c>
    </row>
    <row r="957" spans="1:6" ht="31.5">
      <c r="A957" s="25" t="s">
        <v>146</v>
      </c>
      <c r="B957" s="20" t="s">
        <v>255</v>
      </c>
      <c r="C957" s="20" t="s">
        <v>230</v>
      </c>
      <c r="D957" s="20" t="s">
        <v>1100</v>
      </c>
      <c r="E957" s="20" t="s">
        <v>226</v>
      </c>
      <c r="F957" s="6">
        <f>'Пр.6 ведом.20'!G1046</f>
        <v>215</v>
      </c>
    </row>
    <row r="958" spans="1:6" ht="63">
      <c r="A958" s="42" t="s">
        <v>1188</v>
      </c>
      <c r="B958" s="24" t="s">
        <v>255</v>
      </c>
      <c r="C958" s="24" t="s">
        <v>230</v>
      </c>
      <c r="D958" s="24" t="s">
        <v>730</v>
      </c>
      <c r="E958" s="324"/>
      <c r="F958" s="4">
        <f>F959</f>
        <v>205</v>
      </c>
    </row>
    <row r="959" spans="1:6" s="252" customFormat="1" ht="47.25">
      <c r="A959" s="42" t="s">
        <v>954</v>
      </c>
      <c r="B959" s="24" t="s">
        <v>255</v>
      </c>
      <c r="C959" s="24" t="s">
        <v>230</v>
      </c>
      <c r="D959" s="24" t="s">
        <v>952</v>
      </c>
      <c r="E959" s="324"/>
      <c r="F959" s="4">
        <f>F960</f>
        <v>205</v>
      </c>
    </row>
    <row r="960" spans="1:6" s="252" customFormat="1" ht="47.25">
      <c r="A960" s="107" t="s">
        <v>1166</v>
      </c>
      <c r="B960" s="20" t="s">
        <v>255</v>
      </c>
      <c r="C960" s="20" t="s">
        <v>230</v>
      </c>
      <c r="D960" s="20" t="s">
        <v>953</v>
      </c>
      <c r="E960" s="33"/>
      <c r="F960" s="6">
        <f>F961</f>
        <v>205</v>
      </c>
    </row>
    <row r="961" spans="1:6" s="252" customFormat="1" ht="31.5">
      <c r="A961" s="25" t="s">
        <v>148</v>
      </c>
      <c r="B961" s="20" t="s">
        <v>255</v>
      </c>
      <c r="C961" s="20" t="s">
        <v>230</v>
      </c>
      <c r="D961" s="20" t="s">
        <v>953</v>
      </c>
      <c r="E961" s="33" t="s">
        <v>149</v>
      </c>
      <c r="F961" s="6">
        <f>F962</f>
        <v>205</v>
      </c>
    </row>
    <row r="962" spans="1:6" s="252" customFormat="1" ht="31.5">
      <c r="A962" s="25" t="s">
        <v>150</v>
      </c>
      <c r="B962" s="20" t="s">
        <v>255</v>
      </c>
      <c r="C962" s="20" t="s">
        <v>230</v>
      </c>
      <c r="D962" s="20" t="s">
        <v>953</v>
      </c>
      <c r="E962" s="33" t="s">
        <v>151</v>
      </c>
      <c r="F962" s="6">
        <f>'Пр.6 ведом.20'!G1051</f>
        <v>205</v>
      </c>
    </row>
    <row r="963" spans="1:8" ht="15.75">
      <c r="A963" s="64" t="s">
        <v>604</v>
      </c>
      <c r="B963" s="7"/>
      <c r="C963" s="7"/>
      <c r="D963" s="7"/>
      <c r="E963" s="7"/>
      <c r="F963" s="353">
        <f>F8+F210+F229+F304+F462+F726+F875+F944+F822</f>
        <v>678671.1230000001</v>
      </c>
      <c r="H963" s="22"/>
    </row>
    <row r="964" spans="1:6" ht="15">
      <c r="A964" s="253"/>
      <c r="B964" s="253"/>
      <c r="C964" s="253"/>
      <c r="D964" s="253"/>
      <c r="E964" s="253"/>
      <c r="F964" s="253"/>
    </row>
    <row r="965" spans="1:6" ht="15">
      <c r="A965" s="253"/>
      <c r="B965" s="253"/>
      <c r="C965" s="253"/>
      <c r="D965" s="253"/>
      <c r="E965" s="253"/>
      <c r="F965" s="124"/>
    </row>
    <row r="966" spans="1:6" ht="15">
      <c r="A966" s="253"/>
      <c r="B966" s="253"/>
      <c r="C966" s="253"/>
      <c r="D966" s="253"/>
      <c r="E966" s="253"/>
      <c r="F966" s="253"/>
    </row>
    <row r="967" ht="15">
      <c r="F967" s="22"/>
    </row>
  </sheetData>
  <mergeCells count="1">
    <mergeCell ref="A5:F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1"/>
  <rowBreaks count="3" manualBreakCount="3">
    <brk id="115" max="16383" man="1"/>
    <brk id="139" max="16383" man="1"/>
    <brk id="93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6"/>
  <sheetViews>
    <sheetView workbookViewId="0" topLeftCell="A1"/>
  </sheetViews>
  <sheetFormatPr defaultColWidth="9.140625" defaultRowHeight="15"/>
  <cols>
    <col min="1" max="1" width="44.00390625" style="0" customWidth="1"/>
    <col min="2" max="2" width="4.57421875" style="0" customWidth="1"/>
    <col min="3" max="3" width="4.140625" style="0" customWidth="1"/>
    <col min="4" max="4" width="15.140625" style="0" customWidth="1"/>
    <col min="5" max="5" width="5.7109375" style="0" customWidth="1"/>
    <col min="6" max="6" width="12.421875" style="0" customWidth="1"/>
    <col min="7" max="7" width="13.140625" style="0" customWidth="1"/>
  </cols>
  <sheetData>
    <row r="1" spans="1:7" ht="15.75">
      <c r="A1" s="57"/>
      <c r="B1" s="28"/>
      <c r="C1" s="28"/>
      <c r="D1" s="252"/>
      <c r="E1" s="252"/>
      <c r="G1" s="139" t="s">
        <v>1295</v>
      </c>
    </row>
    <row r="2" spans="1:7" ht="15.75">
      <c r="A2" s="57"/>
      <c r="B2" s="28"/>
      <c r="C2" s="28"/>
      <c r="D2" s="252"/>
      <c r="E2" s="252"/>
      <c r="G2" s="139" t="s">
        <v>1</v>
      </c>
    </row>
    <row r="3" spans="1:6" ht="18.75">
      <c r="A3" s="57"/>
      <c r="B3" s="28"/>
      <c r="C3" s="28"/>
      <c r="D3" s="252"/>
      <c r="E3" s="216"/>
      <c r="F3" s="252"/>
    </row>
    <row r="4" spans="1:6" ht="15">
      <c r="A4" s="57"/>
      <c r="B4" s="28"/>
      <c r="C4" s="28"/>
      <c r="D4" s="28"/>
      <c r="E4" s="28"/>
      <c r="F4" s="252"/>
    </row>
    <row r="5" spans="1:7" ht="74.25" customHeight="1">
      <c r="A5" s="406" t="s">
        <v>1388</v>
      </c>
      <c r="B5" s="406"/>
      <c r="C5" s="406"/>
      <c r="D5" s="406"/>
      <c r="E5" s="406"/>
      <c r="F5" s="406"/>
      <c r="G5" s="406"/>
    </row>
    <row r="6" spans="1:7" ht="15">
      <c r="A6" s="57"/>
      <c r="B6" s="28"/>
      <c r="C6" s="28"/>
      <c r="D6" s="28"/>
      <c r="E6" s="28"/>
      <c r="G6" s="211" t="s">
        <v>2</v>
      </c>
    </row>
    <row r="7" spans="1:7" ht="35.25" customHeight="1">
      <c r="A7" s="335" t="s">
        <v>610</v>
      </c>
      <c r="B7" s="336" t="s">
        <v>129</v>
      </c>
      <c r="C7" s="336" t="s">
        <v>130</v>
      </c>
      <c r="D7" s="336" t="s">
        <v>131</v>
      </c>
      <c r="E7" s="336" t="s">
        <v>132</v>
      </c>
      <c r="F7" s="334" t="s">
        <v>1296</v>
      </c>
      <c r="G7" s="334" t="s">
        <v>1297</v>
      </c>
    </row>
    <row r="8" spans="1:7" ht="15.75">
      <c r="A8" s="42" t="s">
        <v>134</v>
      </c>
      <c r="B8" s="7" t="s">
        <v>135</v>
      </c>
      <c r="C8" s="7"/>
      <c r="D8" s="7"/>
      <c r="E8" s="7"/>
      <c r="F8" s="354">
        <f aca="true" t="shared" si="0" ref="F8:G8">F9+F28+F39+F96+F118</f>
        <v>151884.525</v>
      </c>
      <c r="G8" s="354">
        <f t="shared" si="0"/>
        <v>151884.525</v>
      </c>
    </row>
    <row r="9" spans="1:7" ht="63">
      <c r="A9" s="42" t="s">
        <v>592</v>
      </c>
      <c r="B9" s="7" t="s">
        <v>135</v>
      </c>
      <c r="C9" s="7" t="s">
        <v>230</v>
      </c>
      <c r="D9" s="7"/>
      <c r="E9" s="7"/>
      <c r="F9" s="4">
        <f>F10+F20</f>
        <v>4537.53</v>
      </c>
      <c r="G9" s="4">
        <f>G10+G20</f>
        <v>4537.53</v>
      </c>
    </row>
    <row r="10" spans="1:7" ht="31.5">
      <c r="A10" s="23" t="s">
        <v>995</v>
      </c>
      <c r="B10" s="7" t="s">
        <v>135</v>
      </c>
      <c r="C10" s="7" t="s">
        <v>230</v>
      </c>
      <c r="D10" s="7" t="s">
        <v>909</v>
      </c>
      <c r="E10" s="7"/>
      <c r="F10" s="4">
        <f aca="true" t="shared" si="1" ref="F10:G10">F11</f>
        <v>4512.03</v>
      </c>
      <c r="G10" s="4">
        <f t="shared" si="1"/>
        <v>4512.03</v>
      </c>
    </row>
    <row r="11" spans="1:7" ht="31.5">
      <c r="A11" s="23" t="s">
        <v>1142</v>
      </c>
      <c r="B11" s="7" t="s">
        <v>135</v>
      </c>
      <c r="C11" s="7" t="s">
        <v>230</v>
      </c>
      <c r="D11" s="7" t="s">
        <v>1143</v>
      </c>
      <c r="E11" s="7"/>
      <c r="F11" s="4">
        <f>F12+F17</f>
        <v>4512.03</v>
      </c>
      <c r="G11" s="4">
        <f>G12+G17</f>
        <v>4512.03</v>
      </c>
    </row>
    <row r="12" spans="1:7" ht="47.25">
      <c r="A12" s="30" t="s">
        <v>593</v>
      </c>
      <c r="B12" s="41" t="s">
        <v>135</v>
      </c>
      <c r="C12" s="41" t="s">
        <v>230</v>
      </c>
      <c r="D12" s="41" t="s">
        <v>1144</v>
      </c>
      <c r="E12" s="41"/>
      <c r="F12" s="6">
        <f>'Пр.5 Рд,пр, ЦС,ВР 20'!F12</f>
        <v>4412.03</v>
      </c>
      <c r="G12" s="6">
        <f aca="true" t="shared" si="2" ref="G12:G72">F12</f>
        <v>4412.03</v>
      </c>
    </row>
    <row r="13" spans="1:7" ht="94.5">
      <c r="A13" s="30" t="s">
        <v>144</v>
      </c>
      <c r="B13" s="41" t="s">
        <v>135</v>
      </c>
      <c r="C13" s="41" t="s">
        <v>230</v>
      </c>
      <c r="D13" s="41" t="s">
        <v>1144</v>
      </c>
      <c r="E13" s="41" t="s">
        <v>145</v>
      </c>
      <c r="F13" s="6">
        <f>'Пр.5 Рд,пр, ЦС,ВР 20'!F13</f>
        <v>4391.03</v>
      </c>
      <c r="G13" s="6">
        <f t="shared" si="2"/>
        <v>4391.03</v>
      </c>
    </row>
    <row r="14" spans="1:7" ht="47.25">
      <c r="A14" s="30" t="s">
        <v>146</v>
      </c>
      <c r="B14" s="41" t="s">
        <v>135</v>
      </c>
      <c r="C14" s="41" t="s">
        <v>230</v>
      </c>
      <c r="D14" s="41" t="s">
        <v>1144</v>
      </c>
      <c r="E14" s="41" t="s">
        <v>147</v>
      </c>
      <c r="F14" s="6">
        <f>'Пр.5 Рд,пр, ЦС,ВР 20'!F14</f>
        <v>4391.03</v>
      </c>
      <c r="G14" s="6">
        <f t="shared" si="2"/>
        <v>4391.03</v>
      </c>
    </row>
    <row r="15" spans="1:7" ht="31.5">
      <c r="A15" s="30" t="s">
        <v>148</v>
      </c>
      <c r="B15" s="41" t="s">
        <v>135</v>
      </c>
      <c r="C15" s="41" t="s">
        <v>230</v>
      </c>
      <c r="D15" s="41" t="s">
        <v>1144</v>
      </c>
      <c r="E15" s="41" t="s">
        <v>149</v>
      </c>
      <c r="F15" s="6">
        <f>'Пр.5 Рд,пр, ЦС,ВР 20'!F15</f>
        <v>21</v>
      </c>
      <c r="G15" s="6">
        <f t="shared" si="2"/>
        <v>21</v>
      </c>
    </row>
    <row r="16" spans="1:7" ht="47.25">
      <c r="A16" s="30" t="s">
        <v>150</v>
      </c>
      <c r="B16" s="41" t="s">
        <v>135</v>
      </c>
      <c r="C16" s="41" t="s">
        <v>230</v>
      </c>
      <c r="D16" s="41" t="s">
        <v>1144</v>
      </c>
      <c r="E16" s="41" t="s">
        <v>151</v>
      </c>
      <c r="F16" s="6">
        <f>'Пр.5 Рд,пр, ЦС,ВР 20'!F16</f>
        <v>21</v>
      </c>
      <c r="G16" s="6">
        <f t="shared" si="2"/>
        <v>21</v>
      </c>
    </row>
    <row r="17" spans="1:7" ht="47.25">
      <c r="A17" s="25" t="s">
        <v>889</v>
      </c>
      <c r="B17" s="41" t="s">
        <v>135</v>
      </c>
      <c r="C17" s="41" t="s">
        <v>230</v>
      </c>
      <c r="D17" s="41" t="s">
        <v>1145</v>
      </c>
      <c r="E17" s="41"/>
      <c r="F17" s="6">
        <f>'Пр.5 Рд,пр, ЦС,ВР 20'!F17</f>
        <v>100</v>
      </c>
      <c r="G17" s="6">
        <f t="shared" si="2"/>
        <v>100</v>
      </c>
    </row>
    <row r="18" spans="1:7" ht="94.5">
      <c r="A18" s="25" t="s">
        <v>144</v>
      </c>
      <c r="B18" s="41" t="s">
        <v>135</v>
      </c>
      <c r="C18" s="41" t="s">
        <v>230</v>
      </c>
      <c r="D18" s="41" t="s">
        <v>1145</v>
      </c>
      <c r="E18" s="41" t="s">
        <v>145</v>
      </c>
      <c r="F18" s="6">
        <f>'Пр.5 Рд,пр, ЦС,ВР 20'!F18</f>
        <v>100</v>
      </c>
      <c r="G18" s="6">
        <f t="shared" si="2"/>
        <v>100</v>
      </c>
    </row>
    <row r="19" spans="1:7" ht="47.25">
      <c r="A19" s="25" t="s">
        <v>146</v>
      </c>
      <c r="B19" s="41" t="s">
        <v>135</v>
      </c>
      <c r="C19" s="41" t="s">
        <v>230</v>
      </c>
      <c r="D19" s="41" t="s">
        <v>1145</v>
      </c>
      <c r="E19" s="41" t="s">
        <v>147</v>
      </c>
      <c r="F19" s="6">
        <f>'Пр.5 Рд,пр, ЦС,ВР 20'!F19</f>
        <v>100</v>
      </c>
      <c r="G19" s="6">
        <f t="shared" si="2"/>
        <v>100</v>
      </c>
    </row>
    <row r="20" spans="1:7" ht="63">
      <c r="A20" s="23" t="s">
        <v>822</v>
      </c>
      <c r="B20" s="24" t="s">
        <v>135</v>
      </c>
      <c r="C20" s="7" t="s">
        <v>230</v>
      </c>
      <c r="D20" s="24" t="s">
        <v>179</v>
      </c>
      <c r="E20" s="7"/>
      <c r="F20" s="325">
        <f>F21</f>
        <v>25.5</v>
      </c>
      <c r="G20" s="325">
        <f>G21</f>
        <v>25.5</v>
      </c>
    </row>
    <row r="21" spans="1:7" ht="78.75">
      <c r="A21" s="321" t="s">
        <v>894</v>
      </c>
      <c r="B21" s="24" t="s">
        <v>135</v>
      </c>
      <c r="C21" s="7" t="s">
        <v>230</v>
      </c>
      <c r="D21" s="7" t="s">
        <v>901</v>
      </c>
      <c r="E21" s="7"/>
      <c r="F21" s="325">
        <f>F22+F25</f>
        <v>25.5</v>
      </c>
      <c r="G21" s="325">
        <f>G22+G25</f>
        <v>25.5</v>
      </c>
    </row>
    <row r="22" spans="1:7" ht="63">
      <c r="A22" s="32" t="s">
        <v>713</v>
      </c>
      <c r="B22" s="20" t="s">
        <v>135</v>
      </c>
      <c r="C22" s="20" t="s">
        <v>230</v>
      </c>
      <c r="D22" s="41" t="s">
        <v>1150</v>
      </c>
      <c r="E22" s="20"/>
      <c r="F22" s="6">
        <f>'Пр.5 Рд,пр, ЦС,ВР 20'!F22</f>
        <v>0.5</v>
      </c>
      <c r="G22" s="6">
        <f t="shared" si="2"/>
        <v>0.5</v>
      </c>
    </row>
    <row r="23" spans="1:7" ht="31.5">
      <c r="A23" s="25" t="s">
        <v>148</v>
      </c>
      <c r="B23" s="20" t="s">
        <v>135</v>
      </c>
      <c r="C23" s="20" t="s">
        <v>230</v>
      </c>
      <c r="D23" s="41" t="s">
        <v>1150</v>
      </c>
      <c r="E23" s="20" t="s">
        <v>149</v>
      </c>
      <c r="F23" s="6">
        <f>'Пр.5 Рд,пр, ЦС,ВР 20'!F23</f>
        <v>0.5</v>
      </c>
      <c r="G23" s="6">
        <f t="shared" si="2"/>
        <v>0.5</v>
      </c>
    </row>
    <row r="24" spans="1:7" ht="47.25">
      <c r="A24" s="25" t="s">
        <v>150</v>
      </c>
      <c r="B24" s="20" t="s">
        <v>135</v>
      </c>
      <c r="C24" s="20" t="s">
        <v>230</v>
      </c>
      <c r="D24" s="41" t="s">
        <v>714</v>
      </c>
      <c r="E24" s="20" t="s">
        <v>151</v>
      </c>
      <c r="F24" s="6">
        <f>'Пр.5 Рд,пр, ЦС,ВР 20'!F24</f>
        <v>0.5</v>
      </c>
      <c r="G24" s="6">
        <f t="shared" si="2"/>
        <v>0.5</v>
      </c>
    </row>
    <row r="25" spans="1:7" ht="63">
      <c r="A25" s="32" t="s">
        <v>713</v>
      </c>
      <c r="B25" s="20" t="s">
        <v>135</v>
      </c>
      <c r="C25" s="20" t="s">
        <v>230</v>
      </c>
      <c r="D25" s="20" t="s">
        <v>1149</v>
      </c>
      <c r="E25" s="20"/>
      <c r="F25" s="6">
        <f>'Пр.5 Рд,пр, ЦС,ВР 20'!F25</f>
        <v>25</v>
      </c>
      <c r="G25" s="6">
        <f t="shared" si="2"/>
        <v>25</v>
      </c>
    </row>
    <row r="26" spans="1:7" ht="31.5">
      <c r="A26" s="25" t="s">
        <v>148</v>
      </c>
      <c r="B26" s="20" t="s">
        <v>135</v>
      </c>
      <c r="C26" s="20" t="s">
        <v>230</v>
      </c>
      <c r="D26" s="20" t="s">
        <v>1149</v>
      </c>
      <c r="E26" s="20" t="s">
        <v>149</v>
      </c>
      <c r="F26" s="6">
        <f>'Пр.5 Рд,пр, ЦС,ВР 20'!F26</f>
        <v>25</v>
      </c>
      <c r="G26" s="6">
        <f t="shared" si="2"/>
        <v>25</v>
      </c>
    </row>
    <row r="27" spans="1:7" ht="47.25">
      <c r="A27" s="25" t="s">
        <v>150</v>
      </c>
      <c r="B27" s="20" t="s">
        <v>135</v>
      </c>
      <c r="C27" s="20" t="s">
        <v>230</v>
      </c>
      <c r="D27" s="20" t="s">
        <v>1149</v>
      </c>
      <c r="E27" s="20" t="s">
        <v>151</v>
      </c>
      <c r="F27" s="6">
        <f>'Пр.5 Рд,пр, ЦС,ВР 20'!F27</f>
        <v>25</v>
      </c>
      <c r="G27" s="6">
        <f t="shared" si="2"/>
        <v>25</v>
      </c>
    </row>
    <row r="28" spans="1:7" ht="78.75">
      <c r="A28" s="42" t="s">
        <v>595</v>
      </c>
      <c r="B28" s="7" t="s">
        <v>135</v>
      </c>
      <c r="C28" s="7" t="s">
        <v>232</v>
      </c>
      <c r="D28" s="7"/>
      <c r="E28" s="7"/>
      <c r="F28" s="4">
        <f aca="true" t="shared" si="3" ref="F28:G29">F29</f>
        <v>1259.989</v>
      </c>
      <c r="G28" s="4">
        <f t="shared" si="3"/>
        <v>1259.989</v>
      </c>
    </row>
    <row r="29" spans="1:7" ht="31.5">
      <c r="A29" s="23" t="s">
        <v>995</v>
      </c>
      <c r="B29" s="7" t="s">
        <v>135</v>
      </c>
      <c r="C29" s="7" t="s">
        <v>232</v>
      </c>
      <c r="D29" s="7" t="s">
        <v>909</v>
      </c>
      <c r="E29" s="7"/>
      <c r="F29" s="4">
        <f t="shared" si="3"/>
        <v>1259.989</v>
      </c>
      <c r="G29" s="4">
        <f t="shared" si="3"/>
        <v>1259.989</v>
      </c>
    </row>
    <row r="30" spans="1:7" ht="31.5">
      <c r="A30" s="23" t="s">
        <v>1142</v>
      </c>
      <c r="B30" s="7" t="s">
        <v>135</v>
      </c>
      <c r="C30" s="7" t="s">
        <v>232</v>
      </c>
      <c r="D30" s="7" t="s">
        <v>1143</v>
      </c>
      <c r="E30" s="7"/>
      <c r="F30" s="4">
        <f>F31+F36</f>
        <v>1259.989</v>
      </c>
      <c r="G30" s="4">
        <f>G31+G36</f>
        <v>1259.989</v>
      </c>
    </row>
    <row r="31" spans="1:7" ht="31.5">
      <c r="A31" s="25" t="s">
        <v>1146</v>
      </c>
      <c r="B31" s="41" t="s">
        <v>135</v>
      </c>
      <c r="C31" s="41" t="s">
        <v>232</v>
      </c>
      <c r="D31" s="41" t="s">
        <v>1147</v>
      </c>
      <c r="E31" s="41"/>
      <c r="F31" s="6">
        <f>'Пр.5 Рд,пр, ЦС,ВР 20'!F31</f>
        <v>1159.989</v>
      </c>
      <c r="G31" s="6">
        <f t="shared" si="2"/>
        <v>1159.989</v>
      </c>
    </row>
    <row r="32" spans="1:7" ht="94.5">
      <c r="A32" s="30" t="s">
        <v>144</v>
      </c>
      <c r="B32" s="41" t="s">
        <v>135</v>
      </c>
      <c r="C32" s="41" t="s">
        <v>232</v>
      </c>
      <c r="D32" s="41" t="s">
        <v>1147</v>
      </c>
      <c r="E32" s="41" t="s">
        <v>145</v>
      </c>
      <c r="F32" s="6">
        <f>'Пр.5 Рд,пр, ЦС,ВР 20'!F32</f>
        <v>1066.989</v>
      </c>
      <c r="G32" s="6">
        <f t="shared" si="2"/>
        <v>1066.989</v>
      </c>
    </row>
    <row r="33" spans="1:7" ht="35.25" customHeight="1">
      <c r="A33" s="30" t="s">
        <v>146</v>
      </c>
      <c r="B33" s="41" t="s">
        <v>135</v>
      </c>
      <c r="C33" s="41" t="s">
        <v>232</v>
      </c>
      <c r="D33" s="41" t="s">
        <v>1147</v>
      </c>
      <c r="E33" s="41" t="s">
        <v>147</v>
      </c>
      <c r="F33" s="6">
        <f>'Пр.5 Рд,пр, ЦС,ВР 20'!F33</f>
        <v>1066.989</v>
      </c>
      <c r="G33" s="6">
        <f t="shared" si="2"/>
        <v>1066.989</v>
      </c>
    </row>
    <row r="34" spans="1:7" ht="31.5">
      <c r="A34" s="30" t="s">
        <v>148</v>
      </c>
      <c r="B34" s="41" t="s">
        <v>135</v>
      </c>
      <c r="C34" s="41" t="s">
        <v>232</v>
      </c>
      <c r="D34" s="41" t="s">
        <v>1147</v>
      </c>
      <c r="E34" s="41" t="s">
        <v>149</v>
      </c>
      <c r="F34" s="6">
        <f>'Пр.5 Рд,пр, ЦС,ВР 20'!F34</f>
        <v>93</v>
      </c>
      <c r="G34" s="6">
        <f t="shared" si="2"/>
        <v>93</v>
      </c>
    </row>
    <row r="35" spans="1:7" ht="47.25">
      <c r="A35" s="30" t="s">
        <v>150</v>
      </c>
      <c r="B35" s="41" t="s">
        <v>135</v>
      </c>
      <c r="C35" s="41" t="s">
        <v>232</v>
      </c>
      <c r="D35" s="41" t="s">
        <v>1147</v>
      </c>
      <c r="E35" s="41" t="s">
        <v>151</v>
      </c>
      <c r="F35" s="6">
        <f>'Пр.5 Рд,пр, ЦС,ВР 20'!F35</f>
        <v>93</v>
      </c>
      <c r="G35" s="6">
        <f t="shared" si="2"/>
        <v>93</v>
      </c>
    </row>
    <row r="36" spans="1:7" ht="47.25">
      <c r="A36" s="25" t="s">
        <v>889</v>
      </c>
      <c r="B36" s="41" t="s">
        <v>135</v>
      </c>
      <c r="C36" s="41" t="s">
        <v>232</v>
      </c>
      <c r="D36" s="41" t="s">
        <v>1145</v>
      </c>
      <c r="E36" s="41"/>
      <c r="F36" s="6">
        <f>'Пр.5 Рд,пр, ЦС,ВР 20'!F36</f>
        <v>100</v>
      </c>
      <c r="G36" s="6">
        <f t="shared" si="2"/>
        <v>100</v>
      </c>
    </row>
    <row r="37" spans="1:7" ht="94.5">
      <c r="A37" s="25" t="s">
        <v>144</v>
      </c>
      <c r="B37" s="41" t="s">
        <v>135</v>
      </c>
      <c r="C37" s="41" t="s">
        <v>232</v>
      </c>
      <c r="D37" s="41" t="s">
        <v>1145</v>
      </c>
      <c r="E37" s="41" t="s">
        <v>145</v>
      </c>
      <c r="F37" s="6">
        <f>'Пр.5 Рд,пр, ЦС,ВР 20'!F37</f>
        <v>100</v>
      </c>
      <c r="G37" s="6">
        <f t="shared" si="2"/>
        <v>100</v>
      </c>
    </row>
    <row r="38" spans="1:7" ht="47.25">
      <c r="A38" s="25" t="s">
        <v>146</v>
      </c>
      <c r="B38" s="41" t="s">
        <v>135</v>
      </c>
      <c r="C38" s="41" t="s">
        <v>232</v>
      </c>
      <c r="D38" s="41" t="s">
        <v>1145</v>
      </c>
      <c r="E38" s="41" t="s">
        <v>147</v>
      </c>
      <c r="F38" s="6">
        <f>'Пр.5 Рд,пр, ЦС,ВР 20'!F38</f>
        <v>100</v>
      </c>
      <c r="G38" s="6">
        <f t="shared" si="2"/>
        <v>100</v>
      </c>
    </row>
    <row r="39" spans="1:7" ht="94.5">
      <c r="A39" s="42" t="s">
        <v>166</v>
      </c>
      <c r="B39" s="7" t="s">
        <v>135</v>
      </c>
      <c r="C39" s="7" t="s">
        <v>167</v>
      </c>
      <c r="D39" s="7"/>
      <c r="E39" s="7"/>
      <c r="F39" s="4">
        <f>F40+F78</f>
        <v>70261.384</v>
      </c>
      <c r="G39" s="4">
        <f>G40+G78</f>
        <v>70261.384</v>
      </c>
    </row>
    <row r="40" spans="1:7" ht="31.5">
      <c r="A40" s="23" t="s">
        <v>995</v>
      </c>
      <c r="B40" s="7" t="s">
        <v>135</v>
      </c>
      <c r="C40" s="7" t="s">
        <v>167</v>
      </c>
      <c r="D40" s="7" t="s">
        <v>909</v>
      </c>
      <c r="E40" s="7"/>
      <c r="F40" s="4">
        <f>F41+F57</f>
        <v>69480.884</v>
      </c>
      <c r="G40" s="4">
        <f>G41+G57</f>
        <v>69480.884</v>
      </c>
    </row>
    <row r="41" spans="1:7" ht="15.75">
      <c r="A41" s="23" t="s">
        <v>996</v>
      </c>
      <c r="B41" s="7" t="s">
        <v>135</v>
      </c>
      <c r="C41" s="7" t="s">
        <v>167</v>
      </c>
      <c r="D41" s="7" t="s">
        <v>910</v>
      </c>
      <c r="E41" s="7"/>
      <c r="F41" s="4">
        <f>F42+F51+F54</f>
        <v>66289.084</v>
      </c>
      <c r="G41" s="4">
        <f>G42+G51+G54</f>
        <v>66289.084</v>
      </c>
    </row>
    <row r="42" spans="1:7" ht="31.5">
      <c r="A42" s="30" t="s">
        <v>972</v>
      </c>
      <c r="B42" s="41" t="s">
        <v>135</v>
      </c>
      <c r="C42" s="41" t="s">
        <v>167</v>
      </c>
      <c r="D42" s="41" t="s">
        <v>911</v>
      </c>
      <c r="E42" s="41"/>
      <c r="F42" s="6">
        <f>'Пр.5 Рд,пр, ЦС,ВР 20'!F42</f>
        <v>61862.013</v>
      </c>
      <c r="G42" s="6">
        <f t="shared" si="2"/>
        <v>61862.013</v>
      </c>
    </row>
    <row r="43" spans="1:7" ht="94.5">
      <c r="A43" s="30" t="s">
        <v>144</v>
      </c>
      <c r="B43" s="41" t="s">
        <v>135</v>
      </c>
      <c r="C43" s="41" t="s">
        <v>167</v>
      </c>
      <c r="D43" s="41" t="s">
        <v>911</v>
      </c>
      <c r="E43" s="41" t="s">
        <v>145</v>
      </c>
      <c r="F43" s="6">
        <f>'Пр.5 Рд,пр, ЦС,ВР 20'!F43</f>
        <v>52975.013</v>
      </c>
      <c r="G43" s="6">
        <f t="shared" si="2"/>
        <v>52975.013</v>
      </c>
    </row>
    <row r="44" spans="1:7" ht="47.25">
      <c r="A44" s="30" t="s">
        <v>146</v>
      </c>
      <c r="B44" s="41" t="s">
        <v>135</v>
      </c>
      <c r="C44" s="41" t="s">
        <v>167</v>
      </c>
      <c r="D44" s="41" t="s">
        <v>911</v>
      </c>
      <c r="E44" s="41" t="s">
        <v>147</v>
      </c>
      <c r="F44" s="6">
        <f>'Пр.5 Рд,пр, ЦС,ВР 20'!F44</f>
        <v>52975.013</v>
      </c>
      <c r="G44" s="6">
        <f t="shared" si="2"/>
        <v>52975.013</v>
      </c>
    </row>
    <row r="45" spans="1:7" ht="31.5">
      <c r="A45" s="30" t="s">
        <v>148</v>
      </c>
      <c r="B45" s="41" t="s">
        <v>135</v>
      </c>
      <c r="C45" s="41" t="s">
        <v>167</v>
      </c>
      <c r="D45" s="41" t="s">
        <v>911</v>
      </c>
      <c r="E45" s="41" t="s">
        <v>149</v>
      </c>
      <c r="F45" s="6">
        <f>'Пр.5 Рд,пр, ЦС,ВР 20'!F45</f>
        <v>7926</v>
      </c>
      <c r="G45" s="6">
        <f t="shared" si="2"/>
        <v>7926</v>
      </c>
    </row>
    <row r="46" spans="1:7" ht="47.25">
      <c r="A46" s="30" t="s">
        <v>150</v>
      </c>
      <c r="B46" s="41" t="s">
        <v>135</v>
      </c>
      <c r="C46" s="41" t="s">
        <v>167</v>
      </c>
      <c r="D46" s="41" t="s">
        <v>911</v>
      </c>
      <c r="E46" s="41" t="s">
        <v>151</v>
      </c>
      <c r="F46" s="6">
        <f>'Пр.5 Рд,пр, ЦС,ВР 20'!F46</f>
        <v>7926</v>
      </c>
      <c r="G46" s="6">
        <f t="shared" si="2"/>
        <v>7926</v>
      </c>
    </row>
    <row r="47" spans="1:7" ht="31.5">
      <c r="A47" s="25" t="s">
        <v>265</v>
      </c>
      <c r="B47" s="41" t="s">
        <v>135</v>
      </c>
      <c r="C47" s="41" t="s">
        <v>167</v>
      </c>
      <c r="D47" s="41" t="s">
        <v>911</v>
      </c>
      <c r="E47" s="41" t="s">
        <v>266</v>
      </c>
      <c r="F47" s="6">
        <f>'Пр.5 Рд,пр, ЦС,ВР 20'!F47</f>
        <v>755</v>
      </c>
      <c r="G47" s="6">
        <f t="shared" si="2"/>
        <v>755</v>
      </c>
    </row>
    <row r="48" spans="1:7" ht="47.25">
      <c r="A48" s="25" t="s">
        <v>267</v>
      </c>
      <c r="B48" s="41" t="s">
        <v>135</v>
      </c>
      <c r="C48" s="41" t="s">
        <v>167</v>
      </c>
      <c r="D48" s="41" t="s">
        <v>911</v>
      </c>
      <c r="E48" s="41" t="s">
        <v>268</v>
      </c>
      <c r="F48" s="6">
        <f>'Пр.5 Рд,пр, ЦС,ВР 20'!F48</f>
        <v>755</v>
      </c>
      <c r="G48" s="6">
        <f t="shared" si="2"/>
        <v>755</v>
      </c>
    </row>
    <row r="49" spans="1:7" ht="15.75">
      <c r="A49" s="30" t="s">
        <v>152</v>
      </c>
      <c r="B49" s="41" t="s">
        <v>135</v>
      </c>
      <c r="C49" s="41" t="s">
        <v>167</v>
      </c>
      <c r="D49" s="41" t="s">
        <v>911</v>
      </c>
      <c r="E49" s="41" t="s">
        <v>162</v>
      </c>
      <c r="F49" s="6">
        <f>'Пр.5 Рд,пр, ЦС,ВР 20'!F49</f>
        <v>206</v>
      </c>
      <c r="G49" s="6">
        <f t="shared" si="2"/>
        <v>206</v>
      </c>
    </row>
    <row r="50" spans="1:7" ht="31.5">
      <c r="A50" s="30" t="s">
        <v>585</v>
      </c>
      <c r="B50" s="41" t="s">
        <v>135</v>
      </c>
      <c r="C50" s="41" t="s">
        <v>167</v>
      </c>
      <c r="D50" s="41" t="s">
        <v>911</v>
      </c>
      <c r="E50" s="41" t="s">
        <v>155</v>
      </c>
      <c r="F50" s="6">
        <f>'Пр.5 Рд,пр, ЦС,ВР 20'!F50</f>
        <v>206</v>
      </c>
      <c r="G50" s="6">
        <f t="shared" si="2"/>
        <v>206</v>
      </c>
    </row>
    <row r="51" spans="1:7" ht="47.25">
      <c r="A51" s="25" t="s">
        <v>170</v>
      </c>
      <c r="B51" s="20" t="s">
        <v>135</v>
      </c>
      <c r="C51" s="20" t="s">
        <v>167</v>
      </c>
      <c r="D51" s="41" t="s">
        <v>912</v>
      </c>
      <c r="E51" s="20"/>
      <c r="F51" s="6">
        <f>'Пр.5 Рд,пр, ЦС,ВР 20'!F51</f>
        <v>2500.071</v>
      </c>
      <c r="G51" s="6">
        <f t="shared" si="2"/>
        <v>2500.071</v>
      </c>
    </row>
    <row r="52" spans="1:7" ht="94.5">
      <c r="A52" s="25" t="s">
        <v>144</v>
      </c>
      <c r="B52" s="20" t="s">
        <v>135</v>
      </c>
      <c r="C52" s="20" t="s">
        <v>167</v>
      </c>
      <c r="D52" s="41" t="s">
        <v>912</v>
      </c>
      <c r="E52" s="20" t="s">
        <v>145</v>
      </c>
      <c r="F52" s="6">
        <f>'Пр.5 Рд,пр, ЦС,ВР 20'!F52</f>
        <v>2500.071</v>
      </c>
      <c r="G52" s="6">
        <f t="shared" si="2"/>
        <v>2500.071</v>
      </c>
    </row>
    <row r="53" spans="1:7" ht="47.25">
      <c r="A53" s="25" t="s">
        <v>146</v>
      </c>
      <c r="B53" s="20" t="s">
        <v>135</v>
      </c>
      <c r="C53" s="20" t="s">
        <v>167</v>
      </c>
      <c r="D53" s="41" t="s">
        <v>912</v>
      </c>
      <c r="E53" s="20" t="s">
        <v>147</v>
      </c>
      <c r="F53" s="6">
        <f>'Пр.5 Рд,пр, ЦС,ВР 20'!F53</f>
        <v>2500.071</v>
      </c>
      <c r="G53" s="6">
        <f t="shared" si="2"/>
        <v>2500.071</v>
      </c>
    </row>
    <row r="54" spans="1:7" ht="47.25">
      <c r="A54" s="25" t="s">
        <v>889</v>
      </c>
      <c r="B54" s="41" t="s">
        <v>135</v>
      </c>
      <c r="C54" s="20" t="s">
        <v>167</v>
      </c>
      <c r="D54" s="41" t="s">
        <v>913</v>
      </c>
      <c r="E54" s="41"/>
      <c r="F54" s="6">
        <f>'Пр.5 Рд,пр, ЦС,ВР 20'!F54</f>
        <v>1927</v>
      </c>
      <c r="G54" s="6">
        <f t="shared" si="2"/>
        <v>1927</v>
      </c>
    </row>
    <row r="55" spans="1:7" ht="94.5">
      <c r="A55" s="25" t="s">
        <v>144</v>
      </c>
      <c r="B55" s="41" t="s">
        <v>135</v>
      </c>
      <c r="C55" s="20" t="s">
        <v>167</v>
      </c>
      <c r="D55" s="41" t="s">
        <v>913</v>
      </c>
      <c r="E55" s="41" t="s">
        <v>145</v>
      </c>
      <c r="F55" s="6">
        <f>'Пр.5 Рд,пр, ЦС,ВР 20'!F55</f>
        <v>1927</v>
      </c>
      <c r="G55" s="6">
        <f t="shared" si="2"/>
        <v>1927</v>
      </c>
    </row>
    <row r="56" spans="1:7" ht="47.25">
      <c r="A56" s="25" t="s">
        <v>146</v>
      </c>
      <c r="B56" s="41" t="s">
        <v>135</v>
      </c>
      <c r="C56" s="20" t="s">
        <v>167</v>
      </c>
      <c r="D56" s="41" t="s">
        <v>913</v>
      </c>
      <c r="E56" s="41" t="s">
        <v>147</v>
      </c>
      <c r="F56" s="6">
        <f>'Пр.5 Рд,пр, ЦС,ВР 20'!F56</f>
        <v>1927</v>
      </c>
      <c r="G56" s="6">
        <f t="shared" si="2"/>
        <v>1927</v>
      </c>
    </row>
    <row r="57" spans="1:7" ht="47.25">
      <c r="A57" s="23" t="s">
        <v>937</v>
      </c>
      <c r="B57" s="7" t="s">
        <v>135</v>
      </c>
      <c r="C57" s="24" t="s">
        <v>167</v>
      </c>
      <c r="D57" s="7" t="s">
        <v>914</v>
      </c>
      <c r="E57" s="7"/>
      <c r="F57" s="4">
        <f>F58+F63+F68+F73</f>
        <v>3191.8</v>
      </c>
      <c r="G57" s="4">
        <f>G58+G63+G68+G73</f>
        <v>3191.8</v>
      </c>
    </row>
    <row r="58" spans="1:7" ht="47.25">
      <c r="A58" s="25" t="s">
        <v>204</v>
      </c>
      <c r="B58" s="41" t="s">
        <v>135</v>
      </c>
      <c r="C58" s="20" t="s">
        <v>167</v>
      </c>
      <c r="D58" s="41" t="s">
        <v>1275</v>
      </c>
      <c r="E58" s="7"/>
      <c r="F58" s="6">
        <f>'Пр.5 Рд,пр, ЦС,ВР 20'!F58</f>
        <v>0</v>
      </c>
      <c r="G58" s="6">
        <f t="shared" si="2"/>
        <v>0</v>
      </c>
    </row>
    <row r="59" spans="1:7" ht="94.5">
      <c r="A59" s="25" t="s">
        <v>144</v>
      </c>
      <c r="B59" s="41" t="s">
        <v>135</v>
      </c>
      <c r="C59" s="20" t="s">
        <v>167</v>
      </c>
      <c r="D59" s="41" t="s">
        <v>1275</v>
      </c>
      <c r="E59" s="41" t="s">
        <v>145</v>
      </c>
      <c r="F59" s="6">
        <f>'Пр.5 Рд,пр, ЦС,ВР 20'!F59</f>
        <v>0</v>
      </c>
      <c r="G59" s="6">
        <f t="shared" si="2"/>
        <v>0</v>
      </c>
    </row>
    <row r="60" spans="1:7" ht="47.25">
      <c r="A60" s="25" t="s">
        <v>146</v>
      </c>
      <c r="B60" s="41" t="s">
        <v>135</v>
      </c>
      <c r="C60" s="20" t="s">
        <v>167</v>
      </c>
      <c r="D60" s="41" t="s">
        <v>1275</v>
      </c>
      <c r="E60" s="41" t="s">
        <v>147</v>
      </c>
      <c r="F60" s="6">
        <f>'Пр.5 Рд,пр, ЦС,ВР 20'!F60</f>
        <v>0</v>
      </c>
      <c r="G60" s="6">
        <f t="shared" si="2"/>
        <v>0</v>
      </c>
    </row>
    <row r="61" spans="1:7" ht="31.5">
      <c r="A61" s="25" t="s">
        <v>148</v>
      </c>
      <c r="B61" s="41" t="s">
        <v>135</v>
      </c>
      <c r="C61" s="20" t="s">
        <v>167</v>
      </c>
      <c r="D61" s="41" t="s">
        <v>1275</v>
      </c>
      <c r="E61" s="41" t="s">
        <v>149</v>
      </c>
      <c r="F61" s="6">
        <f>'Пр.5 Рд,пр, ЦС,ВР 20'!F61</f>
        <v>0</v>
      </c>
      <c r="G61" s="6">
        <f t="shared" si="2"/>
        <v>0</v>
      </c>
    </row>
    <row r="62" spans="1:7" ht="47.25">
      <c r="A62" s="25" t="s">
        <v>150</v>
      </c>
      <c r="B62" s="41" t="s">
        <v>135</v>
      </c>
      <c r="C62" s="20" t="s">
        <v>167</v>
      </c>
      <c r="D62" s="41" t="s">
        <v>1275</v>
      </c>
      <c r="E62" s="41" t="s">
        <v>151</v>
      </c>
      <c r="F62" s="6">
        <f>'Пр.5 Рд,пр, ЦС,ВР 20'!F62</f>
        <v>0</v>
      </c>
      <c r="G62" s="6">
        <f t="shared" si="2"/>
        <v>0</v>
      </c>
    </row>
    <row r="63" spans="1:7" ht="63">
      <c r="A63" s="46" t="s">
        <v>206</v>
      </c>
      <c r="B63" s="41" t="s">
        <v>135</v>
      </c>
      <c r="C63" s="20" t="s">
        <v>167</v>
      </c>
      <c r="D63" s="41" t="s">
        <v>1000</v>
      </c>
      <c r="E63" s="41"/>
      <c r="F63" s="6">
        <f>'Пр.5 Рд,пр, ЦС,ВР 20'!F63</f>
        <v>741.4000000000001</v>
      </c>
      <c r="G63" s="6">
        <f t="shared" si="2"/>
        <v>741.4000000000001</v>
      </c>
    </row>
    <row r="64" spans="1:7" ht="94.5">
      <c r="A64" s="30" t="s">
        <v>144</v>
      </c>
      <c r="B64" s="41" t="s">
        <v>135</v>
      </c>
      <c r="C64" s="20" t="s">
        <v>167</v>
      </c>
      <c r="D64" s="41" t="s">
        <v>1000</v>
      </c>
      <c r="E64" s="41" t="s">
        <v>145</v>
      </c>
      <c r="F64" s="6">
        <f>'Пр.5 Рд,пр, ЦС,ВР 20'!F64</f>
        <v>528.7</v>
      </c>
      <c r="G64" s="6">
        <f t="shared" si="2"/>
        <v>528.7</v>
      </c>
    </row>
    <row r="65" spans="1:7" ht="47.25">
      <c r="A65" s="30" t="s">
        <v>146</v>
      </c>
      <c r="B65" s="41" t="s">
        <v>135</v>
      </c>
      <c r="C65" s="20" t="s">
        <v>167</v>
      </c>
      <c r="D65" s="41" t="s">
        <v>1000</v>
      </c>
      <c r="E65" s="41" t="s">
        <v>147</v>
      </c>
      <c r="F65" s="6">
        <f>'Пр.5 Рд,пр, ЦС,ВР 20'!F65</f>
        <v>528.7</v>
      </c>
      <c r="G65" s="6">
        <f t="shared" si="2"/>
        <v>528.7</v>
      </c>
    </row>
    <row r="66" spans="1:7" ht="31.5">
      <c r="A66" s="25" t="s">
        <v>148</v>
      </c>
      <c r="B66" s="41" t="s">
        <v>135</v>
      </c>
      <c r="C66" s="20" t="s">
        <v>167</v>
      </c>
      <c r="D66" s="41" t="s">
        <v>1000</v>
      </c>
      <c r="E66" s="41" t="s">
        <v>149</v>
      </c>
      <c r="F66" s="6">
        <f>'Пр.5 Рд,пр, ЦС,ВР 20'!F66</f>
        <v>212.7</v>
      </c>
      <c r="G66" s="6">
        <f t="shared" si="2"/>
        <v>212.7</v>
      </c>
    </row>
    <row r="67" spans="1:7" ht="47.25">
      <c r="A67" s="25" t="s">
        <v>150</v>
      </c>
      <c r="B67" s="41" t="s">
        <v>135</v>
      </c>
      <c r="C67" s="20" t="s">
        <v>167</v>
      </c>
      <c r="D67" s="41" t="s">
        <v>1000</v>
      </c>
      <c r="E67" s="41" t="s">
        <v>151</v>
      </c>
      <c r="F67" s="6">
        <f>'Пр.5 Рд,пр, ЦС,ВР 20'!F67</f>
        <v>212.7</v>
      </c>
      <c r="G67" s="6">
        <f t="shared" si="2"/>
        <v>212.7</v>
      </c>
    </row>
    <row r="68" spans="1:7" ht="63">
      <c r="A68" s="32" t="s">
        <v>211</v>
      </c>
      <c r="B68" s="41" t="s">
        <v>135</v>
      </c>
      <c r="C68" s="20" t="s">
        <v>167</v>
      </c>
      <c r="D68" s="41" t="s">
        <v>1212</v>
      </c>
      <c r="E68" s="41"/>
      <c r="F68" s="6">
        <f>'Пр.5 Рд,пр, ЦС,ВР 20'!F68</f>
        <v>1333.1</v>
      </c>
      <c r="G68" s="6">
        <f t="shared" si="2"/>
        <v>1333.1</v>
      </c>
    </row>
    <row r="69" spans="1:7" ht="94.5">
      <c r="A69" s="30" t="s">
        <v>144</v>
      </c>
      <c r="B69" s="41" t="s">
        <v>135</v>
      </c>
      <c r="C69" s="20" t="s">
        <v>167</v>
      </c>
      <c r="D69" s="41" t="s">
        <v>1212</v>
      </c>
      <c r="E69" s="41" t="s">
        <v>145</v>
      </c>
      <c r="F69" s="6">
        <f>'Пр.5 Рд,пр, ЦС,ВР 20'!F69</f>
        <v>1271.8999999999999</v>
      </c>
      <c r="G69" s="6">
        <f t="shared" si="2"/>
        <v>1271.8999999999999</v>
      </c>
    </row>
    <row r="70" spans="1:7" ht="47.25">
      <c r="A70" s="30" t="s">
        <v>146</v>
      </c>
      <c r="B70" s="41" t="s">
        <v>135</v>
      </c>
      <c r="C70" s="20" t="s">
        <v>167</v>
      </c>
      <c r="D70" s="41" t="s">
        <v>1212</v>
      </c>
      <c r="E70" s="41" t="s">
        <v>147</v>
      </c>
      <c r="F70" s="6">
        <f>'Пр.5 Рд,пр, ЦС,ВР 20'!F70</f>
        <v>1271.8999999999999</v>
      </c>
      <c r="G70" s="6">
        <f t="shared" si="2"/>
        <v>1271.8999999999999</v>
      </c>
    </row>
    <row r="71" spans="1:7" ht="31.5">
      <c r="A71" s="25" t="s">
        <v>148</v>
      </c>
      <c r="B71" s="41" t="s">
        <v>135</v>
      </c>
      <c r="C71" s="20" t="s">
        <v>167</v>
      </c>
      <c r="D71" s="41" t="s">
        <v>1212</v>
      </c>
      <c r="E71" s="41" t="s">
        <v>149</v>
      </c>
      <c r="F71" s="6">
        <f>'Пр.5 Рд,пр, ЦС,ВР 20'!F71</f>
        <v>61.2</v>
      </c>
      <c r="G71" s="6">
        <f t="shared" si="2"/>
        <v>61.2</v>
      </c>
    </row>
    <row r="72" spans="1:7" ht="47.25">
      <c r="A72" s="25" t="s">
        <v>150</v>
      </c>
      <c r="B72" s="41" t="s">
        <v>135</v>
      </c>
      <c r="C72" s="20" t="s">
        <v>167</v>
      </c>
      <c r="D72" s="41" t="s">
        <v>1212</v>
      </c>
      <c r="E72" s="41" t="s">
        <v>151</v>
      </c>
      <c r="F72" s="6">
        <f>'Пр.5 Рд,пр, ЦС,ВР 20'!F72</f>
        <v>61.2</v>
      </c>
      <c r="G72" s="6">
        <f t="shared" si="2"/>
        <v>61.2</v>
      </c>
    </row>
    <row r="73" spans="1:7" ht="63">
      <c r="A73" s="46" t="s">
        <v>213</v>
      </c>
      <c r="B73" s="41" t="s">
        <v>135</v>
      </c>
      <c r="C73" s="20" t="s">
        <v>167</v>
      </c>
      <c r="D73" s="41" t="s">
        <v>1001</v>
      </c>
      <c r="E73" s="41"/>
      <c r="F73" s="6">
        <f>'Пр.5 Рд,пр, ЦС,ВР 20'!F73</f>
        <v>1117.3</v>
      </c>
      <c r="G73" s="6">
        <f aca="true" t="shared" si="4" ref="G73:G136">F73</f>
        <v>1117.3</v>
      </c>
    </row>
    <row r="74" spans="1:7" ht="94.5">
      <c r="A74" s="30" t="s">
        <v>144</v>
      </c>
      <c r="B74" s="41" t="s">
        <v>135</v>
      </c>
      <c r="C74" s="20" t="s">
        <v>167</v>
      </c>
      <c r="D74" s="41" t="s">
        <v>1001</v>
      </c>
      <c r="E74" s="41" t="s">
        <v>145</v>
      </c>
      <c r="F74" s="6">
        <f>'Пр.5 Рд,пр, ЦС,ВР 20'!F74</f>
        <v>1026.5</v>
      </c>
      <c r="G74" s="6">
        <f t="shared" si="4"/>
        <v>1026.5</v>
      </c>
    </row>
    <row r="75" spans="1:7" ht="47.25">
      <c r="A75" s="30" t="s">
        <v>146</v>
      </c>
      <c r="B75" s="41" t="s">
        <v>135</v>
      </c>
      <c r="C75" s="20" t="s">
        <v>167</v>
      </c>
      <c r="D75" s="41" t="s">
        <v>1001</v>
      </c>
      <c r="E75" s="41" t="s">
        <v>147</v>
      </c>
      <c r="F75" s="6">
        <f>'Пр.5 Рд,пр, ЦС,ВР 20'!F75</f>
        <v>1026.5</v>
      </c>
      <c r="G75" s="6">
        <f t="shared" si="4"/>
        <v>1026.5</v>
      </c>
    </row>
    <row r="76" spans="1:7" ht="31.5">
      <c r="A76" s="30" t="s">
        <v>148</v>
      </c>
      <c r="B76" s="41" t="s">
        <v>135</v>
      </c>
      <c r="C76" s="20" t="s">
        <v>167</v>
      </c>
      <c r="D76" s="41" t="s">
        <v>1001</v>
      </c>
      <c r="E76" s="41" t="s">
        <v>149</v>
      </c>
      <c r="F76" s="6">
        <f>'Пр.5 Рд,пр, ЦС,ВР 20'!F76</f>
        <v>90.8</v>
      </c>
      <c r="G76" s="6">
        <f t="shared" si="4"/>
        <v>90.8</v>
      </c>
    </row>
    <row r="77" spans="1:7" ht="47.25">
      <c r="A77" s="30" t="s">
        <v>150</v>
      </c>
      <c r="B77" s="41" t="s">
        <v>135</v>
      </c>
      <c r="C77" s="20" t="s">
        <v>167</v>
      </c>
      <c r="D77" s="41" t="s">
        <v>1001</v>
      </c>
      <c r="E77" s="41" t="s">
        <v>151</v>
      </c>
      <c r="F77" s="6">
        <f>'Пр.5 Рд,пр, ЦС,ВР 20'!F77</f>
        <v>90.8</v>
      </c>
      <c r="G77" s="6">
        <f t="shared" si="4"/>
        <v>90.8</v>
      </c>
    </row>
    <row r="78" spans="1:7" ht="63">
      <c r="A78" s="23" t="s">
        <v>822</v>
      </c>
      <c r="B78" s="24" t="s">
        <v>135</v>
      </c>
      <c r="C78" s="24" t="s">
        <v>167</v>
      </c>
      <c r="D78" s="24" t="s">
        <v>179</v>
      </c>
      <c r="E78" s="24"/>
      <c r="F78" s="4">
        <f>F79+F83+F89</f>
        <v>780.5</v>
      </c>
      <c r="G78" s="4">
        <f>G79+G83+G89</f>
        <v>780.5</v>
      </c>
    </row>
    <row r="79" spans="1:7" ht="78.75">
      <c r="A79" s="322" t="s">
        <v>1164</v>
      </c>
      <c r="B79" s="24" t="s">
        <v>135</v>
      </c>
      <c r="C79" s="24" t="s">
        <v>167</v>
      </c>
      <c r="D79" s="7" t="s">
        <v>900</v>
      </c>
      <c r="E79" s="24"/>
      <c r="F79" s="4">
        <f>F80</f>
        <v>491</v>
      </c>
      <c r="G79" s="4">
        <f>G80</f>
        <v>491</v>
      </c>
    </row>
    <row r="80" spans="1:7" ht="47.25">
      <c r="A80" s="30" t="s">
        <v>1163</v>
      </c>
      <c r="B80" s="20" t="s">
        <v>135</v>
      </c>
      <c r="C80" s="20" t="s">
        <v>167</v>
      </c>
      <c r="D80" s="41" t="s">
        <v>892</v>
      </c>
      <c r="E80" s="20"/>
      <c r="F80" s="6">
        <f>'Пр.5 Рд,пр, ЦС,ВР 20'!F80</f>
        <v>491</v>
      </c>
      <c r="G80" s="6">
        <f t="shared" si="4"/>
        <v>491</v>
      </c>
    </row>
    <row r="81" spans="1:7" ht="31.5">
      <c r="A81" s="25" t="s">
        <v>148</v>
      </c>
      <c r="B81" s="20" t="s">
        <v>135</v>
      </c>
      <c r="C81" s="20" t="s">
        <v>167</v>
      </c>
      <c r="D81" s="41" t="s">
        <v>892</v>
      </c>
      <c r="E81" s="20" t="s">
        <v>149</v>
      </c>
      <c r="F81" s="6">
        <f>'Пр.5 Рд,пр, ЦС,ВР 20'!F81</f>
        <v>491</v>
      </c>
      <c r="G81" s="6">
        <f t="shared" si="4"/>
        <v>491</v>
      </c>
    </row>
    <row r="82" spans="1:7" ht="47.25">
      <c r="A82" s="25" t="s">
        <v>150</v>
      </c>
      <c r="B82" s="20" t="s">
        <v>135</v>
      </c>
      <c r="C82" s="20" t="s">
        <v>167</v>
      </c>
      <c r="D82" s="41" t="s">
        <v>892</v>
      </c>
      <c r="E82" s="20" t="s">
        <v>151</v>
      </c>
      <c r="F82" s="6">
        <f>'Пр.5 Рд,пр, ЦС,ВР 20'!F82</f>
        <v>491</v>
      </c>
      <c r="G82" s="6">
        <f t="shared" si="4"/>
        <v>491</v>
      </c>
    </row>
    <row r="83" spans="1:7" ht="78.75">
      <c r="A83" s="321" t="s">
        <v>894</v>
      </c>
      <c r="B83" s="24" t="s">
        <v>135</v>
      </c>
      <c r="C83" s="24" t="s">
        <v>167</v>
      </c>
      <c r="D83" s="7" t="s">
        <v>901</v>
      </c>
      <c r="E83" s="24"/>
      <c r="F83" s="4">
        <f>F84</f>
        <v>249</v>
      </c>
      <c r="G83" s="4">
        <f>G84</f>
        <v>249</v>
      </c>
    </row>
    <row r="84" spans="1:7" ht="63">
      <c r="A84" s="188" t="s">
        <v>182</v>
      </c>
      <c r="B84" s="20" t="s">
        <v>135</v>
      </c>
      <c r="C84" s="20" t="s">
        <v>167</v>
      </c>
      <c r="D84" s="41" t="s">
        <v>893</v>
      </c>
      <c r="E84" s="20"/>
      <c r="F84" s="6">
        <f>'Пр.5 Рд,пр, ЦС,ВР 20'!F84</f>
        <v>249</v>
      </c>
      <c r="G84" s="6">
        <f t="shared" si="4"/>
        <v>249</v>
      </c>
    </row>
    <row r="85" spans="1:7" ht="94.5">
      <c r="A85" s="25" t="s">
        <v>144</v>
      </c>
      <c r="B85" s="20" t="s">
        <v>135</v>
      </c>
      <c r="C85" s="20" t="s">
        <v>167</v>
      </c>
      <c r="D85" s="41" t="s">
        <v>893</v>
      </c>
      <c r="E85" s="20" t="s">
        <v>145</v>
      </c>
      <c r="F85" s="6">
        <f>'Пр.5 Рд,пр, ЦС,ВР 20'!F85</f>
        <v>159.7</v>
      </c>
      <c r="G85" s="6">
        <f t="shared" si="4"/>
        <v>159.7</v>
      </c>
    </row>
    <row r="86" spans="1:7" ht="47.25">
      <c r="A86" s="25" t="s">
        <v>146</v>
      </c>
      <c r="B86" s="20" t="s">
        <v>135</v>
      </c>
      <c r="C86" s="20" t="s">
        <v>167</v>
      </c>
      <c r="D86" s="41" t="s">
        <v>893</v>
      </c>
      <c r="E86" s="20" t="s">
        <v>147</v>
      </c>
      <c r="F86" s="6">
        <f>'Пр.5 Рд,пр, ЦС,ВР 20'!F86</f>
        <v>159.7</v>
      </c>
      <c r="G86" s="6">
        <f t="shared" si="4"/>
        <v>159.7</v>
      </c>
    </row>
    <row r="87" spans="1:7" ht="31.5">
      <c r="A87" s="25" t="s">
        <v>148</v>
      </c>
      <c r="B87" s="20" t="s">
        <v>135</v>
      </c>
      <c r="C87" s="20" t="s">
        <v>167</v>
      </c>
      <c r="D87" s="41" t="s">
        <v>893</v>
      </c>
      <c r="E87" s="20" t="s">
        <v>149</v>
      </c>
      <c r="F87" s="6">
        <f>'Пр.5 Рд,пр, ЦС,ВР 20'!F87</f>
        <v>89.30000000000001</v>
      </c>
      <c r="G87" s="6">
        <f t="shared" si="4"/>
        <v>89.30000000000001</v>
      </c>
    </row>
    <row r="88" spans="1:7" ht="47.25">
      <c r="A88" s="25" t="s">
        <v>150</v>
      </c>
      <c r="B88" s="20" t="s">
        <v>135</v>
      </c>
      <c r="C88" s="20" t="s">
        <v>167</v>
      </c>
      <c r="D88" s="41" t="s">
        <v>893</v>
      </c>
      <c r="E88" s="20" t="s">
        <v>151</v>
      </c>
      <c r="F88" s="6">
        <f>'Пр.5 Рд,пр, ЦС,ВР 20'!F88</f>
        <v>89.30000000000001</v>
      </c>
      <c r="G88" s="6">
        <f t="shared" si="4"/>
        <v>89.30000000000001</v>
      </c>
    </row>
    <row r="89" spans="1:7" ht="78.75">
      <c r="A89" s="323" t="s">
        <v>1165</v>
      </c>
      <c r="B89" s="24" t="s">
        <v>135</v>
      </c>
      <c r="C89" s="24" t="s">
        <v>167</v>
      </c>
      <c r="D89" s="7" t="s">
        <v>902</v>
      </c>
      <c r="E89" s="24"/>
      <c r="F89" s="4">
        <f>F90+F93</f>
        <v>40.5</v>
      </c>
      <c r="G89" s="4">
        <f>G90+G93</f>
        <v>40.5</v>
      </c>
    </row>
    <row r="90" spans="1:7" ht="63">
      <c r="A90" s="34" t="s">
        <v>208</v>
      </c>
      <c r="B90" s="20" t="s">
        <v>135</v>
      </c>
      <c r="C90" s="20" t="s">
        <v>167</v>
      </c>
      <c r="D90" s="41" t="s">
        <v>895</v>
      </c>
      <c r="E90" s="20"/>
      <c r="F90" s="6">
        <f>'Пр.5 Рд,пр, ЦС,ВР 20'!F90</f>
        <v>0.5</v>
      </c>
      <c r="G90" s="6">
        <f t="shared" si="4"/>
        <v>0.5</v>
      </c>
    </row>
    <row r="91" spans="1:7" ht="31.5">
      <c r="A91" s="25" t="s">
        <v>148</v>
      </c>
      <c r="B91" s="20" t="s">
        <v>135</v>
      </c>
      <c r="C91" s="20" t="s">
        <v>167</v>
      </c>
      <c r="D91" s="41" t="s">
        <v>895</v>
      </c>
      <c r="E91" s="20" t="s">
        <v>149</v>
      </c>
      <c r="F91" s="6">
        <f>'Пр.5 Рд,пр, ЦС,ВР 20'!F91</f>
        <v>0.5</v>
      </c>
      <c r="G91" s="6">
        <f t="shared" si="4"/>
        <v>0.5</v>
      </c>
    </row>
    <row r="92" spans="1:7" ht="47.25">
      <c r="A92" s="25" t="s">
        <v>150</v>
      </c>
      <c r="B92" s="20" t="s">
        <v>135</v>
      </c>
      <c r="C92" s="20" t="s">
        <v>167</v>
      </c>
      <c r="D92" s="41" t="s">
        <v>895</v>
      </c>
      <c r="E92" s="20" t="s">
        <v>151</v>
      </c>
      <c r="F92" s="6">
        <f>'Пр.5 Рд,пр, ЦС,ВР 20'!F92</f>
        <v>0.5</v>
      </c>
      <c r="G92" s="6">
        <f t="shared" si="4"/>
        <v>0.5</v>
      </c>
    </row>
    <row r="93" spans="1:7" ht="63">
      <c r="A93" s="34" t="s">
        <v>208</v>
      </c>
      <c r="B93" s="20" t="s">
        <v>135</v>
      </c>
      <c r="C93" s="20" t="s">
        <v>167</v>
      </c>
      <c r="D93" s="20" t="s">
        <v>896</v>
      </c>
      <c r="E93" s="20"/>
      <c r="F93" s="6">
        <f>'Пр.5 Рд,пр, ЦС,ВР 20'!F93</f>
        <v>40</v>
      </c>
      <c r="G93" s="6">
        <f t="shared" si="4"/>
        <v>40</v>
      </c>
    </row>
    <row r="94" spans="1:7" ht="31.5">
      <c r="A94" s="25" t="s">
        <v>148</v>
      </c>
      <c r="B94" s="20" t="s">
        <v>135</v>
      </c>
      <c r="C94" s="20" t="s">
        <v>167</v>
      </c>
      <c r="D94" s="20" t="s">
        <v>896</v>
      </c>
      <c r="E94" s="20" t="s">
        <v>149</v>
      </c>
      <c r="F94" s="6">
        <f>'Пр.5 Рд,пр, ЦС,ВР 20'!F94</f>
        <v>40</v>
      </c>
      <c r="G94" s="6">
        <f t="shared" si="4"/>
        <v>40</v>
      </c>
    </row>
    <row r="95" spans="1:7" ht="47.25">
      <c r="A95" s="25" t="s">
        <v>150</v>
      </c>
      <c r="B95" s="20" t="s">
        <v>135</v>
      </c>
      <c r="C95" s="20" t="s">
        <v>167</v>
      </c>
      <c r="D95" s="20" t="s">
        <v>896</v>
      </c>
      <c r="E95" s="20" t="s">
        <v>151</v>
      </c>
      <c r="F95" s="6">
        <f>'Пр.5 Рд,пр, ЦС,ВР 20'!F95</f>
        <v>40</v>
      </c>
      <c r="G95" s="6">
        <f t="shared" si="4"/>
        <v>40</v>
      </c>
    </row>
    <row r="96" spans="1:7" ht="63">
      <c r="A96" s="42" t="s">
        <v>136</v>
      </c>
      <c r="B96" s="7" t="s">
        <v>135</v>
      </c>
      <c r="C96" s="7" t="s">
        <v>137</v>
      </c>
      <c r="D96" s="7"/>
      <c r="E96" s="7"/>
      <c r="F96" s="4">
        <f aca="true" t="shared" si="5" ref="F96:G96">F97</f>
        <v>17610.106</v>
      </c>
      <c r="G96" s="4">
        <f t="shared" si="5"/>
        <v>17610.106</v>
      </c>
    </row>
    <row r="97" spans="1:7" ht="31.5">
      <c r="A97" s="23" t="s">
        <v>995</v>
      </c>
      <c r="B97" s="7" t="s">
        <v>135</v>
      </c>
      <c r="C97" s="7" t="s">
        <v>137</v>
      </c>
      <c r="D97" s="7" t="s">
        <v>909</v>
      </c>
      <c r="E97" s="7"/>
      <c r="F97" s="4">
        <f>F107+F98</f>
        <v>17610.106</v>
      </c>
      <c r="G97" s="4">
        <f>G107+G98</f>
        <v>17610.106</v>
      </c>
    </row>
    <row r="98" spans="1:7" ht="31.5">
      <c r="A98" s="23" t="s">
        <v>1142</v>
      </c>
      <c r="B98" s="7" t="s">
        <v>135</v>
      </c>
      <c r="C98" s="7" t="s">
        <v>137</v>
      </c>
      <c r="D98" s="7" t="s">
        <v>1143</v>
      </c>
      <c r="E98" s="7"/>
      <c r="F98" s="4">
        <f>F99+F104</f>
        <v>2135.162</v>
      </c>
      <c r="G98" s="4">
        <f>G99+G104</f>
        <v>2135.162</v>
      </c>
    </row>
    <row r="99" spans="1:7" ht="31.5">
      <c r="A99" s="25" t="s">
        <v>972</v>
      </c>
      <c r="B99" s="20" t="s">
        <v>135</v>
      </c>
      <c r="C99" s="20" t="s">
        <v>137</v>
      </c>
      <c r="D99" s="20" t="s">
        <v>1147</v>
      </c>
      <c r="E99" s="20"/>
      <c r="F99" s="6">
        <f>'Пр.5 Рд,пр, ЦС,ВР 20'!F99</f>
        <v>2035.1619999999998</v>
      </c>
      <c r="G99" s="6">
        <f t="shared" si="4"/>
        <v>2035.1619999999998</v>
      </c>
    </row>
    <row r="100" spans="1:7" ht="94.5">
      <c r="A100" s="25" t="s">
        <v>144</v>
      </c>
      <c r="B100" s="20" t="s">
        <v>135</v>
      </c>
      <c r="C100" s="20" t="s">
        <v>137</v>
      </c>
      <c r="D100" s="20" t="s">
        <v>1147</v>
      </c>
      <c r="E100" s="20" t="s">
        <v>145</v>
      </c>
      <c r="F100" s="6">
        <f>'Пр.5 Рд,пр, ЦС,ВР 20'!F100</f>
        <v>2017.1619999999998</v>
      </c>
      <c r="G100" s="6">
        <f t="shared" si="4"/>
        <v>2017.1619999999998</v>
      </c>
    </row>
    <row r="101" spans="1:7" ht="47.25">
      <c r="A101" s="25" t="s">
        <v>146</v>
      </c>
      <c r="B101" s="20" t="s">
        <v>135</v>
      </c>
      <c r="C101" s="20" t="s">
        <v>137</v>
      </c>
      <c r="D101" s="20" t="s">
        <v>1147</v>
      </c>
      <c r="E101" s="20" t="s">
        <v>147</v>
      </c>
      <c r="F101" s="6">
        <f>'Пр.5 Рд,пр, ЦС,ВР 20'!F101</f>
        <v>2017.1619999999998</v>
      </c>
      <c r="G101" s="6">
        <f t="shared" si="4"/>
        <v>2017.1619999999998</v>
      </c>
    </row>
    <row r="102" spans="1:7" ht="47.25">
      <c r="A102" s="25" t="s">
        <v>215</v>
      </c>
      <c r="B102" s="20" t="s">
        <v>135</v>
      </c>
      <c r="C102" s="20" t="s">
        <v>137</v>
      </c>
      <c r="D102" s="20" t="s">
        <v>1147</v>
      </c>
      <c r="E102" s="20" t="s">
        <v>149</v>
      </c>
      <c r="F102" s="6">
        <f>'Пр.5 Рд,пр, ЦС,ВР 20'!F102</f>
        <v>18</v>
      </c>
      <c r="G102" s="6">
        <f t="shared" si="4"/>
        <v>18</v>
      </c>
    </row>
    <row r="103" spans="1:7" ht="47.25">
      <c r="A103" s="25" t="s">
        <v>150</v>
      </c>
      <c r="B103" s="20" t="s">
        <v>135</v>
      </c>
      <c r="C103" s="20" t="s">
        <v>137</v>
      </c>
      <c r="D103" s="20" t="s">
        <v>1147</v>
      </c>
      <c r="E103" s="20" t="s">
        <v>151</v>
      </c>
      <c r="F103" s="6">
        <f>'Пр.5 Рд,пр, ЦС,ВР 20'!F103</f>
        <v>18</v>
      </c>
      <c r="G103" s="6">
        <f t="shared" si="4"/>
        <v>18</v>
      </c>
    </row>
    <row r="104" spans="1:7" ht="47.25">
      <c r="A104" s="25" t="s">
        <v>889</v>
      </c>
      <c r="B104" s="20" t="s">
        <v>135</v>
      </c>
      <c r="C104" s="20" t="s">
        <v>137</v>
      </c>
      <c r="D104" s="20" t="s">
        <v>1145</v>
      </c>
      <c r="E104" s="20"/>
      <c r="F104" s="6">
        <f>'Пр.5 Рд,пр, ЦС,ВР 20'!F104</f>
        <v>100</v>
      </c>
      <c r="G104" s="6">
        <f t="shared" si="4"/>
        <v>100</v>
      </c>
    </row>
    <row r="105" spans="1:7" ht="94.5">
      <c r="A105" s="25" t="s">
        <v>144</v>
      </c>
      <c r="B105" s="20" t="s">
        <v>135</v>
      </c>
      <c r="C105" s="20" t="s">
        <v>137</v>
      </c>
      <c r="D105" s="20" t="s">
        <v>1145</v>
      </c>
      <c r="E105" s="20" t="s">
        <v>145</v>
      </c>
      <c r="F105" s="6">
        <f>'Пр.5 Рд,пр, ЦС,ВР 20'!F105</f>
        <v>100</v>
      </c>
      <c r="G105" s="6">
        <f t="shared" si="4"/>
        <v>100</v>
      </c>
    </row>
    <row r="106" spans="1:7" ht="47.25">
      <c r="A106" s="25" t="s">
        <v>146</v>
      </c>
      <c r="B106" s="20" t="s">
        <v>135</v>
      </c>
      <c r="C106" s="20" t="s">
        <v>137</v>
      </c>
      <c r="D106" s="20" t="s">
        <v>1145</v>
      </c>
      <c r="E106" s="20" t="s">
        <v>147</v>
      </c>
      <c r="F106" s="6">
        <f>'Пр.5 Рд,пр, ЦС,ВР 20'!F106</f>
        <v>100</v>
      </c>
      <c r="G106" s="6">
        <f t="shared" si="4"/>
        <v>100</v>
      </c>
    </row>
    <row r="107" spans="1:7" ht="15.75">
      <c r="A107" s="23" t="s">
        <v>996</v>
      </c>
      <c r="B107" s="7" t="s">
        <v>135</v>
      </c>
      <c r="C107" s="7" t="s">
        <v>137</v>
      </c>
      <c r="D107" s="7" t="s">
        <v>910</v>
      </c>
      <c r="E107" s="7"/>
      <c r="F107" s="4">
        <f>F108+F115</f>
        <v>15474.944</v>
      </c>
      <c r="G107" s="4">
        <f>G108+G115</f>
        <v>15474.944</v>
      </c>
    </row>
    <row r="108" spans="1:7" ht="31.5">
      <c r="A108" s="30" t="s">
        <v>972</v>
      </c>
      <c r="B108" s="41" t="s">
        <v>135</v>
      </c>
      <c r="C108" s="41" t="s">
        <v>137</v>
      </c>
      <c r="D108" s="41" t="s">
        <v>911</v>
      </c>
      <c r="E108" s="41"/>
      <c r="F108" s="6">
        <f>'Пр.5 Рд,пр, ЦС,ВР 20'!F108</f>
        <v>14980.944</v>
      </c>
      <c r="G108" s="6">
        <f t="shared" si="4"/>
        <v>14980.944</v>
      </c>
    </row>
    <row r="109" spans="1:7" ht="94.5">
      <c r="A109" s="30" t="s">
        <v>144</v>
      </c>
      <c r="B109" s="41" t="s">
        <v>135</v>
      </c>
      <c r="C109" s="41" t="s">
        <v>137</v>
      </c>
      <c r="D109" s="41" t="s">
        <v>911</v>
      </c>
      <c r="E109" s="41" t="s">
        <v>145</v>
      </c>
      <c r="F109" s="6">
        <f>'Пр.5 Рд,пр, ЦС,ВР 20'!F109</f>
        <v>13775.944</v>
      </c>
      <c r="G109" s="6">
        <f t="shared" si="4"/>
        <v>13775.944</v>
      </c>
    </row>
    <row r="110" spans="1:7" ht="47.25">
      <c r="A110" s="30" t="s">
        <v>146</v>
      </c>
      <c r="B110" s="41" t="s">
        <v>135</v>
      </c>
      <c r="C110" s="41" t="s">
        <v>137</v>
      </c>
      <c r="D110" s="41" t="s">
        <v>911</v>
      </c>
      <c r="E110" s="41" t="s">
        <v>147</v>
      </c>
      <c r="F110" s="6">
        <f>'Пр.5 Рд,пр, ЦС,ВР 20'!F110</f>
        <v>13775.944</v>
      </c>
      <c r="G110" s="6">
        <f t="shared" si="4"/>
        <v>13775.944</v>
      </c>
    </row>
    <row r="111" spans="1:7" ht="31.5">
      <c r="A111" s="30" t="s">
        <v>148</v>
      </c>
      <c r="B111" s="41" t="s">
        <v>135</v>
      </c>
      <c r="C111" s="41" t="s">
        <v>137</v>
      </c>
      <c r="D111" s="41" t="s">
        <v>911</v>
      </c>
      <c r="E111" s="41" t="s">
        <v>149</v>
      </c>
      <c r="F111" s="6">
        <f>'Пр.5 Рд,пр, ЦС,ВР 20'!F111</f>
        <v>1177</v>
      </c>
      <c r="G111" s="6">
        <f t="shared" si="4"/>
        <v>1177</v>
      </c>
    </row>
    <row r="112" spans="1:7" ht="47.25">
      <c r="A112" s="30" t="s">
        <v>150</v>
      </c>
      <c r="B112" s="41" t="s">
        <v>135</v>
      </c>
      <c r="C112" s="41" t="s">
        <v>137</v>
      </c>
      <c r="D112" s="41" t="s">
        <v>911</v>
      </c>
      <c r="E112" s="41" t="s">
        <v>151</v>
      </c>
      <c r="F112" s="6">
        <f>'Пр.5 Рд,пр, ЦС,ВР 20'!F112</f>
        <v>1177</v>
      </c>
      <c r="G112" s="6">
        <f t="shared" si="4"/>
        <v>1177</v>
      </c>
    </row>
    <row r="113" spans="1:7" ht="15.75">
      <c r="A113" s="30" t="s">
        <v>152</v>
      </c>
      <c r="B113" s="41" t="s">
        <v>135</v>
      </c>
      <c r="C113" s="41" t="s">
        <v>137</v>
      </c>
      <c r="D113" s="41" t="s">
        <v>911</v>
      </c>
      <c r="E113" s="41" t="s">
        <v>162</v>
      </c>
      <c r="F113" s="6">
        <f>'Пр.5 Рд,пр, ЦС,ВР 20'!F113</f>
        <v>28</v>
      </c>
      <c r="G113" s="6">
        <f t="shared" si="4"/>
        <v>28</v>
      </c>
    </row>
    <row r="114" spans="1:7" ht="31.5">
      <c r="A114" s="30" t="s">
        <v>585</v>
      </c>
      <c r="B114" s="41" t="s">
        <v>135</v>
      </c>
      <c r="C114" s="41" t="s">
        <v>137</v>
      </c>
      <c r="D114" s="41" t="s">
        <v>911</v>
      </c>
      <c r="E114" s="41" t="s">
        <v>155</v>
      </c>
      <c r="F114" s="6">
        <f>'Пр.5 Рд,пр, ЦС,ВР 20'!F114</f>
        <v>28</v>
      </c>
      <c r="G114" s="6">
        <f t="shared" si="4"/>
        <v>28</v>
      </c>
    </row>
    <row r="115" spans="1:7" ht="47.25">
      <c r="A115" s="25" t="s">
        <v>889</v>
      </c>
      <c r="B115" s="20" t="s">
        <v>135</v>
      </c>
      <c r="C115" s="20" t="s">
        <v>137</v>
      </c>
      <c r="D115" s="20" t="s">
        <v>913</v>
      </c>
      <c r="E115" s="20"/>
      <c r="F115" s="6">
        <f>'Пр.5 Рд,пр, ЦС,ВР 20'!F115</f>
        <v>494</v>
      </c>
      <c r="G115" s="6">
        <f t="shared" si="4"/>
        <v>494</v>
      </c>
    </row>
    <row r="116" spans="1:7" ht="94.5">
      <c r="A116" s="25" t="s">
        <v>144</v>
      </c>
      <c r="B116" s="20" t="s">
        <v>135</v>
      </c>
      <c r="C116" s="20" t="s">
        <v>137</v>
      </c>
      <c r="D116" s="20" t="s">
        <v>913</v>
      </c>
      <c r="E116" s="20" t="s">
        <v>145</v>
      </c>
      <c r="F116" s="6">
        <f>'Пр.5 Рд,пр, ЦС,ВР 20'!F116</f>
        <v>494</v>
      </c>
      <c r="G116" s="6">
        <f t="shared" si="4"/>
        <v>494</v>
      </c>
    </row>
    <row r="117" spans="1:7" ht="47.25">
      <c r="A117" s="25" t="s">
        <v>146</v>
      </c>
      <c r="B117" s="20" t="s">
        <v>135</v>
      </c>
      <c r="C117" s="20" t="s">
        <v>137</v>
      </c>
      <c r="D117" s="20" t="s">
        <v>913</v>
      </c>
      <c r="E117" s="20" t="s">
        <v>147</v>
      </c>
      <c r="F117" s="6">
        <f>'Пр.5 Рд,пр, ЦС,ВР 20'!F117</f>
        <v>494</v>
      </c>
      <c r="G117" s="6">
        <f t="shared" si="4"/>
        <v>494</v>
      </c>
    </row>
    <row r="118" spans="1:7" ht="15.75">
      <c r="A118" s="42" t="s">
        <v>156</v>
      </c>
      <c r="B118" s="7" t="s">
        <v>135</v>
      </c>
      <c r="C118" s="7" t="s">
        <v>157</v>
      </c>
      <c r="D118" s="7"/>
      <c r="E118" s="7"/>
      <c r="F118" s="4">
        <f>F119+F147+F156+F179+F188+F193+F198</f>
        <v>58215.515999999996</v>
      </c>
      <c r="G118" s="4">
        <f>G119+G147+G156+G179+G188+G193+G198</f>
        <v>58215.515999999996</v>
      </c>
    </row>
    <row r="119" spans="1:7" ht="15.75">
      <c r="A119" s="23" t="s">
        <v>158</v>
      </c>
      <c r="B119" s="24" t="s">
        <v>135</v>
      </c>
      <c r="C119" s="24" t="s">
        <v>157</v>
      </c>
      <c r="D119" s="24" t="s">
        <v>917</v>
      </c>
      <c r="E119" s="24"/>
      <c r="F119" s="4">
        <f>F120+F131+F138</f>
        <v>57555.695999999996</v>
      </c>
      <c r="G119" s="4">
        <f>G120+G131+G138</f>
        <v>57555.695999999996</v>
      </c>
    </row>
    <row r="120" spans="1:7" ht="15.75">
      <c r="A120" s="23" t="s">
        <v>1098</v>
      </c>
      <c r="B120" s="24" t="s">
        <v>135</v>
      </c>
      <c r="C120" s="24" t="s">
        <v>157</v>
      </c>
      <c r="D120" s="24" t="s">
        <v>1097</v>
      </c>
      <c r="E120" s="24"/>
      <c r="F120" s="61">
        <f>F124+F121</f>
        <v>46570</v>
      </c>
      <c r="G120" s="61">
        <f>G124+G121</f>
        <v>46570</v>
      </c>
    </row>
    <row r="121" spans="1:7" ht="47.25">
      <c r="A121" s="25" t="s">
        <v>889</v>
      </c>
      <c r="B121" s="20" t="s">
        <v>135</v>
      </c>
      <c r="C121" s="20" t="s">
        <v>157</v>
      </c>
      <c r="D121" s="20" t="s">
        <v>1100</v>
      </c>
      <c r="E121" s="20"/>
      <c r="F121" s="6">
        <f>'Пр.5 Рд,пр, ЦС,ВР 20'!F121</f>
        <v>675</v>
      </c>
      <c r="G121" s="6">
        <f t="shared" si="4"/>
        <v>675</v>
      </c>
    </row>
    <row r="122" spans="1:7" ht="94.5">
      <c r="A122" s="25" t="s">
        <v>144</v>
      </c>
      <c r="B122" s="20" t="s">
        <v>135</v>
      </c>
      <c r="C122" s="20" t="s">
        <v>157</v>
      </c>
      <c r="D122" s="20" t="s">
        <v>1100</v>
      </c>
      <c r="E122" s="20" t="s">
        <v>145</v>
      </c>
      <c r="F122" s="6">
        <f>'Пр.5 Рд,пр, ЦС,ВР 20'!F122</f>
        <v>675</v>
      </c>
      <c r="G122" s="6">
        <f t="shared" si="4"/>
        <v>675</v>
      </c>
    </row>
    <row r="123" spans="1:7" ht="47.25">
      <c r="A123" s="25" t="s">
        <v>146</v>
      </c>
      <c r="B123" s="20" t="s">
        <v>135</v>
      </c>
      <c r="C123" s="20" t="s">
        <v>157</v>
      </c>
      <c r="D123" s="20" t="s">
        <v>1100</v>
      </c>
      <c r="E123" s="20" t="s">
        <v>226</v>
      </c>
      <c r="F123" s="6">
        <f>'Пр.5 Рд,пр, ЦС,ВР 20'!F123</f>
        <v>675</v>
      </c>
      <c r="G123" s="6">
        <f t="shared" si="4"/>
        <v>675</v>
      </c>
    </row>
    <row r="124" spans="1:7" ht="31.5">
      <c r="A124" s="25" t="s">
        <v>837</v>
      </c>
      <c r="B124" s="20" t="s">
        <v>135</v>
      </c>
      <c r="C124" s="20" t="s">
        <v>157</v>
      </c>
      <c r="D124" s="20" t="s">
        <v>1099</v>
      </c>
      <c r="E124" s="20"/>
      <c r="F124" s="6">
        <f>'Пр.5 Рд,пр, ЦС,ВР 20'!F124</f>
        <v>45895</v>
      </c>
      <c r="G124" s="6">
        <f t="shared" si="4"/>
        <v>45895</v>
      </c>
    </row>
    <row r="125" spans="1:7" ht="94.5">
      <c r="A125" s="25" t="s">
        <v>144</v>
      </c>
      <c r="B125" s="20" t="s">
        <v>135</v>
      </c>
      <c r="C125" s="20" t="s">
        <v>157</v>
      </c>
      <c r="D125" s="20" t="s">
        <v>1099</v>
      </c>
      <c r="E125" s="20" t="s">
        <v>145</v>
      </c>
      <c r="F125" s="6">
        <f>'Пр.5 Рд,пр, ЦС,ВР 20'!F125</f>
        <v>34924</v>
      </c>
      <c r="G125" s="6">
        <f t="shared" si="4"/>
        <v>34924</v>
      </c>
    </row>
    <row r="126" spans="1:7" ht="31.5">
      <c r="A126" s="47" t="s">
        <v>359</v>
      </c>
      <c r="B126" s="20" t="s">
        <v>135</v>
      </c>
      <c r="C126" s="20" t="s">
        <v>157</v>
      </c>
      <c r="D126" s="20" t="s">
        <v>1099</v>
      </c>
      <c r="E126" s="20" t="s">
        <v>226</v>
      </c>
      <c r="F126" s="6">
        <f>'Пр.5 Рд,пр, ЦС,ВР 20'!F126</f>
        <v>34924</v>
      </c>
      <c r="G126" s="6">
        <f t="shared" si="4"/>
        <v>34924</v>
      </c>
    </row>
    <row r="127" spans="1:7" ht="31.5">
      <c r="A127" s="25" t="s">
        <v>148</v>
      </c>
      <c r="B127" s="20" t="s">
        <v>135</v>
      </c>
      <c r="C127" s="20" t="s">
        <v>157</v>
      </c>
      <c r="D127" s="20" t="s">
        <v>1099</v>
      </c>
      <c r="E127" s="20" t="s">
        <v>149</v>
      </c>
      <c r="F127" s="6">
        <f>'Пр.5 Рд,пр, ЦС,ВР 20'!F127</f>
        <v>10549.999999999998</v>
      </c>
      <c r="G127" s="6">
        <f t="shared" si="4"/>
        <v>10549.999999999998</v>
      </c>
    </row>
    <row r="128" spans="1:7" ht="47.25">
      <c r="A128" s="25" t="s">
        <v>150</v>
      </c>
      <c r="B128" s="20" t="s">
        <v>135</v>
      </c>
      <c r="C128" s="20" t="s">
        <v>157</v>
      </c>
      <c r="D128" s="20" t="s">
        <v>1099</v>
      </c>
      <c r="E128" s="20" t="s">
        <v>151</v>
      </c>
      <c r="F128" s="6">
        <f>'Пр.5 Рд,пр, ЦС,ВР 20'!F128</f>
        <v>10549.999999999998</v>
      </c>
      <c r="G128" s="6">
        <f t="shared" si="4"/>
        <v>10549.999999999998</v>
      </c>
    </row>
    <row r="129" spans="1:7" ht="15.75">
      <c r="A129" s="25" t="s">
        <v>152</v>
      </c>
      <c r="B129" s="20" t="s">
        <v>135</v>
      </c>
      <c r="C129" s="20" t="s">
        <v>157</v>
      </c>
      <c r="D129" s="20" t="s">
        <v>1099</v>
      </c>
      <c r="E129" s="20" t="s">
        <v>162</v>
      </c>
      <c r="F129" s="6">
        <f>'Пр.5 Рд,пр, ЦС,ВР 20'!F129</f>
        <v>421</v>
      </c>
      <c r="G129" s="6">
        <f t="shared" si="4"/>
        <v>421</v>
      </c>
    </row>
    <row r="130" spans="1:7" ht="15.75">
      <c r="A130" s="25" t="s">
        <v>729</v>
      </c>
      <c r="B130" s="20" t="s">
        <v>135</v>
      </c>
      <c r="C130" s="20" t="s">
        <v>157</v>
      </c>
      <c r="D130" s="20" t="s">
        <v>1099</v>
      </c>
      <c r="E130" s="20" t="s">
        <v>155</v>
      </c>
      <c r="F130" s="6">
        <f>'Пр.5 Рд,пр, ЦС,ВР 20'!F130</f>
        <v>421</v>
      </c>
      <c r="G130" s="6">
        <f t="shared" si="4"/>
        <v>421</v>
      </c>
    </row>
    <row r="131" spans="1:7" ht="31.5">
      <c r="A131" s="23" t="s">
        <v>921</v>
      </c>
      <c r="B131" s="24" t="s">
        <v>135</v>
      </c>
      <c r="C131" s="24" t="s">
        <v>157</v>
      </c>
      <c r="D131" s="24" t="s">
        <v>916</v>
      </c>
      <c r="E131" s="24"/>
      <c r="F131" s="4">
        <f>'Пр.5 Рд,пр, ЦС,ВР 20'!F131</f>
        <v>5188.999999999999</v>
      </c>
      <c r="G131" s="4">
        <f t="shared" si="4"/>
        <v>5188.999999999999</v>
      </c>
    </row>
    <row r="132" spans="1:7" ht="63">
      <c r="A132" s="25" t="s">
        <v>405</v>
      </c>
      <c r="B132" s="20" t="s">
        <v>135</v>
      </c>
      <c r="C132" s="20" t="s">
        <v>157</v>
      </c>
      <c r="D132" s="20" t="s">
        <v>1178</v>
      </c>
      <c r="E132" s="20"/>
      <c r="F132" s="6">
        <f>'Пр.5 Рд,пр, ЦС,ВР 20'!F132</f>
        <v>5088.999999999999</v>
      </c>
      <c r="G132" s="6">
        <f t="shared" si="4"/>
        <v>5088.999999999999</v>
      </c>
    </row>
    <row r="133" spans="1:7" ht="31.5">
      <c r="A133" s="25" t="s">
        <v>148</v>
      </c>
      <c r="B133" s="20" t="s">
        <v>135</v>
      </c>
      <c r="C133" s="20" t="s">
        <v>157</v>
      </c>
      <c r="D133" s="20" t="s">
        <v>1178</v>
      </c>
      <c r="E133" s="20" t="s">
        <v>149</v>
      </c>
      <c r="F133" s="6">
        <f>'Пр.5 Рд,пр, ЦС,ВР 20'!F133</f>
        <v>5088.999999999999</v>
      </c>
      <c r="G133" s="6">
        <f t="shared" si="4"/>
        <v>5088.999999999999</v>
      </c>
    </row>
    <row r="134" spans="1:7" ht="47.25">
      <c r="A134" s="25" t="s">
        <v>150</v>
      </c>
      <c r="B134" s="20" t="s">
        <v>135</v>
      </c>
      <c r="C134" s="20" t="s">
        <v>157</v>
      </c>
      <c r="D134" s="20" t="s">
        <v>1178</v>
      </c>
      <c r="E134" s="20" t="s">
        <v>151</v>
      </c>
      <c r="F134" s="6">
        <f>'Пр.5 Рд,пр, ЦС,ВР 20'!F134</f>
        <v>5088.999999999999</v>
      </c>
      <c r="G134" s="6">
        <f t="shared" si="4"/>
        <v>5088.999999999999</v>
      </c>
    </row>
    <row r="135" spans="1:7" ht="47.25">
      <c r="A135" s="25" t="s">
        <v>1011</v>
      </c>
      <c r="B135" s="20" t="s">
        <v>135</v>
      </c>
      <c r="C135" s="20" t="s">
        <v>157</v>
      </c>
      <c r="D135" s="20" t="s">
        <v>1179</v>
      </c>
      <c r="E135" s="20"/>
      <c r="F135" s="6">
        <f>'Пр.5 Рд,пр, ЦС,ВР 20'!F135</f>
        <v>100</v>
      </c>
      <c r="G135" s="6">
        <f t="shared" si="4"/>
        <v>100</v>
      </c>
    </row>
    <row r="136" spans="1:7" ht="31.5">
      <c r="A136" s="25" t="s">
        <v>148</v>
      </c>
      <c r="B136" s="20" t="s">
        <v>135</v>
      </c>
      <c r="C136" s="20" t="s">
        <v>157</v>
      </c>
      <c r="D136" s="20" t="s">
        <v>1179</v>
      </c>
      <c r="E136" s="20" t="s">
        <v>149</v>
      </c>
      <c r="F136" s="6">
        <f>'Пр.5 Рд,пр, ЦС,ВР 20'!F136</f>
        <v>100</v>
      </c>
      <c r="G136" s="6">
        <f t="shared" si="4"/>
        <v>100</v>
      </c>
    </row>
    <row r="137" spans="1:7" ht="47.25">
      <c r="A137" s="25" t="s">
        <v>150</v>
      </c>
      <c r="B137" s="20" t="s">
        <v>135</v>
      </c>
      <c r="C137" s="20" t="s">
        <v>157</v>
      </c>
      <c r="D137" s="20" t="s">
        <v>1179</v>
      </c>
      <c r="E137" s="20" t="s">
        <v>151</v>
      </c>
      <c r="F137" s="6">
        <f>'Пр.5 Рд,пр, ЦС,ВР 20'!F137</f>
        <v>100</v>
      </c>
      <c r="G137" s="6">
        <f aca="true" t="shared" si="6" ref="G137:G200">F137</f>
        <v>100</v>
      </c>
    </row>
    <row r="138" spans="1:7" ht="31.5">
      <c r="A138" s="23" t="s">
        <v>1002</v>
      </c>
      <c r="B138" s="24" t="s">
        <v>135</v>
      </c>
      <c r="C138" s="24" t="s">
        <v>157</v>
      </c>
      <c r="D138" s="24" t="s">
        <v>918</v>
      </c>
      <c r="E138" s="24"/>
      <c r="F138" s="4">
        <f>F139+F144</f>
        <v>5796.696</v>
      </c>
      <c r="G138" s="4">
        <f>G139+G144</f>
        <v>5796.696</v>
      </c>
    </row>
    <row r="139" spans="1:7" ht="31.5">
      <c r="A139" s="25" t="s">
        <v>1008</v>
      </c>
      <c r="B139" s="20" t="s">
        <v>135</v>
      </c>
      <c r="C139" s="20" t="s">
        <v>157</v>
      </c>
      <c r="D139" s="20" t="s">
        <v>919</v>
      </c>
      <c r="E139" s="20"/>
      <c r="F139" s="6">
        <f>'Пр.5 Рд,пр, ЦС,ВР 20'!F139</f>
        <v>5666.696</v>
      </c>
      <c r="G139" s="6">
        <f t="shared" si="6"/>
        <v>5666.696</v>
      </c>
    </row>
    <row r="140" spans="1:7" ht="94.5">
      <c r="A140" s="25" t="s">
        <v>144</v>
      </c>
      <c r="B140" s="20" t="s">
        <v>135</v>
      </c>
      <c r="C140" s="20" t="s">
        <v>157</v>
      </c>
      <c r="D140" s="20" t="s">
        <v>919</v>
      </c>
      <c r="E140" s="20" t="s">
        <v>145</v>
      </c>
      <c r="F140" s="6">
        <f>'Пр.5 Рд,пр, ЦС,ВР 20'!F140</f>
        <v>4455.696</v>
      </c>
      <c r="G140" s="6">
        <f t="shared" si="6"/>
        <v>4455.696</v>
      </c>
    </row>
    <row r="141" spans="1:7" ht="31.5">
      <c r="A141" s="25" t="s">
        <v>225</v>
      </c>
      <c r="B141" s="20" t="s">
        <v>135</v>
      </c>
      <c r="C141" s="20" t="s">
        <v>157</v>
      </c>
      <c r="D141" s="20" t="s">
        <v>919</v>
      </c>
      <c r="E141" s="20" t="s">
        <v>226</v>
      </c>
      <c r="F141" s="6">
        <f>'Пр.5 Рд,пр, ЦС,ВР 20'!F141</f>
        <v>4455.696</v>
      </c>
      <c r="G141" s="6">
        <f t="shared" si="6"/>
        <v>4455.696</v>
      </c>
    </row>
    <row r="142" spans="1:7" ht="47.25">
      <c r="A142" s="25" t="s">
        <v>215</v>
      </c>
      <c r="B142" s="20" t="s">
        <v>135</v>
      </c>
      <c r="C142" s="20" t="s">
        <v>157</v>
      </c>
      <c r="D142" s="20" t="s">
        <v>919</v>
      </c>
      <c r="E142" s="20" t="s">
        <v>149</v>
      </c>
      <c r="F142" s="6">
        <f>'Пр.5 Рд,пр, ЦС,ВР 20'!F142</f>
        <v>1211</v>
      </c>
      <c r="G142" s="6">
        <f t="shared" si="6"/>
        <v>1211</v>
      </c>
    </row>
    <row r="143" spans="1:7" ht="47.25">
      <c r="A143" s="25" t="s">
        <v>150</v>
      </c>
      <c r="B143" s="20" t="s">
        <v>135</v>
      </c>
      <c r="C143" s="20" t="s">
        <v>157</v>
      </c>
      <c r="D143" s="20" t="s">
        <v>919</v>
      </c>
      <c r="E143" s="20" t="s">
        <v>151</v>
      </c>
      <c r="F143" s="6">
        <f>'Пр.5 Рд,пр, ЦС,ВР 20'!F143</f>
        <v>1211</v>
      </c>
      <c r="G143" s="6">
        <f t="shared" si="6"/>
        <v>1211</v>
      </c>
    </row>
    <row r="144" spans="1:7" ht="47.25">
      <c r="A144" s="25" t="s">
        <v>889</v>
      </c>
      <c r="B144" s="20" t="s">
        <v>135</v>
      </c>
      <c r="C144" s="20" t="s">
        <v>157</v>
      </c>
      <c r="D144" s="20" t="s">
        <v>920</v>
      </c>
      <c r="E144" s="20"/>
      <c r="F144" s="6">
        <f>'Пр.5 Рд,пр, ЦС,ВР 20'!F144</f>
        <v>130</v>
      </c>
      <c r="G144" s="6">
        <f t="shared" si="6"/>
        <v>130</v>
      </c>
    </row>
    <row r="145" spans="1:7" ht="94.5">
      <c r="A145" s="25" t="s">
        <v>144</v>
      </c>
      <c r="B145" s="20" t="s">
        <v>135</v>
      </c>
      <c r="C145" s="20" t="s">
        <v>157</v>
      </c>
      <c r="D145" s="20" t="s">
        <v>920</v>
      </c>
      <c r="E145" s="20" t="s">
        <v>145</v>
      </c>
      <c r="F145" s="6">
        <f>'Пр.5 Рд,пр, ЦС,ВР 20'!F145</f>
        <v>130</v>
      </c>
      <c r="G145" s="6">
        <f t="shared" si="6"/>
        <v>130</v>
      </c>
    </row>
    <row r="146" spans="1:7" ht="47.25">
      <c r="A146" s="25" t="s">
        <v>146</v>
      </c>
      <c r="B146" s="20" t="s">
        <v>135</v>
      </c>
      <c r="C146" s="20" t="s">
        <v>157</v>
      </c>
      <c r="D146" s="20" t="s">
        <v>920</v>
      </c>
      <c r="E146" s="20" t="s">
        <v>147</v>
      </c>
      <c r="F146" s="6">
        <f>'Пр.5 Рд,пр, ЦС,ВР 20'!F146</f>
        <v>130</v>
      </c>
      <c r="G146" s="6">
        <f t="shared" si="6"/>
        <v>130</v>
      </c>
    </row>
    <row r="147" spans="1:7" ht="63">
      <c r="A147" s="23" t="s">
        <v>360</v>
      </c>
      <c r="B147" s="7" t="s">
        <v>135</v>
      </c>
      <c r="C147" s="7" t="s">
        <v>157</v>
      </c>
      <c r="D147" s="7" t="s">
        <v>361</v>
      </c>
      <c r="E147" s="7"/>
      <c r="F147" s="4">
        <f>F148</f>
        <v>60</v>
      </c>
      <c r="G147" s="4">
        <f>G148</f>
        <v>60</v>
      </c>
    </row>
    <row r="148" spans="1:7" ht="110.25">
      <c r="A148" s="42" t="s">
        <v>397</v>
      </c>
      <c r="B148" s="7" t="s">
        <v>135</v>
      </c>
      <c r="C148" s="7" t="s">
        <v>157</v>
      </c>
      <c r="D148" s="7" t="s">
        <v>398</v>
      </c>
      <c r="E148" s="7"/>
      <c r="F148" s="4">
        <f>F149</f>
        <v>60</v>
      </c>
      <c r="G148" s="4">
        <f>G149</f>
        <v>60</v>
      </c>
    </row>
    <row r="149" spans="1:7" ht="63">
      <c r="A149" s="382" t="s">
        <v>1236</v>
      </c>
      <c r="B149" s="7" t="s">
        <v>135</v>
      </c>
      <c r="C149" s="7" t="s">
        <v>157</v>
      </c>
      <c r="D149" s="7" t="s">
        <v>938</v>
      </c>
      <c r="E149" s="7"/>
      <c r="F149" s="4">
        <f>F150+F153</f>
        <v>60</v>
      </c>
      <c r="G149" s="4">
        <f>G150+G153</f>
        <v>60</v>
      </c>
    </row>
    <row r="150" spans="1:7" ht="47.25">
      <c r="A150" s="107" t="s">
        <v>1237</v>
      </c>
      <c r="B150" s="41" t="s">
        <v>135</v>
      </c>
      <c r="C150" s="41" t="s">
        <v>157</v>
      </c>
      <c r="D150" s="41" t="s">
        <v>939</v>
      </c>
      <c r="E150" s="41"/>
      <c r="F150" s="6">
        <f>'Пр.5 Рд,пр, ЦС,ВР 20'!F150</f>
        <v>60</v>
      </c>
      <c r="G150" s="6">
        <f t="shared" si="6"/>
        <v>60</v>
      </c>
    </row>
    <row r="151" spans="1:7" ht="31.5">
      <c r="A151" s="30" t="s">
        <v>148</v>
      </c>
      <c r="B151" s="41" t="s">
        <v>135</v>
      </c>
      <c r="C151" s="41" t="s">
        <v>157</v>
      </c>
      <c r="D151" s="41" t="s">
        <v>939</v>
      </c>
      <c r="E151" s="41" t="s">
        <v>149</v>
      </c>
      <c r="F151" s="6">
        <f>'Пр.5 Рд,пр, ЦС,ВР 20'!F151</f>
        <v>60</v>
      </c>
      <c r="G151" s="6">
        <f t="shared" si="6"/>
        <v>60</v>
      </c>
    </row>
    <row r="152" spans="1:7" ht="47.25">
      <c r="A152" s="30" t="s">
        <v>150</v>
      </c>
      <c r="B152" s="41" t="s">
        <v>135</v>
      </c>
      <c r="C152" s="41" t="s">
        <v>157</v>
      </c>
      <c r="D152" s="41" t="s">
        <v>939</v>
      </c>
      <c r="E152" s="41" t="s">
        <v>151</v>
      </c>
      <c r="F152" s="6">
        <f>'Пр.5 Рд,пр, ЦС,ВР 20'!F152</f>
        <v>60</v>
      </c>
      <c r="G152" s="6">
        <f t="shared" si="6"/>
        <v>60</v>
      </c>
    </row>
    <row r="153" spans="1:7" ht="47.25">
      <c r="A153" s="36" t="s">
        <v>941</v>
      </c>
      <c r="B153" s="20" t="s">
        <v>135</v>
      </c>
      <c r="C153" s="20" t="s">
        <v>157</v>
      </c>
      <c r="D153" s="20" t="s">
        <v>940</v>
      </c>
      <c r="E153" s="24"/>
      <c r="F153" s="6">
        <f>'Пр.5 Рд,пр, ЦС,ВР 20'!F153</f>
        <v>0</v>
      </c>
      <c r="G153" s="6">
        <f t="shared" si="6"/>
        <v>0</v>
      </c>
    </row>
    <row r="154" spans="1:7" ht="31.5">
      <c r="A154" s="25" t="s">
        <v>148</v>
      </c>
      <c r="B154" s="20" t="s">
        <v>135</v>
      </c>
      <c r="C154" s="20" t="s">
        <v>157</v>
      </c>
      <c r="D154" s="20" t="s">
        <v>940</v>
      </c>
      <c r="E154" s="20" t="s">
        <v>149</v>
      </c>
      <c r="F154" s="6">
        <f>'Пр.5 Рд,пр, ЦС,ВР 20'!F154</f>
        <v>0</v>
      </c>
      <c r="G154" s="6">
        <f t="shared" si="6"/>
        <v>0</v>
      </c>
    </row>
    <row r="155" spans="1:7" ht="47.25">
      <c r="A155" s="25" t="s">
        <v>150</v>
      </c>
      <c r="B155" s="20" t="s">
        <v>135</v>
      </c>
      <c r="C155" s="20" t="s">
        <v>157</v>
      </c>
      <c r="D155" s="20" t="s">
        <v>940</v>
      </c>
      <c r="E155" s="20" t="s">
        <v>151</v>
      </c>
      <c r="F155" s="6">
        <f>'Пр.5 Рд,пр, ЦС,ВР 20'!F155</f>
        <v>0</v>
      </c>
      <c r="G155" s="6">
        <f t="shared" si="6"/>
        <v>0</v>
      </c>
    </row>
    <row r="156" spans="1:7" ht="63">
      <c r="A156" s="23" t="s">
        <v>351</v>
      </c>
      <c r="B156" s="24" t="s">
        <v>135</v>
      </c>
      <c r="C156" s="24" t="s">
        <v>157</v>
      </c>
      <c r="D156" s="24" t="s">
        <v>352</v>
      </c>
      <c r="E156" s="24"/>
      <c r="F156" s="62">
        <f>F157</f>
        <v>175</v>
      </c>
      <c r="G156" s="62">
        <f>G157</f>
        <v>175</v>
      </c>
    </row>
    <row r="157" spans="1:7" ht="31.5">
      <c r="A157" s="23" t="s">
        <v>1242</v>
      </c>
      <c r="B157" s="24" t="s">
        <v>135</v>
      </c>
      <c r="C157" s="24" t="s">
        <v>157</v>
      </c>
      <c r="D157" s="24" t="s">
        <v>1243</v>
      </c>
      <c r="E157" s="24"/>
      <c r="F157" s="62">
        <f>F158+F164+F167+F170+F176+F161+F173</f>
        <v>175</v>
      </c>
      <c r="G157" s="62">
        <f>G158+G164+G167+G170+G176+G161+G173</f>
        <v>175</v>
      </c>
    </row>
    <row r="158" spans="1:7" ht="31.5">
      <c r="A158" s="105" t="s">
        <v>353</v>
      </c>
      <c r="B158" s="20" t="s">
        <v>135</v>
      </c>
      <c r="C158" s="20" t="s">
        <v>157</v>
      </c>
      <c r="D158" s="20" t="s">
        <v>1244</v>
      </c>
      <c r="E158" s="20"/>
      <c r="F158" s="6">
        <f>'Пр.5 Рд,пр, ЦС,ВР 20'!F158</f>
        <v>120</v>
      </c>
      <c r="G158" s="6">
        <f t="shared" si="6"/>
        <v>120</v>
      </c>
    </row>
    <row r="159" spans="1:7" ht="31.5">
      <c r="A159" s="25" t="s">
        <v>148</v>
      </c>
      <c r="B159" s="20" t="s">
        <v>135</v>
      </c>
      <c r="C159" s="20" t="s">
        <v>157</v>
      </c>
      <c r="D159" s="20" t="s">
        <v>1244</v>
      </c>
      <c r="E159" s="20" t="s">
        <v>149</v>
      </c>
      <c r="F159" s="6">
        <f>'Пр.5 Рд,пр, ЦС,ВР 20'!F159</f>
        <v>120</v>
      </c>
      <c r="G159" s="6">
        <f t="shared" si="6"/>
        <v>120</v>
      </c>
    </row>
    <row r="160" spans="1:7" ht="47.25">
      <c r="A160" s="25" t="s">
        <v>150</v>
      </c>
      <c r="B160" s="20" t="s">
        <v>135</v>
      </c>
      <c r="C160" s="20" t="s">
        <v>157</v>
      </c>
      <c r="D160" s="20" t="s">
        <v>1244</v>
      </c>
      <c r="E160" s="20" t="s">
        <v>151</v>
      </c>
      <c r="F160" s="6">
        <f>'Пр.5 Рд,пр, ЦС,ВР 20'!F160</f>
        <v>120</v>
      </c>
      <c r="G160" s="6">
        <f t="shared" si="6"/>
        <v>120</v>
      </c>
    </row>
    <row r="161" spans="1:7" ht="63" hidden="1">
      <c r="A161" s="105" t="s">
        <v>836</v>
      </c>
      <c r="B161" s="20" t="s">
        <v>135</v>
      </c>
      <c r="C161" s="20" t="s">
        <v>157</v>
      </c>
      <c r="D161" s="20" t="s">
        <v>1249</v>
      </c>
      <c r="E161" s="20"/>
      <c r="F161" s="6">
        <f>'Пр.5 Рд,пр, ЦС,ВР 20'!F161</f>
        <v>0</v>
      </c>
      <c r="G161" s="6">
        <f t="shared" si="6"/>
        <v>0</v>
      </c>
    </row>
    <row r="162" spans="1:7" ht="31.5" hidden="1">
      <c r="A162" s="25" t="s">
        <v>148</v>
      </c>
      <c r="B162" s="20" t="s">
        <v>135</v>
      </c>
      <c r="C162" s="20" t="s">
        <v>157</v>
      </c>
      <c r="D162" s="20" t="s">
        <v>1249</v>
      </c>
      <c r="E162" s="20" t="s">
        <v>149</v>
      </c>
      <c r="F162" s="6">
        <f>'Пр.5 Рд,пр, ЦС,ВР 20'!F162</f>
        <v>0</v>
      </c>
      <c r="G162" s="6">
        <f t="shared" si="6"/>
        <v>0</v>
      </c>
    </row>
    <row r="163" spans="1:7" ht="47.25" hidden="1">
      <c r="A163" s="25" t="s">
        <v>150</v>
      </c>
      <c r="B163" s="20" t="s">
        <v>135</v>
      </c>
      <c r="C163" s="20" t="s">
        <v>157</v>
      </c>
      <c r="D163" s="20" t="s">
        <v>1249</v>
      </c>
      <c r="E163" s="20" t="s">
        <v>151</v>
      </c>
      <c r="F163" s="6">
        <f>'Пр.5 Рд,пр, ЦС,ВР 20'!F163</f>
        <v>0</v>
      </c>
      <c r="G163" s="6">
        <f t="shared" si="6"/>
        <v>0</v>
      </c>
    </row>
    <row r="164" spans="1:7" ht="31.5">
      <c r="A164" s="25" t="s">
        <v>355</v>
      </c>
      <c r="B164" s="20" t="s">
        <v>135</v>
      </c>
      <c r="C164" s="20" t="s">
        <v>157</v>
      </c>
      <c r="D164" s="20" t="s">
        <v>1245</v>
      </c>
      <c r="E164" s="20"/>
      <c r="F164" s="6">
        <f>'Пр.5 Рд,пр, ЦС,ВР 20'!F164</f>
        <v>25</v>
      </c>
      <c r="G164" s="6">
        <f t="shared" si="6"/>
        <v>25</v>
      </c>
    </row>
    <row r="165" spans="1:7" ht="31.5">
      <c r="A165" s="25" t="s">
        <v>148</v>
      </c>
      <c r="B165" s="20" t="s">
        <v>135</v>
      </c>
      <c r="C165" s="20" t="s">
        <v>157</v>
      </c>
      <c r="D165" s="20" t="s">
        <v>1245</v>
      </c>
      <c r="E165" s="20" t="s">
        <v>149</v>
      </c>
      <c r="F165" s="6">
        <f>'Пр.5 Рд,пр, ЦС,ВР 20'!F165</f>
        <v>25</v>
      </c>
      <c r="G165" s="6">
        <f t="shared" si="6"/>
        <v>25</v>
      </c>
    </row>
    <row r="166" spans="1:7" ht="47.25">
      <c r="A166" s="25" t="s">
        <v>150</v>
      </c>
      <c r="B166" s="20" t="s">
        <v>135</v>
      </c>
      <c r="C166" s="20" t="s">
        <v>157</v>
      </c>
      <c r="D166" s="20" t="s">
        <v>1245</v>
      </c>
      <c r="E166" s="20" t="s">
        <v>151</v>
      </c>
      <c r="F166" s="6">
        <f>'Пр.5 Рд,пр, ЦС,ВР 20'!F166</f>
        <v>25</v>
      </c>
      <c r="G166" s="6">
        <f t="shared" si="6"/>
        <v>25</v>
      </c>
    </row>
    <row r="167" spans="1:7" ht="63">
      <c r="A167" s="32" t="s">
        <v>796</v>
      </c>
      <c r="B167" s="20" t="s">
        <v>135</v>
      </c>
      <c r="C167" s="20" t="s">
        <v>157</v>
      </c>
      <c r="D167" s="20" t="s">
        <v>1246</v>
      </c>
      <c r="E167" s="20"/>
      <c r="F167" s="6">
        <f>'Пр.5 Рд,пр, ЦС,ВР 20'!F167</f>
        <v>10</v>
      </c>
      <c r="G167" s="6">
        <f t="shared" si="6"/>
        <v>10</v>
      </c>
    </row>
    <row r="168" spans="1:7" ht="31.5">
      <c r="A168" s="25" t="s">
        <v>148</v>
      </c>
      <c r="B168" s="20" t="s">
        <v>135</v>
      </c>
      <c r="C168" s="20" t="s">
        <v>157</v>
      </c>
      <c r="D168" s="20" t="s">
        <v>1246</v>
      </c>
      <c r="E168" s="20" t="s">
        <v>149</v>
      </c>
      <c r="F168" s="6">
        <f>'Пр.5 Рд,пр, ЦС,ВР 20'!F168</f>
        <v>10</v>
      </c>
      <c r="G168" s="6">
        <f t="shared" si="6"/>
        <v>10</v>
      </c>
    </row>
    <row r="169" spans="1:7" ht="47.25">
      <c r="A169" s="25" t="s">
        <v>150</v>
      </c>
      <c r="B169" s="20" t="s">
        <v>135</v>
      </c>
      <c r="C169" s="20" t="s">
        <v>157</v>
      </c>
      <c r="D169" s="20" t="s">
        <v>1246</v>
      </c>
      <c r="E169" s="20" t="s">
        <v>151</v>
      </c>
      <c r="F169" s="6">
        <f>'Пр.5 Рд,пр, ЦС,ВР 20'!F169</f>
        <v>10</v>
      </c>
      <c r="G169" s="6">
        <f t="shared" si="6"/>
        <v>10</v>
      </c>
    </row>
    <row r="170" spans="1:7" ht="31.5" hidden="1">
      <c r="A170" s="25" t="s">
        <v>1152</v>
      </c>
      <c r="B170" s="20" t="s">
        <v>135</v>
      </c>
      <c r="C170" s="20" t="s">
        <v>157</v>
      </c>
      <c r="D170" s="20" t="s">
        <v>1247</v>
      </c>
      <c r="E170" s="20"/>
      <c r="F170" s="6">
        <f>'Пр.5 Рд,пр, ЦС,ВР 20'!F170</f>
        <v>0</v>
      </c>
      <c r="G170" s="6">
        <f t="shared" si="6"/>
        <v>0</v>
      </c>
    </row>
    <row r="171" spans="1:7" ht="31.5" hidden="1">
      <c r="A171" s="25" t="s">
        <v>148</v>
      </c>
      <c r="B171" s="20" t="s">
        <v>135</v>
      </c>
      <c r="C171" s="20" t="s">
        <v>157</v>
      </c>
      <c r="D171" s="20" t="s">
        <v>1247</v>
      </c>
      <c r="E171" s="20" t="s">
        <v>149</v>
      </c>
      <c r="F171" s="6">
        <f>'Пр.5 Рд,пр, ЦС,ВР 20'!F171</f>
        <v>0</v>
      </c>
      <c r="G171" s="6">
        <f t="shared" si="6"/>
        <v>0</v>
      </c>
    </row>
    <row r="172" spans="1:7" ht="47.25" hidden="1">
      <c r="A172" s="25" t="s">
        <v>150</v>
      </c>
      <c r="B172" s="20" t="s">
        <v>135</v>
      </c>
      <c r="C172" s="20" t="s">
        <v>157</v>
      </c>
      <c r="D172" s="20" t="s">
        <v>1247</v>
      </c>
      <c r="E172" s="20" t="s">
        <v>151</v>
      </c>
      <c r="F172" s="6">
        <f>'Пр.5 Рд,пр, ЦС,ВР 20'!F172</f>
        <v>0</v>
      </c>
      <c r="G172" s="6">
        <f t="shared" si="6"/>
        <v>0</v>
      </c>
    </row>
    <row r="173" spans="1:7" ht="31.5" hidden="1">
      <c r="A173" s="32" t="s">
        <v>1276</v>
      </c>
      <c r="B173" s="20" t="s">
        <v>135</v>
      </c>
      <c r="C173" s="20" t="s">
        <v>157</v>
      </c>
      <c r="D173" s="20" t="s">
        <v>1277</v>
      </c>
      <c r="E173" s="20"/>
      <c r="F173" s="6">
        <f>'Пр.5 Рд,пр, ЦС,ВР 20'!F173</f>
        <v>0</v>
      </c>
      <c r="G173" s="6">
        <f t="shared" si="6"/>
        <v>0</v>
      </c>
    </row>
    <row r="174" spans="1:7" ht="31.5" hidden="1">
      <c r="A174" s="25" t="s">
        <v>148</v>
      </c>
      <c r="B174" s="20" t="s">
        <v>135</v>
      </c>
      <c r="C174" s="20" t="s">
        <v>157</v>
      </c>
      <c r="D174" s="20" t="s">
        <v>1277</v>
      </c>
      <c r="E174" s="20" t="s">
        <v>149</v>
      </c>
      <c r="F174" s="6">
        <f>'Пр.5 Рд,пр, ЦС,ВР 20'!F174</f>
        <v>0</v>
      </c>
      <c r="G174" s="6">
        <f t="shared" si="6"/>
        <v>0</v>
      </c>
    </row>
    <row r="175" spans="1:7" ht="47.25" hidden="1">
      <c r="A175" s="25" t="s">
        <v>150</v>
      </c>
      <c r="B175" s="20" t="s">
        <v>135</v>
      </c>
      <c r="C175" s="20" t="s">
        <v>157</v>
      </c>
      <c r="D175" s="20" t="s">
        <v>1277</v>
      </c>
      <c r="E175" s="20" t="s">
        <v>151</v>
      </c>
      <c r="F175" s="6">
        <f>'Пр.5 Рд,пр, ЦС,ВР 20'!F175</f>
        <v>0</v>
      </c>
      <c r="G175" s="6">
        <f t="shared" si="6"/>
        <v>0</v>
      </c>
    </row>
    <row r="176" spans="1:7" ht="31.5">
      <c r="A176" s="32" t="s">
        <v>797</v>
      </c>
      <c r="B176" s="20" t="s">
        <v>135</v>
      </c>
      <c r="C176" s="20" t="s">
        <v>157</v>
      </c>
      <c r="D176" s="20" t="s">
        <v>1248</v>
      </c>
      <c r="E176" s="20"/>
      <c r="F176" s="6">
        <f>'Пр.5 Рд,пр, ЦС,ВР 20'!F176</f>
        <v>20</v>
      </c>
      <c r="G176" s="6">
        <f t="shared" si="6"/>
        <v>20</v>
      </c>
    </row>
    <row r="177" spans="1:7" ht="31.5">
      <c r="A177" s="25" t="s">
        <v>148</v>
      </c>
      <c r="B177" s="20" t="s">
        <v>135</v>
      </c>
      <c r="C177" s="20" t="s">
        <v>157</v>
      </c>
      <c r="D177" s="20" t="s">
        <v>1248</v>
      </c>
      <c r="E177" s="20" t="s">
        <v>149</v>
      </c>
      <c r="F177" s="6">
        <f>'Пр.5 Рд,пр, ЦС,ВР 20'!F177</f>
        <v>20</v>
      </c>
      <c r="G177" s="6">
        <f t="shared" si="6"/>
        <v>20</v>
      </c>
    </row>
    <row r="178" spans="1:7" ht="47.25">
      <c r="A178" s="25" t="s">
        <v>150</v>
      </c>
      <c r="B178" s="20" t="s">
        <v>135</v>
      </c>
      <c r="C178" s="20" t="s">
        <v>157</v>
      </c>
      <c r="D178" s="20" t="s">
        <v>1248</v>
      </c>
      <c r="E178" s="20" t="s">
        <v>151</v>
      </c>
      <c r="F178" s="6">
        <f>'Пр.5 Рд,пр, ЦС,ВР 20'!F178</f>
        <v>20</v>
      </c>
      <c r="G178" s="6">
        <f t="shared" si="6"/>
        <v>20</v>
      </c>
    </row>
    <row r="179" spans="1:7" ht="78.75">
      <c r="A179" s="42" t="s">
        <v>732</v>
      </c>
      <c r="B179" s="8" t="s">
        <v>135</v>
      </c>
      <c r="C179" s="8" t="s">
        <v>157</v>
      </c>
      <c r="D179" s="24" t="s">
        <v>730</v>
      </c>
      <c r="E179" s="324"/>
      <c r="F179" s="62">
        <f>F180+F184</f>
        <v>45</v>
      </c>
      <c r="G179" s="62">
        <f>G180+G184</f>
        <v>45</v>
      </c>
    </row>
    <row r="180" spans="1:7" ht="63">
      <c r="A180" s="311" t="s">
        <v>897</v>
      </c>
      <c r="B180" s="24" t="s">
        <v>135</v>
      </c>
      <c r="C180" s="24" t="s">
        <v>157</v>
      </c>
      <c r="D180" s="24" t="s">
        <v>903</v>
      </c>
      <c r="E180" s="24"/>
      <c r="F180" s="62">
        <f>F181</f>
        <v>30</v>
      </c>
      <c r="G180" s="62">
        <f>G181</f>
        <v>30</v>
      </c>
    </row>
    <row r="181" spans="1:7" ht="47.25">
      <c r="A181" s="107" t="s">
        <v>801</v>
      </c>
      <c r="B181" s="20" t="s">
        <v>135</v>
      </c>
      <c r="C181" s="20" t="s">
        <v>157</v>
      </c>
      <c r="D181" s="20" t="s">
        <v>898</v>
      </c>
      <c r="E181" s="20"/>
      <c r="F181" s="6">
        <f>F182</f>
        <v>30</v>
      </c>
      <c r="G181" s="6">
        <f>G182</f>
        <v>30</v>
      </c>
    </row>
    <row r="182" spans="1:7" ht="36.75" customHeight="1">
      <c r="A182" s="25" t="s">
        <v>148</v>
      </c>
      <c r="B182" s="20" t="s">
        <v>135</v>
      </c>
      <c r="C182" s="20" t="s">
        <v>157</v>
      </c>
      <c r="D182" s="20" t="s">
        <v>898</v>
      </c>
      <c r="E182" s="20" t="s">
        <v>149</v>
      </c>
      <c r="F182" s="6">
        <f>F183</f>
        <v>30</v>
      </c>
      <c r="G182" s="6">
        <f t="shared" si="6"/>
        <v>30</v>
      </c>
    </row>
    <row r="183" spans="1:7" ht="47.25">
      <c r="A183" s="25" t="s">
        <v>150</v>
      </c>
      <c r="B183" s="20" t="s">
        <v>135</v>
      </c>
      <c r="C183" s="20" t="s">
        <v>157</v>
      </c>
      <c r="D183" s="20" t="s">
        <v>898</v>
      </c>
      <c r="E183" s="20" t="s">
        <v>151</v>
      </c>
      <c r="F183" s="6">
        <f>'пр.6.1.ведом.21-22'!G106+'пр.6.1.ведом.21-22'!G231</f>
        <v>30</v>
      </c>
      <c r="G183" s="6">
        <f>'пр.6.1.ведом.21-22'!H106+'пр.6.1.ведом.21-22'!H231</f>
        <v>30</v>
      </c>
    </row>
    <row r="184" spans="1:7" ht="47.25">
      <c r="A184" s="312" t="s">
        <v>1199</v>
      </c>
      <c r="B184" s="24" t="s">
        <v>135</v>
      </c>
      <c r="C184" s="24" t="s">
        <v>157</v>
      </c>
      <c r="D184" s="24" t="s">
        <v>904</v>
      </c>
      <c r="E184" s="324"/>
      <c r="F184" s="62">
        <f>F185</f>
        <v>15</v>
      </c>
      <c r="G184" s="62">
        <f>G185</f>
        <v>15</v>
      </c>
    </row>
    <row r="185" spans="1:7" ht="47.25">
      <c r="A185" s="107" t="s">
        <v>802</v>
      </c>
      <c r="B185" s="20" t="s">
        <v>135</v>
      </c>
      <c r="C185" s="20" t="s">
        <v>157</v>
      </c>
      <c r="D185" s="20" t="s">
        <v>899</v>
      </c>
      <c r="E185" s="33"/>
      <c r="F185" s="6">
        <f>'Пр.5 Рд,пр, ЦС,ВР 20'!F185</f>
        <v>15</v>
      </c>
      <c r="G185" s="6">
        <f t="shared" si="6"/>
        <v>15</v>
      </c>
    </row>
    <row r="186" spans="1:7" ht="31.5">
      <c r="A186" s="25" t="s">
        <v>148</v>
      </c>
      <c r="B186" s="20" t="s">
        <v>135</v>
      </c>
      <c r="C186" s="20" t="s">
        <v>157</v>
      </c>
      <c r="D186" s="20" t="s">
        <v>899</v>
      </c>
      <c r="E186" s="33" t="s">
        <v>149</v>
      </c>
      <c r="F186" s="6">
        <f>'Пр.5 Рд,пр, ЦС,ВР 20'!F186</f>
        <v>15</v>
      </c>
      <c r="G186" s="6">
        <f t="shared" si="6"/>
        <v>15</v>
      </c>
    </row>
    <row r="187" spans="1:7" ht="47.25">
      <c r="A187" s="25" t="s">
        <v>150</v>
      </c>
      <c r="B187" s="20" t="s">
        <v>135</v>
      </c>
      <c r="C187" s="20" t="s">
        <v>157</v>
      </c>
      <c r="D187" s="20" t="s">
        <v>899</v>
      </c>
      <c r="E187" s="33" t="s">
        <v>151</v>
      </c>
      <c r="F187" s="6">
        <f>'Пр.5 Рд,пр, ЦС,ВР 20'!F187</f>
        <v>15</v>
      </c>
      <c r="G187" s="6">
        <f t="shared" si="6"/>
        <v>15</v>
      </c>
    </row>
    <row r="188" spans="1:7" ht="94.5">
      <c r="A188" s="317" t="s">
        <v>806</v>
      </c>
      <c r="B188" s="24" t="s">
        <v>135</v>
      </c>
      <c r="C188" s="24" t="s">
        <v>157</v>
      </c>
      <c r="D188" s="24" t="s">
        <v>808</v>
      </c>
      <c r="E188" s="324"/>
      <c r="F188" s="62">
        <f>F190</f>
        <v>239.82</v>
      </c>
      <c r="G188" s="62">
        <f>G190</f>
        <v>239.82</v>
      </c>
    </row>
    <row r="189" spans="1:7" ht="31.5">
      <c r="A189" s="23" t="s">
        <v>1010</v>
      </c>
      <c r="B189" s="24" t="s">
        <v>135</v>
      </c>
      <c r="C189" s="24" t="s">
        <v>157</v>
      </c>
      <c r="D189" s="24" t="s">
        <v>1193</v>
      </c>
      <c r="E189" s="324"/>
      <c r="F189" s="62">
        <f>F190</f>
        <v>239.82</v>
      </c>
      <c r="G189" s="62">
        <f>G190</f>
        <v>239.82</v>
      </c>
    </row>
    <row r="190" spans="1:7" ht="31.5">
      <c r="A190" s="208" t="s">
        <v>818</v>
      </c>
      <c r="B190" s="20" t="s">
        <v>135</v>
      </c>
      <c r="C190" s="20" t="s">
        <v>157</v>
      </c>
      <c r="D190" s="20" t="s">
        <v>1194</v>
      </c>
      <c r="E190" s="33"/>
      <c r="F190" s="6">
        <f>'Пр.5 Рд,пр, ЦС,ВР 20'!F190</f>
        <v>239.82</v>
      </c>
      <c r="G190" s="6">
        <f t="shared" si="6"/>
        <v>239.82</v>
      </c>
    </row>
    <row r="191" spans="1:7" ht="31.5">
      <c r="A191" s="208" t="s">
        <v>148</v>
      </c>
      <c r="B191" s="20" t="s">
        <v>135</v>
      </c>
      <c r="C191" s="20" t="s">
        <v>157</v>
      </c>
      <c r="D191" s="20" t="s">
        <v>1194</v>
      </c>
      <c r="E191" s="33" t="s">
        <v>149</v>
      </c>
      <c r="F191" s="6">
        <f>'Пр.5 Рд,пр, ЦС,ВР 20'!F191</f>
        <v>239.82</v>
      </c>
      <c r="G191" s="6">
        <f t="shared" si="6"/>
        <v>239.82</v>
      </c>
    </row>
    <row r="192" spans="1:7" ht="47.25">
      <c r="A192" s="208" t="s">
        <v>150</v>
      </c>
      <c r="B192" s="20" t="s">
        <v>135</v>
      </c>
      <c r="C192" s="20" t="s">
        <v>157</v>
      </c>
      <c r="D192" s="20" t="s">
        <v>1194</v>
      </c>
      <c r="E192" s="33" t="s">
        <v>151</v>
      </c>
      <c r="F192" s="6">
        <f>'Пр.5 Рд,пр, ЦС,ВР 20'!F192</f>
        <v>239.82</v>
      </c>
      <c r="G192" s="6">
        <f t="shared" si="6"/>
        <v>239.82</v>
      </c>
    </row>
    <row r="193" spans="1:7" ht="94.5">
      <c r="A193" s="42" t="s">
        <v>867</v>
      </c>
      <c r="B193" s="8" t="s">
        <v>135</v>
      </c>
      <c r="C193" s="8" t="s">
        <v>157</v>
      </c>
      <c r="D193" s="380" t="s">
        <v>865</v>
      </c>
      <c r="E193" s="8"/>
      <c r="F193" s="62">
        <f aca="true" t="shared" si="7" ref="F193:G196">F194</f>
        <v>40</v>
      </c>
      <c r="G193" s="62">
        <f t="shared" si="7"/>
        <v>40</v>
      </c>
    </row>
    <row r="194" spans="1:7" ht="47.25">
      <c r="A194" s="313" t="s">
        <v>905</v>
      </c>
      <c r="B194" s="8" t="s">
        <v>135</v>
      </c>
      <c r="C194" s="8" t="s">
        <v>157</v>
      </c>
      <c r="D194" s="232" t="s">
        <v>1279</v>
      </c>
      <c r="E194" s="8"/>
      <c r="F194" s="62">
        <f t="shared" si="7"/>
        <v>40</v>
      </c>
      <c r="G194" s="62">
        <f t="shared" si="7"/>
        <v>40</v>
      </c>
    </row>
    <row r="195" spans="1:7" ht="47.25">
      <c r="A195" s="105" t="s">
        <v>188</v>
      </c>
      <c r="B195" s="9" t="s">
        <v>135</v>
      </c>
      <c r="C195" s="9" t="s">
        <v>157</v>
      </c>
      <c r="D195" s="5" t="s">
        <v>906</v>
      </c>
      <c r="E195" s="9"/>
      <c r="F195" s="6">
        <f t="shared" si="7"/>
        <v>40</v>
      </c>
      <c r="G195" s="6">
        <f t="shared" si="7"/>
        <v>40</v>
      </c>
    </row>
    <row r="196" spans="1:7" ht="31.5">
      <c r="A196" s="25" t="s">
        <v>148</v>
      </c>
      <c r="B196" s="9" t="s">
        <v>135</v>
      </c>
      <c r="C196" s="9" t="s">
        <v>157</v>
      </c>
      <c r="D196" s="5" t="s">
        <v>906</v>
      </c>
      <c r="E196" s="9" t="s">
        <v>149</v>
      </c>
      <c r="F196" s="6">
        <f t="shared" si="7"/>
        <v>40</v>
      </c>
      <c r="G196" s="6">
        <f t="shared" si="7"/>
        <v>40</v>
      </c>
    </row>
    <row r="197" spans="1:7" ht="47.25">
      <c r="A197" s="25" t="s">
        <v>150</v>
      </c>
      <c r="B197" s="9" t="s">
        <v>135</v>
      </c>
      <c r="C197" s="9" t="s">
        <v>157</v>
      </c>
      <c r="D197" s="5" t="s">
        <v>906</v>
      </c>
      <c r="E197" s="9" t="s">
        <v>151</v>
      </c>
      <c r="F197" s="6">
        <f>'пр.6.1.ведом.21-22'!G115</f>
        <v>40</v>
      </c>
      <c r="G197" s="6">
        <f>'пр.6.1.ведом.21-22'!H115</f>
        <v>40</v>
      </c>
    </row>
    <row r="198" spans="1:7" ht="94.5">
      <c r="A198" s="42" t="s">
        <v>1197</v>
      </c>
      <c r="B198" s="8" t="s">
        <v>135</v>
      </c>
      <c r="C198" s="8" t="s">
        <v>157</v>
      </c>
      <c r="D198" s="232" t="s">
        <v>866</v>
      </c>
      <c r="E198" s="8"/>
      <c r="F198" s="4">
        <f>F199</f>
        <v>100</v>
      </c>
      <c r="G198" s="4">
        <f>G199</f>
        <v>100</v>
      </c>
    </row>
    <row r="199" spans="1:7" ht="31.5">
      <c r="A199" s="60" t="s">
        <v>907</v>
      </c>
      <c r="B199" s="8" t="s">
        <v>135</v>
      </c>
      <c r="C199" s="8" t="s">
        <v>157</v>
      </c>
      <c r="D199" s="232" t="s">
        <v>915</v>
      </c>
      <c r="E199" s="8"/>
      <c r="F199" s="4">
        <f aca="true" t="shared" si="8" ref="F199:G199">F200</f>
        <v>100</v>
      </c>
      <c r="G199" s="4">
        <f t="shared" si="8"/>
        <v>100</v>
      </c>
    </row>
    <row r="200" spans="1:7" ht="31.5">
      <c r="A200" s="46" t="s">
        <v>871</v>
      </c>
      <c r="B200" s="9" t="s">
        <v>135</v>
      </c>
      <c r="C200" s="9" t="s">
        <v>157</v>
      </c>
      <c r="D200" s="5" t="s">
        <v>908</v>
      </c>
      <c r="E200" s="9"/>
      <c r="F200" s="6">
        <f>F201</f>
        <v>100</v>
      </c>
      <c r="G200" s="6">
        <f t="shared" si="6"/>
        <v>100</v>
      </c>
    </row>
    <row r="201" spans="1:7" ht="31.5">
      <c r="A201" s="25" t="s">
        <v>148</v>
      </c>
      <c r="B201" s="9" t="s">
        <v>135</v>
      </c>
      <c r="C201" s="9" t="s">
        <v>157</v>
      </c>
      <c r="D201" s="5" t="s">
        <v>908</v>
      </c>
      <c r="E201" s="9" t="s">
        <v>149</v>
      </c>
      <c r="F201" s="6">
        <f>F202</f>
        <v>100</v>
      </c>
      <c r="G201" s="6">
        <f aca="true" t="shared" si="9" ref="G201:G264">F201</f>
        <v>100</v>
      </c>
    </row>
    <row r="202" spans="1:7" ht="47.25">
      <c r="A202" s="25" t="s">
        <v>150</v>
      </c>
      <c r="B202" s="9" t="s">
        <v>135</v>
      </c>
      <c r="C202" s="9" t="s">
        <v>157</v>
      </c>
      <c r="D202" s="5" t="s">
        <v>908</v>
      </c>
      <c r="E202" s="9" t="s">
        <v>151</v>
      </c>
      <c r="F202" s="6">
        <f>'пр.6.1.ведом.21-22'!G120</f>
        <v>100</v>
      </c>
      <c r="G202" s="6">
        <f>'пр.6.1.ведом.21-22'!H120</f>
        <v>100</v>
      </c>
    </row>
    <row r="203" spans="1:7" ht="15.75" hidden="1">
      <c r="A203" s="23" t="s">
        <v>229</v>
      </c>
      <c r="B203" s="24" t="s">
        <v>230</v>
      </c>
      <c r="C203" s="24"/>
      <c r="D203" s="24"/>
      <c r="E203" s="24"/>
      <c r="F203" s="4">
        <f aca="true" t="shared" si="10" ref="F203:G206">F204</f>
        <v>0</v>
      </c>
      <c r="G203" s="4">
        <f t="shared" si="10"/>
        <v>0</v>
      </c>
    </row>
    <row r="204" spans="1:7" ht="31.5" hidden="1">
      <c r="A204" s="23" t="s">
        <v>235</v>
      </c>
      <c r="B204" s="24" t="s">
        <v>230</v>
      </c>
      <c r="C204" s="24" t="s">
        <v>236</v>
      </c>
      <c r="D204" s="24"/>
      <c r="E204" s="24"/>
      <c r="F204" s="4">
        <f t="shared" si="10"/>
        <v>0</v>
      </c>
      <c r="G204" s="4">
        <f t="shared" si="10"/>
        <v>0</v>
      </c>
    </row>
    <row r="205" spans="1:7" ht="15.75" hidden="1">
      <c r="A205" s="23" t="s">
        <v>158</v>
      </c>
      <c r="B205" s="24" t="s">
        <v>230</v>
      </c>
      <c r="C205" s="24" t="s">
        <v>236</v>
      </c>
      <c r="D205" s="24" t="s">
        <v>917</v>
      </c>
      <c r="E205" s="24"/>
      <c r="F205" s="4">
        <f t="shared" si="10"/>
        <v>0</v>
      </c>
      <c r="G205" s="4">
        <f t="shared" si="10"/>
        <v>0</v>
      </c>
    </row>
    <row r="206" spans="1:7" ht="31.5" hidden="1">
      <c r="A206" s="23" t="s">
        <v>921</v>
      </c>
      <c r="B206" s="24" t="s">
        <v>230</v>
      </c>
      <c r="C206" s="24" t="s">
        <v>236</v>
      </c>
      <c r="D206" s="24" t="s">
        <v>916</v>
      </c>
      <c r="E206" s="24"/>
      <c r="F206" s="4">
        <f t="shared" si="10"/>
        <v>0</v>
      </c>
      <c r="G206" s="4">
        <f t="shared" si="10"/>
        <v>0</v>
      </c>
    </row>
    <row r="207" spans="1:7" ht="31.5" hidden="1">
      <c r="A207" s="25" t="s">
        <v>237</v>
      </c>
      <c r="B207" s="20" t="s">
        <v>230</v>
      </c>
      <c r="C207" s="20" t="s">
        <v>236</v>
      </c>
      <c r="D207" s="20" t="s">
        <v>922</v>
      </c>
      <c r="E207" s="20"/>
      <c r="F207" s="6">
        <f>'Пр.5 Рд,пр, ЦС,ВР 20'!F207</f>
        <v>0</v>
      </c>
      <c r="G207" s="6">
        <f t="shared" si="9"/>
        <v>0</v>
      </c>
    </row>
    <row r="208" spans="1:7" ht="47.25" hidden="1">
      <c r="A208" s="25" t="s">
        <v>215</v>
      </c>
      <c r="B208" s="20" t="s">
        <v>230</v>
      </c>
      <c r="C208" s="20" t="s">
        <v>236</v>
      </c>
      <c r="D208" s="20" t="s">
        <v>922</v>
      </c>
      <c r="E208" s="20" t="s">
        <v>149</v>
      </c>
      <c r="F208" s="6">
        <f>'Пр.5 Рд,пр, ЦС,ВР 20'!F208</f>
        <v>0</v>
      </c>
      <c r="G208" s="6">
        <f t="shared" si="9"/>
        <v>0</v>
      </c>
    </row>
    <row r="209" spans="1:7" ht="47.25" hidden="1">
      <c r="A209" s="25" t="s">
        <v>150</v>
      </c>
      <c r="B209" s="20" t="s">
        <v>230</v>
      </c>
      <c r="C209" s="20" t="s">
        <v>236</v>
      </c>
      <c r="D209" s="20" t="s">
        <v>922</v>
      </c>
      <c r="E209" s="20" t="s">
        <v>151</v>
      </c>
      <c r="F209" s="6">
        <f>'Пр.5 Рд,пр, ЦС,ВР 20'!F209</f>
        <v>0</v>
      </c>
      <c r="G209" s="6">
        <f t="shared" si="9"/>
        <v>0</v>
      </c>
    </row>
    <row r="210" spans="1:7" ht="31.5">
      <c r="A210" s="23" t="s">
        <v>239</v>
      </c>
      <c r="B210" s="24" t="s">
        <v>232</v>
      </c>
      <c r="C210" s="24"/>
      <c r="D210" s="24"/>
      <c r="E210" s="24"/>
      <c r="F210" s="4">
        <f aca="true" t="shared" si="11" ref="F210:G211">F211</f>
        <v>8610.844000000001</v>
      </c>
      <c r="G210" s="4">
        <f t="shared" si="11"/>
        <v>8610.844000000001</v>
      </c>
    </row>
    <row r="211" spans="1:7" ht="63">
      <c r="A211" s="23" t="s">
        <v>240</v>
      </c>
      <c r="B211" s="24" t="s">
        <v>232</v>
      </c>
      <c r="C211" s="24" t="s">
        <v>236</v>
      </c>
      <c r="D211" s="20"/>
      <c r="E211" s="20"/>
      <c r="F211" s="4">
        <f t="shared" si="11"/>
        <v>8610.844000000001</v>
      </c>
      <c r="G211" s="4">
        <f t="shared" si="11"/>
        <v>8610.844000000001</v>
      </c>
    </row>
    <row r="212" spans="1:7" ht="15.75">
      <c r="A212" s="23" t="s">
        <v>158</v>
      </c>
      <c r="B212" s="24" t="s">
        <v>232</v>
      </c>
      <c r="C212" s="24" t="s">
        <v>236</v>
      </c>
      <c r="D212" s="24" t="s">
        <v>917</v>
      </c>
      <c r="E212" s="24"/>
      <c r="F212" s="4">
        <f>F213+F220</f>
        <v>8610.844000000001</v>
      </c>
      <c r="G212" s="4">
        <f>G213+G220</f>
        <v>8610.844000000001</v>
      </c>
    </row>
    <row r="213" spans="1:7" ht="31.5">
      <c r="A213" s="23" t="s">
        <v>921</v>
      </c>
      <c r="B213" s="24" t="s">
        <v>232</v>
      </c>
      <c r="C213" s="24" t="s">
        <v>236</v>
      </c>
      <c r="D213" s="24" t="s">
        <v>916</v>
      </c>
      <c r="E213" s="24"/>
      <c r="F213" s="4">
        <f>F214+F217</f>
        <v>2357</v>
      </c>
      <c r="G213" s="4">
        <f>G214+G217</f>
        <v>2357</v>
      </c>
    </row>
    <row r="214" spans="1:7" ht="47.25">
      <c r="A214" s="25" t="s">
        <v>241</v>
      </c>
      <c r="B214" s="20" t="s">
        <v>232</v>
      </c>
      <c r="C214" s="20" t="s">
        <v>236</v>
      </c>
      <c r="D214" s="20" t="s">
        <v>926</v>
      </c>
      <c r="E214" s="20"/>
      <c r="F214" s="6">
        <f>'Пр.5 Рд,пр, ЦС,ВР 20'!F214</f>
        <v>2053</v>
      </c>
      <c r="G214" s="6">
        <f t="shared" si="9"/>
        <v>2053</v>
      </c>
    </row>
    <row r="215" spans="1:7" ht="47.25">
      <c r="A215" s="25" t="s">
        <v>215</v>
      </c>
      <c r="B215" s="20" t="s">
        <v>232</v>
      </c>
      <c r="C215" s="20" t="s">
        <v>236</v>
      </c>
      <c r="D215" s="20" t="s">
        <v>926</v>
      </c>
      <c r="E215" s="20" t="s">
        <v>149</v>
      </c>
      <c r="F215" s="6">
        <f>'Пр.5 Рд,пр, ЦС,ВР 20'!F215</f>
        <v>2053</v>
      </c>
      <c r="G215" s="6">
        <f t="shared" si="9"/>
        <v>2053</v>
      </c>
    </row>
    <row r="216" spans="1:7" ht="47.25">
      <c r="A216" s="25" t="s">
        <v>150</v>
      </c>
      <c r="B216" s="20" t="s">
        <v>232</v>
      </c>
      <c r="C216" s="20" t="s">
        <v>236</v>
      </c>
      <c r="D216" s="20" t="s">
        <v>926</v>
      </c>
      <c r="E216" s="20" t="s">
        <v>151</v>
      </c>
      <c r="F216" s="6">
        <f>'Пр.5 Рд,пр, ЦС,ВР 20'!F216</f>
        <v>2053</v>
      </c>
      <c r="G216" s="6">
        <f t="shared" si="9"/>
        <v>2053</v>
      </c>
    </row>
    <row r="217" spans="1:7" ht="15.75">
      <c r="A217" s="25" t="s">
        <v>247</v>
      </c>
      <c r="B217" s="20" t="s">
        <v>232</v>
      </c>
      <c r="C217" s="20" t="s">
        <v>236</v>
      </c>
      <c r="D217" s="20" t="s">
        <v>927</v>
      </c>
      <c r="E217" s="20"/>
      <c r="F217" s="6">
        <f>'Пр.5 Рд,пр, ЦС,ВР 20'!F217</f>
        <v>304</v>
      </c>
      <c r="G217" s="6">
        <f t="shared" si="9"/>
        <v>304</v>
      </c>
    </row>
    <row r="218" spans="1:7" ht="47.25">
      <c r="A218" s="25" t="s">
        <v>215</v>
      </c>
      <c r="B218" s="20" t="s">
        <v>232</v>
      </c>
      <c r="C218" s="20" t="s">
        <v>236</v>
      </c>
      <c r="D218" s="20" t="s">
        <v>927</v>
      </c>
      <c r="E218" s="20" t="s">
        <v>149</v>
      </c>
      <c r="F218" s="6">
        <f>'Пр.5 Рд,пр, ЦС,ВР 20'!F218</f>
        <v>304</v>
      </c>
      <c r="G218" s="6">
        <f t="shared" si="9"/>
        <v>304</v>
      </c>
    </row>
    <row r="219" spans="1:7" ht="47.25">
      <c r="A219" s="25" t="s">
        <v>150</v>
      </c>
      <c r="B219" s="20" t="s">
        <v>232</v>
      </c>
      <c r="C219" s="20" t="s">
        <v>236</v>
      </c>
      <c r="D219" s="20" t="s">
        <v>927</v>
      </c>
      <c r="E219" s="20" t="s">
        <v>151</v>
      </c>
      <c r="F219" s="6">
        <f>'Пр.5 Рд,пр, ЦС,ВР 20'!F219</f>
        <v>304</v>
      </c>
      <c r="G219" s="6">
        <f t="shared" si="9"/>
        <v>304</v>
      </c>
    </row>
    <row r="220" spans="1:7" ht="47.25">
      <c r="A220" s="23" t="s">
        <v>1003</v>
      </c>
      <c r="B220" s="24" t="s">
        <v>232</v>
      </c>
      <c r="C220" s="24" t="s">
        <v>236</v>
      </c>
      <c r="D220" s="24" t="s">
        <v>923</v>
      </c>
      <c r="E220" s="24"/>
      <c r="F220" s="4">
        <f>F221+F226</f>
        <v>6253.844</v>
      </c>
      <c r="G220" s="4">
        <f>G221+G226</f>
        <v>6253.844</v>
      </c>
    </row>
    <row r="221" spans="1:7" ht="31.5">
      <c r="A221" s="25" t="s">
        <v>1007</v>
      </c>
      <c r="B221" s="20" t="s">
        <v>232</v>
      </c>
      <c r="C221" s="20" t="s">
        <v>236</v>
      </c>
      <c r="D221" s="20" t="s">
        <v>924</v>
      </c>
      <c r="E221" s="20"/>
      <c r="F221" s="6">
        <f>'Пр.5 Рд,пр, ЦС,ВР 20'!F221</f>
        <v>5943.844</v>
      </c>
      <c r="G221" s="6">
        <f t="shared" si="9"/>
        <v>5943.844</v>
      </c>
    </row>
    <row r="222" spans="1:7" ht="94.5">
      <c r="A222" s="25" t="s">
        <v>144</v>
      </c>
      <c r="B222" s="20" t="s">
        <v>232</v>
      </c>
      <c r="C222" s="20" t="s">
        <v>236</v>
      </c>
      <c r="D222" s="20" t="s">
        <v>924</v>
      </c>
      <c r="E222" s="20" t="s">
        <v>145</v>
      </c>
      <c r="F222" s="6">
        <f>'Пр.5 Рд,пр, ЦС,ВР 20'!F222</f>
        <v>4701.844</v>
      </c>
      <c r="G222" s="6">
        <f t="shared" si="9"/>
        <v>4701.844</v>
      </c>
    </row>
    <row r="223" spans="1:7" ht="31.5">
      <c r="A223" s="25" t="s">
        <v>225</v>
      </c>
      <c r="B223" s="20" t="s">
        <v>232</v>
      </c>
      <c r="C223" s="20" t="s">
        <v>236</v>
      </c>
      <c r="D223" s="20" t="s">
        <v>924</v>
      </c>
      <c r="E223" s="20" t="s">
        <v>226</v>
      </c>
      <c r="F223" s="6">
        <f>'Пр.5 Рд,пр, ЦС,ВР 20'!F223</f>
        <v>4701.844</v>
      </c>
      <c r="G223" s="6">
        <f t="shared" si="9"/>
        <v>4701.844</v>
      </c>
    </row>
    <row r="224" spans="1:7" ht="47.25">
      <c r="A224" s="25" t="s">
        <v>215</v>
      </c>
      <c r="B224" s="20" t="s">
        <v>232</v>
      </c>
      <c r="C224" s="20" t="s">
        <v>236</v>
      </c>
      <c r="D224" s="20" t="s">
        <v>924</v>
      </c>
      <c r="E224" s="20" t="s">
        <v>149</v>
      </c>
      <c r="F224" s="6">
        <f>'Пр.5 Рд,пр, ЦС,ВР 20'!F224</f>
        <v>1242</v>
      </c>
      <c r="G224" s="6">
        <f t="shared" si="9"/>
        <v>1242</v>
      </c>
    </row>
    <row r="225" spans="1:7" ht="47.25">
      <c r="A225" s="25" t="s">
        <v>150</v>
      </c>
      <c r="B225" s="20" t="s">
        <v>232</v>
      </c>
      <c r="C225" s="20" t="s">
        <v>236</v>
      </c>
      <c r="D225" s="20" t="s">
        <v>924</v>
      </c>
      <c r="E225" s="20" t="s">
        <v>151</v>
      </c>
      <c r="F225" s="6">
        <f>'Пр.5 Рд,пр, ЦС,ВР 20'!F225</f>
        <v>1242</v>
      </c>
      <c r="G225" s="6">
        <f t="shared" si="9"/>
        <v>1242</v>
      </c>
    </row>
    <row r="226" spans="1:7" ht="47.25">
      <c r="A226" s="25" t="s">
        <v>889</v>
      </c>
      <c r="B226" s="20" t="s">
        <v>232</v>
      </c>
      <c r="C226" s="20" t="s">
        <v>236</v>
      </c>
      <c r="D226" s="20" t="s">
        <v>925</v>
      </c>
      <c r="E226" s="20"/>
      <c r="F226" s="6">
        <f>'Пр.5 Рд,пр, ЦС,ВР 20'!F226</f>
        <v>310</v>
      </c>
      <c r="G226" s="6">
        <f t="shared" si="9"/>
        <v>310</v>
      </c>
    </row>
    <row r="227" spans="1:7" ht="94.5">
      <c r="A227" s="25" t="s">
        <v>144</v>
      </c>
      <c r="B227" s="20" t="s">
        <v>232</v>
      </c>
      <c r="C227" s="20" t="s">
        <v>236</v>
      </c>
      <c r="D227" s="20" t="s">
        <v>925</v>
      </c>
      <c r="E227" s="20" t="s">
        <v>145</v>
      </c>
      <c r="F227" s="6">
        <f>'Пр.5 Рд,пр, ЦС,ВР 20'!F227</f>
        <v>310</v>
      </c>
      <c r="G227" s="6">
        <f t="shared" si="9"/>
        <v>310</v>
      </c>
    </row>
    <row r="228" spans="1:7" ht="47.25">
      <c r="A228" s="25" t="s">
        <v>146</v>
      </c>
      <c r="B228" s="20" t="s">
        <v>232</v>
      </c>
      <c r="C228" s="20" t="s">
        <v>236</v>
      </c>
      <c r="D228" s="20" t="s">
        <v>925</v>
      </c>
      <c r="E228" s="20" t="s">
        <v>147</v>
      </c>
      <c r="F228" s="6">
        <f>'Пр.5 Рд,пр, ЦС,ВР 20'!F228</f>
        <v>310</v>
      </c>
      <c r="G228" s="6">
        <f t="shared" si="9"/>
        <v>310</v>
      </c>
    </row>
    <row r="229" spans="1:7" ht="15.75">
      <c r="A229" s="23" t="s">
        <v>249</v>
      </c>
      <c r="B229" s="24" t="s">
        <v>167</v>
      </c>
      <c r="C229" s="24"/>
      <c r="D229" s="24"/>
      <c r="E229" s="20"/>
      <c r="F229" s="4">
        <f aca="true" t="shared" si="12" ref="F229:G229">F243+F249+F261+F230</f>
        <v>8934.199999999999</v>
      </c>
      <c r="G229" s="4">
        <f t="shared" si="12"/>
        <v>8934.199999999999</v>
      </c>
    </row>
    <row r="230" spans="1:7" ht="15.75">
      <c r="A230" s="23" t="s">
        <v>250</v>
      </c>
      <c r="B230" s="24" t="s">
        <v>167</v>
      </c>
      <c r="C230" s="24" t="s">
        <v>251</v>
      </c>
      <c r="D230" s="24"/>
      <c r="E230" s="20"/>
      <c r="F230" s="4">
        <f>F231</f>
        <v>355</v>
      </c>
      <c r="G230" s="4">
        <f>G231</f>
        <v>355</v>
      </c>
    </row>
    <row r="231" spans="1:7" ht="47.25">
      <c r="A231" s="35" t="s">
        <v>198</v>
      </c>
      <c r="B231" s="24" t="s">
        <v>167</v>
      </c>
      <c r="C231" s="24" t="s">
        <v>251</v>
      </c>
      <c r="D231" s="232" t="s">
        <v>199</v>
      </c>
      <c r="E231" s="324"/>
      <c r="F231" s="4">
        <f>F232+F239</f>
        <v>355</v>
      </c>
      <c r="G231" s="4">
        <f>G232+G239</f>
        <v>355</v>
      </c>
    </row>
    <row r="232" spans="1:7" ht="47.25">
      <c r="A232" s="35" t="s">
        <v>1168</v>
      </c>
      <c r="B232" s="24" t="s">
        <v>167</v>
      </c>
      <c r="C232" s="24" t="s">
        <v>251</v>
      </c>
      <c r="D232" s="383" t="s">
        <v>928</v>
      </c>
      <c r="E232" s="324"/>
      <c r="F232" s="4">
        <f>F233+F236</f>
        <v>256</v>
      </c>
      <c r="G232" s="4">
        <f>G233+G236</f>
        <v>256</v>
      </c>
    </row>
    <row r="233" spans="1:7" ht="15.75">
      <c r="A233" s="25" t="s">
        <v>929</v>
      </c>
      <c r="B233" s="20" t="s">
        <v>167</v>
      </c>
      <c r="C233" s="20" t="s">
        <v>251</v>
      </c>
      <c r="D233" s="20" t="s">
        <v>973</v>
      </c>
      <c r="E233" s="33"/>
      <c r="F233" s="6">
        <f>'Пр.5 Рд,пр, ЦС,ВР 20'!F233</f>
        <v>1</v>
      </c>
      <c r="G233" s="6">
        <f t="shared" si="9"/>
        <v>1</v>
      </c>
    </row>
    <row r="234" spans="1:7" ht="15.75">
      <c r="A234" s="30" t="s">
        <v>152</v>
      </c>
      <c r="B234" s="20" t="s">
        <v>167</v>
      </c>
      <c r="C234" s="20" t="s">
        <v>251</v>
      </c>
      <c r="D234" s="20" t="s">
        <v>973</v>
      </c>
      <c r="E234" s="33" t="s">
        <v>162</v>
      </c>
      <c r="F234" s="6">
        <f>'Пр.5 Рд,пр, ЦС,ВР 20'!F234</f>
        <v>1</v>
      </c>
      <c r="G234" s="6">
        <f t="shared" si="9"/>
        <v>1</v>
      </c>
    </row>
    <row r="235" spans="1:7" ht="63">
      <c r="A235" s="30" t="s">
        <v>201</v>
      </c>
      <c r="B235" s="20" t="s">
        <v>167</v>
      </c>
      <c r="C235" s="20" t="s">
        <v>251</v>
      </c>
      <c r="D235" s="20" t="s">
        <v>973</v>
      </c>
      <c r="E235" s="33" t="s">
        <v>177</v>
      </c>
      <c r="F235" s="6">
        <f>'Пр.5 Рд,пр, ЦС,ВР 20'!F235</f>
        <v>1</v>
      </c>
      <c r="G235" s="6">
        <f t="shared" si="9"/>
        <v>1</v>
      </c>
    </row>
    <row r="236" spans="1:7" ht="31.5">
      <c r="A236" s="25" t="s">
        <v>252</v>
      </c>
      <c r="B236" s="20" t="s">
        <v>167</v>
      </c>
      <c r="C236" s="20" t="s">
        <v>251</v>
      </c>
      <c r="D236" s="20" t="s">
        <v>932</v>
      </c>
      <c r="E236" s="20"/>
      <c r="F236" s="6">
        <f>'Пр.5 Рд,пр, ЦС,ВР 20'!F236</f>
        <v>255</v>
      </c>
      <c r="G236" s="6">
        <f t="shared" si="9"/>
        <v>255</v>
      </c>
    </row>
    <row r="237" spans="1:7" ht="15.75">
      <c r="A237" s="25" t="s">
        <v>152</v>
      </c>
      <c r="B237" s="20" t="s">
        <v>167</v>
      </c>
      <c r="C237" s="20" t="s">
        <v>251</v>
      </c>
      <c r="D237" s="20" t="s">
        <v>932</v>
      </c>
      <c r="E237" s="20" t="s">
        <v>162</v>
      </c>
      <c r="F237" s="6">
        <f>'Пр.5 Рд,пр, ЦС,ВР 20'!F237</f>
        <v>255</v>
      </c>
      <c r="G237" s="6">
        <f t="shared" si="9"/>
        <v>255</v>
      </c>
    </row>
    <row r="238" spans="1:7" ht="63">
      <c r="A238" s="25" t="s">
        <v>201</v>
      </c>
      <c r="B238" s="20" t="s">
        <v>167</v>
      </c>
      <c r="C238" s="20" t="s">
        <v>251</v>
      </c>
      <c r="D238" s="20" t="s">
        <v>932</v>
      </c>
      <c r="E238" s="20" t="s">
        <v>177</v>
      </c>
      <c r="F238" s="6">
        <f>'Пр.5 Рд,пр, ЦС,ВР 20'!F238</f>
        <v>255</v>
      </c>
      <c r="G238" s="6">
        <f t="shared" si="9"/>
        <v>255</v>
      </c>
    </row>
    <row r="239" spans="1:7" ht="47.25">
      <c r="A239" s="314" t="s">
        <v>1169</v>
      </c>
      <c r="B239" s="24" t="s">
        <v>167</v>
      </c>
      <c r="C239" s="24" t="s">
        <v>251</v>
      </c>
      <c r="D239" s="232" t="s">
        <v>931</v>
      </c>
      <c r="E239" s="324"/>
      <c r="F239" s="4">
        <f>F240</f>
        <v>99</v>
      </c>
      <c r="G239" s="4">
        <f>G240</f>
        <v>99</v>
      </c>
    </row>
    <row r="240" spans="1:7" ht="15.75">
      <c r="A240" s="25" t="s">
        <v>930</v>
      </c>
      <c r="B240" s="20" t="s">
        <v>167</v>
      </c>
      <c r="C240" s="20" t="s">
        <v>251</v>
      </c>
      <c r="D240" s="5" t="s">
        <v>974</v>
      </c>
      <c r="E240" s="33"/>
      <c r="F240" s="6">
        <f>'Пр.5 Рд,пр, ЦС,ВР 20'!F240</f>
        <v>99</v>
      </c>
      <c r="G240" s="6">
        <f t="shared" si="9"/>
        <v>99</v>
      </c>
    </row>
    <row r="241" spans="1:7" ht="15.75">
      <c r="A241" s="30" t="s">
        <v>152</v>
      </c>
      <c r="B241" s="20" t="s">
        <v>167</v>
      </c>
      <c r="C241" s="20" t="s">
        <v>251</v>
      </c>
      <c r="D241" s="5" t="s">
        <v>974</v>
      </c>
      <c r="E241" s="33" t="s">
        <v>162</v>
      </c>
      <c r="F241" s="6">
        <f>'Пр.5 Рд,пр, ЦС,ВР 20'!F241</f>
        <v>99</v>
      </c>
      <c r="G241" s="6">
        <f t="shared" si="9"/>
        <v>99</v>
      </c>
    </row>
    <row r="242" spans="1:7" ht="63">
      <c r="A242" s="30" t="s">
        <v>201</v>
      </c>
      <c r="B242" s="20" t="s">
        <v>167</v>
      </c>
      <c r="C242" s="20" t="s">
        <v>251</v>
      </c>
      <c r="D242" s="5" t="s">
        <v>974</v>
      </c>
      <c r="E242" s="33" t="s">
        <v>177</v>
      </c>
      <c r="F242" s="6">
        <f>'Пр.5 Рд,пр, ЦС,ВР 20'!F242</f>
        <v>99</v>
      </c>
      <c r="G242" s="6">
        <f t="shared" si="9"/>
        <v>99</v>
      </c>
    </row>
    <row r="243" spans="1:7" ht="15.75">
      <c r="A243" s="23" t="s">
        <v>522</v>
      </c>
      <c r="B243" s="24" t="s">
        <v>167</v>
      </c>
      <c r="C243" s="24" t="s">
        <v>316</v>
      </c>
      <c r="D243" s="24"/>
      <c r="E243" s="24"/>
      <c r="F243" s="4">
        <f aca="true" t="shared" si="13" ref="F243:G245">F244</f>
        <v>3258</v>
      </c>
      <c r="G243" s="4">
        <f t="shared" si="13"/>
        <v>3258</v>
      </c>
    </row>
    <row r="244" spans="1:7" ht="15.75">
      <c r="A244" s="23" t="s">
        <v>158</v>
      </c>
      <c r="B244" s="24" t="s">
        <v>167</v>
      </c>
      <c r="C244" s="24" t="s">
        <v>316</v>
      </c>
      <c r="D244" s="24" t="s">
        <v>917</v>
      </c>
      <c r="E244" s="24"/>
      <c r="F244" s="4">
        <f t="shared" si="13"/>
        <v>3258</v>
      </c>
      <c r="G244" s="4">
        <f t="shared" si="13"/>
        <v>3258</v>
      </c>
    </row>
    <row r="245" spans="1:7" ht="31.5">
      <c r="A245" s="23" t="s">
        <v>921</v>
      </c>
      <c r="B245" s="24" t="s">
        <v>167</v>
      </c>
      <c r="C245" s="24" t="s">
        <v>316</v>
      </c>
      <c r="D245" s="24" t="s">
        <v>916</v>
      </c>
      <c r="E245" s="24"/>
      <c r="F245" s="4">
        <f t="shared" si="13"/>
        <v>3258</v>
      </c>
      <c r="G245" s="4">
        <f t="shared" si="13"/>
        <v>3258</v>
      </c>
    </row>
    <row r="246" spans="1:7" ht="31.5">
      <c r="A246" s="25" t="s">
        <v>523</v>
      </c>
      <c r="B246" s="20" t="s">
        <v>167</v>
      </c>
      <c r="C246" s="20" t="s">
        <v>316</v>
      </c>
      <c r="D246" s="20" t="s">
        <v>1101</v>
      </c>
      <c r="E246" s="20"/>
      <c r="F246" s="6">
        <f>'Пр.5 Рд,пр, ЦС,ВР 20'!F246</f>
        <v>3258</v>
      </c>
      <c r="G246" s="6">
        <f t="shared" si="9"/>
        <v>3258</v>
      </c>
    </row>
    <row r="247" spans="1:7" ht="31.5">
      <c r="A247" s="25" t="s">
        <v>148</v>
      </c>
      <c r="B247" s="20" t="s">
        <v>167</v>
      </c>
      <c r="C247" s="20" t="s">
        <v>316</v>
      </c>
      <c r="D247" s="20" t="s">
        <v>1101</v>
      </c>
      <c r="E247" s="20" t="s">
        <v>149</v>
      </c>
      <c r="F247" s="6">
        <f>'Пр.5 Рд,пр, ЦС,ВР 20'!F247</f>
        <v>3258</v>
      </c>
      <c r="G247" s="6">
        <f t="shared" si="9"/>
        <v>3258</v>
      </c>
    </row>
    <row r="248" spans="1:7" ht="47.25">
      <c r="A248" s="25" t="s">
        <v>150</v>
      </c>
      <c r="B248" s="20" t="s">
        <v>167</v>
      </c>
      <c r="C248" s="20" t="s">
        <v>316</v>
      </c>
      <c r="D248" s="20" t="s">
        <v>1101</v>
      </c>
      <c r="E248" s="20" t="s">
        <v>151</v>
      </c>
      <c r="F248" s="6">
        <f>'Пр.5 Рд,пр, ЦС,ВР 20'!F248</f>
        <v>3258</v>
      </c>
      <c r="G248" s="6">
        <f t="shared" si="9"/>
        <v>3258</v>
      </c>
    </row>
    <row r="249" spans="1:7" ht="15.75">
      <c r="A249" s="23" t="s">
        <v>525</v>
      </c>
      <c r="B249" s="24" t="s">
        <v>167</v>
      </c>
      <c r="C249" s="24" t="s">
        <v>236</v>
      </c>
      <c r="D249" s="20"/>
      <c r="E249" s="24"/>
      <c r="F249" s="4">
        <f aca="true" t="shared" si="14" ref="F249:G249">F250</f>
        <v>4546.2</v>
      </c>
      <c r="G249" s="4">
        <f t="shared" si="14"/>
        <v>4546.2</v>
      </c>
    </row>
    <row r="250" spans="1:7" ht="63">
      <c r="A250" s="35" t="s">
        <v>1190</v>
      </c>
      <c r="B250" s="24" t="s">
        <v>167</v>
      </c>
      <c r="C250" s="24" t="s">
        <v>236</v>
      </c>
      <c r="D250" s="24" t="s">
        <v>527</v>
      </c>
      <c r="E250" s="24"/>
      <c r="F250" s="62">
        <f>F251+F255</f>
        <v>4546.2</v>
      </c>
      <c r="G250" s="62">
        <f>G251+G255</f>
        <v>4546.2</v>
      </c>
    </row>
    <row r="251" spans="1:7" ht="31.5" hidden="1">
      <c r="A251" s="35" t="s">
        <v>1159</v>
      </c>
      <c r="B251" s="24" t="s">
        <v>167</v>
      </c>
      <c r="C251" s="24" t="s">
        <v>236</v>
      </c>
      <c r="D251" s="7" t="s">
        <v>1102</v>
      </c>
      <c r="E251" s="24"/>
      <c r="F251" s="62">
        <f>F252</f>
        <v>0</v>
      </c>
      <c r="G251" s="62">
        <f>G252</f>
        <v>0</v>
      </c>
    </row>
    <row r="252" spans="1:7" ht="31.5" hidden="1">
      <c r="A252" s="30" t="s">
        <v>1161</v>
      </c>
      <c r="B252" s="20" t="s">
        <v>167</v>
      </c>
      <c r="C252" s="20" t="s">
        <v>236</v>
      </c>
      <c r="D252" s="41" t="s">
        <v>1160</v>
      </c>
      <c r="E252" s="20"/>
      <c r="F252" s="6">
        <f>'Пр.5 Рд,пр, ЦС,ВР 20'!F252</f>
        <v>0</v>
      </c>
      <c r="G252" s="6">
        <f t="shared" si="9"/>
        <v>0</v>
      </c>
    </row>
    <row r="253" spans="1:7" ht="31.5" hidden="1">
      <c r="A253" s="25" t="s">
        <v>148</v>
      </c>
      <c r="B253" s="20" t="s">
        <v>167</v>
      </c>
      <c r="C253" s="20" t="s">
        <v>236</v>
      </c>
      <c r="D253" s="41" t="s">
        <v>1160</v>
      </c>
      <c r="E253" s="20" t="s">
        <v>149</v>
      </c>
      <c r="F253" s="6">
        <f>'Пр.5 Рд,пр, ЦС,ВР 20'!F253</f>
        <v>0</v>
      </c>
      <c r="G253" s="6">
        <f t="shared" si="9"/>
        <v>0</v>
      </c>
    </row>
    <row r="254" spans="1:7" ht="47.25" hidden="1">
      <c r="A254" s="25" t="s">
        <v>150</v>
      </c>
      <c r="B254" s="20" t="s">
        <v>167</v>
      </c>
      <c r="C254" s="20" t="s">
        <v>236</v>
      </c>
      <c r="D254" s="41" t="s">
        <v>1160</v>
      </c>
      <c r="E254" s="20" t="s">
        <v>151</v>
      </c>
      <c r="F254" s="6">
        <f>'Пр.5 Рд,пр, ЦС,ВР 20'!F254</f>
        <v>0</v>
      </c>
      <c r="G254" s="6">
        <f t="shared" si="9"/>
        <v>0</v>
      </c>
    </row>
    <row r="255" spans="1:7" ht="47.25">
      <c r="A255" s="35" t="s">
        <v>1254</v>
      </c>
      <c r="B255" s="24" t="s">
        <v>167</v>
      </c>
      <c r="C255" s="24" t="s">
        <v>236</v>
      </c>
      <c r="D255" s="24" t="s">
        <v>1103</v>
      </c>
      <c r="E255" s="24"/>
      <c r="F255" s="61">
        <f>F256</f>
        <v>4546.2</v>
      </c>
      <c r="G255" s="61">
        <f>G256</f>
        <v>4546.2</v>
      </c>
    </row>
    <row r="256" spans="1:7" ht="15.75">
      <c r="A256" s="30" t="s">
        <v>528</v>
      </c>
      <c r="B256" s="20" t="s">
        <v>167</v>
      </c>
      <c r="C256" s="20" t="s">
        <v>236</v>
      </c>
      <c r="D256" s="41" t="s">
        <v>1162</v>
      </c>
      <c r="E256" s="20"/>
      <c r="F256" s="6">
        <f>F257</f>
        <v>4546.2</v>
      </c>
      <c r="G256" s="6">
        <f t="shared" si="9"/>
        <v>4546.2</v>
      </c>
    </row>
    <row r="257" spans="1:7" ht="31.5">
      <c r="A257" s="25" t="s">
        <v>148</v>
      </c>
      <c r="B257" s="20" t="s">
        <v>167</v>
      </c>
      <c r="C257" s="20" t="s">
        <v>236</v>
      </c>
      <c r="D257" s="41" t="s">
        <v>1162</v>
      </c>
      <c r="E257" s="20" t="s">
        <v>149</v>
      </c>
      <c r="F257" s="6">
        <f>F258</f>
        <v>4546.2</v>
      </c>
      <c r="G257" s="6">
        <f>G258</f>
        <v>4546.2</v>
      </c>
    </row>
    <row r="258" spans="1:7" ht="47.25">
      <c r="A258" s="25" t="s">
        <v>150</v>
      </c>
      <c r="B258" s="20" t="s">
        <v>167</v>
      </c>
      <c r="C258" s="20" t="s">
        <v>236</v>
      </c>
      <c r="D258" s="41" t="s">
        <v>1162</v>
      </c>
      <c r="E258" s="20" t="s">
        <v>151</v>
      </c>
      <c r="F258" s="6">
        <f>'пр.6.1.ведом.21-22'!G820</f>
        <v>4546.2</v>
      </c>
      <c r="G258" s="6">
        <f>'пр.6.1.ведом.21-22'!H820</f>
        <v>4546.2</v>
      </c>
    </row>
    <row r="259" spans="1:7" ht="15.75" hidden="1">
      <c r="A259" s="25" t="s">
        <v>152</v>
      </c>
      <c r="B259" s="20" t="s">
        <v>167</v>
      </c>
      <c r="C259" s="20" t="s">
        <v>236</v>
      </c>
      <c r="D259" s="41" t="s">
        <v>1162</v>
      </c>
      <c r="E259" s="20" t="s">
        <v>162</v>
      </c>
      <c r="F259" s="6">
        <f>'Пр.5 Рд,пр, ЦС,ВР 20'!F259</f>
        <v>0</v>
      </c>
      <c r="G259" s="6">
        <f t="shared" si="9"/>
        <v>0</v>
      </c>
    </row>
    <row r="260" spans="1:7" ht="31.5" hidden="1">
      <c r="A260" s="25" t="s">
        <v>585</v>
      </c>
      <c r="B260" s="20" t="s">
        <v>167</v>
      </c>
      <c r="C260" s="20" t="s">
        <v>236</v>
      </c>
      <c r="D260" s="41" t="s">
        <v>1162</v>
      </c>
      <c r="E260" s="20" t="s">
        <v>155</v>
      </c>
      <c r="F260" s="6">
        <f>'Пр.5 Рд,пр, ЦС,ВР 20'!F260</f>
        <v>0</v>
      </c>
      <c r="G260" s="6">
        <f t="shared" si="9"/>
        <v>0</v>
      </c>
    </row>
    <row r="261" spans="1:7" ht="31.5">
      <c r="A261" s="23" t="s">
        <v>254</v>
      </c>
      <c r="B261" s="24" t="s">
        <v>167</v>
      </c>
      <c r="C261" s="24" t="s">
        <v>255</v>
      </c>
      <c r="D261" s="24"/>
      <c r="E261" s="24"/>
      <c r="F261" s="62">
        <f>F262+F269+F296</f>
        <v>774.9999999999999</v>
      </c>
      <c r="G261" s="62">
        <f>G262+G269+G296</f>
        <v>774.9999999999999</v>
      </c>
    </row>
    <row r="262" spans="1:7" ht="31.5">
      <c r="A262" s="23" t="s">
        <v>995</v>
      </c>
      <c r="B262" s="24" t="s">
        <v>167</v>
      </c>
      <c r="C262" s="24" t="s">
        <v>255</v>
      </c>
      <c r="D262" s="24" t="s">
        <v>909</v>
      </c>
      <c r="E262" s="24"/>
      <c r="F262" s="62">
        <f>F263</f>
        <v>604.9999999999999</v>
      </c>
      <c r="G262" s="62">
        <f>G263</f>
        <v>604.9999999999999</v>
      </c>
    </row>
    <row r="263" spans="1:7" ht="47.25">
      <c r="A263" s="23" t="s">
        <v>937</v>
      </c>
      <c r="B263" s="24" t="s">
        <v>167</v>
      </c>
      <c r="C263" s="24" t="s">
        <v>255</v>
      </c>
      <c r="D263" s="24" t="s">
        <v>914</v>
      </c>
      <c r="E263" s="24"/>
      <c r="F263" s="62">
        <f>F264</f>
        <v>604.9999999999999</v>
      </c>
      <c r="G263" s="62">
        <f>G264</f>
        <v>604.9999999999999</v>
      </c>
    </row>
    <row r="264" spans="1:7" ht="78.75">
      <c r="A264" s="32" t="s">
        <v>258</v>
      </c>
      <c r="B264" s="20" t="s">
        <v>167</v>
      </c>
      <c r="C264" s="20" t="s">
        <v>255</v>
      </c>
      <c r="D264" s="20" t="s">
        <v>1004</v>
      </c>
      <c r="E264" s="20"/>
      <c r="F264" s="6">
        <f>'Пр.5 Рд,пр, ЦС,ВР 20'!F264</f>
        <v>604.9999999999999</v>
      </c>
      <c r="G264" s="6">
        <f t="shared" si="9"/>
        <v>604.9999999999999</v>
      </c>
    </row>
    <row r="265" spans="1:7" ht="94.5">
      <c r="A265" s="25" t="s">
        <v>144</v>
      </c>
      <c r="B265" s="20" t="s">
        <v>167</v>
      </c>
      <c r="C265" s="20" t="s">
        <v>255</v>
      </c>
      <c r="D265" s="20" t="s">
        <v>1004</v>
      </c>
      <c r="E265" s="20" t="s">
        <v>145</v>
      </c>
      <c r="F265" s="6">
        <f>'Пр.5 Рд,пр, ЦС,ВР 20'!F265</f>
        <v>393.0599999999999</v>
      </c>
      <c r="G265" s="6">
        <f aca="true" t="shared" si="15" ref="G265:G331">F265</f>
        <v>393.0599999999999</v>
      </c>
    </row>
    <row r="266" spans="1:7" ht="47.25">
      <c r="A266" s="25" t="s">
        <v>146</v>
      </c>
      <c r="B266" s="20" t="s">
        <v>167</v>
      </c>
      <c r="C266" s="20" t="s">
        <v>255</v>
      </c>
      <c r="D266" s="20" t="s">
        <v>1004</v>
      </c>
      <c r="E266" s="20" t="s">
        <v>147</v>
      </c>
      <c r="F266" s="6">
        <f>'Пр.5 Рд,пр, ЦС,ВР 20'!F266</f>
        <v>393.0599999999999</v>
      </c>
      <c r="G266" s="6">
        <f t="shared" si="15"/>
        <v>393.0599999999999</v>
      </c>
    </row>
    <row r="267" spans="1:7" ht="31.5">
      <c r="A267" s="25" t="s">
        <v>148</v>
      </c>
      <c r="B267" s="20" t="s">
        <v>167</v>
      </c>
      <c r="C267" s="20" t="s">
        <v>255</v>
      </c>
      <c r="D267" s="20" t="s">
        <v>1004</v>
      </c>
      <c r="E267" s="20" t="s">
        <v>149</v>
      </c>
      <c r="F267" s="6">
        <f>'Пр.5 Рд,пр, ЦС,ВР 20'!F267</f>
        <v>211.94000000000003</v>
      </c>
      <c r="G267" s="6">
        <f t="shared" si="15"/>
        <v>211.94000000000003</v>
      </c>
    </row>
    <row r="268" spans="1:7" ht="47.25">
      <c r="A268" s="25" t="s">
        <v>150</v>
      </c>
      <c r="B268" s="20" t="s">
        <v>167</v>
      </c>
      <c r="C268" s="20" t="s">
        <v>255</v>
      </c>
      <c r="D268" s="20" t="s">
        <v>1004</v>
      </c>
      <c r="E268" s="20" t="s">
        <v>151</v>
      </c>
      <c r="F268" s="6">
        <f>'Пр.5 Рд,пр, ЦС,ВР 20'!F268</f>
        <v>211.94000000000003</v>
      </c>
      <c r="G268" s="6">
        <f t="shared" si="15"/>
        <v>211.94000000000003</v>
      </c>
    </row>
    <row r="269" spans="1:7" ht="63">
      <c r="A269" s="23" t="s">
        <v>360</v>
      </c>
      <c r="B269" s="24" t="s">
        <v>167</v>
      </c>
      <c r="C269" s="24" t="s">
        <v>255</v>
      </c>
      <c r="D269" s="24" t="s">
        <v>361</v>
      </c>
      <c r="E269" s="324"/>
      <c r="F269" s="62">
        <f>F270</f>
        <v>70</v>
      </c>
      <c r="G269" s="62">
        <f>G270</f>
        <v>70</v>
      </c>
    </row>
    <row r="270" spans="1:7" ht="63">
      <c r="A270" s="23" t="s">
        <v>384</v>
      </c>
      <c r="B270" s="24" t="s">
        <v>167</v>
      </c>
      <c r="C270" s="24" t="s">
        <v>255</v>
      </c>
      <c r="D270" s="24" t="s">
        <v>385</v>
      </c>
      <c r="E270" s="24"/>
      <c r="F270" s="62">
        <f>F271+F278+F285+F292</f>
        <v>70</v>
      </c>
      <c r="G270" s="62">
        <f>G271+G278+G285+G292</f>
        <v>70</v>
      </c>
    </row>
    <row r="271" spans="1:7" ht="47.25" hidden="1">
      <c r="A271" s="315" t="s">
        <v>1228</v>
      </c>
      <c r="B271" s="24" t="s">
        <v>167</v>
      </c>
      <c r="C271" s="24" t="s">
        <v>255</v>
      </c>
      <c r="D271" s="24" t="s">
        <v>942</v>
      </c>
      <c r="E271" s="24"/>
      <c r="F271" s="62">
        <f>F272+F275</f>
        <v>0</v>
      </c>
      <c r="G271" s="62">
        <f>G272+G275</f>
        <v>0</v>
      </c>
    </row>
    <row r="272" spans="1:7" ht="63" hidden="1">
      <c r="A272" s="25" t="s">
        <v>392</v>
      </c>
      <c r="B272" s="20" t="s">
        <v>167</v>
      </c>
      <c r="C272" s="20" t="s">
        <v>255</v>
      </c>
      <c r="D272" s="20" t="s">
        <v>1229</v>
      </c>
      <c r="E272" s="20"/>
      <c r="F272" s="6">
        <f>'Пр.5 Рд,пр, ЦС,ВР 20'!F272</f>
        <v>0</v>
      </c>
      <c r="G272" s="6">
        <f t="shared" si="15"/>
        <v>0</v>
      </c>
    </row>
    <row r="273" spans="1:7" ht="31.5" hidden="1">
      <c r="A273" s="25" t="s">
        <v>265</v>
      </c>
      <c r="B273" s="20" t="s">
        <v>167</v>
      </c>
      <c r="C273" s="20" t="s">
        <v>255</v>
      </c>
      <c r="D273" s="20" t="s">
        <v>1229</v>
      </c>
      <c r="E273" s="20" t="s">
        <v>266</v>
      </c>
      <c r="F273" s="6">
        <f>'Пр.5 Рд,пр, ЦС,ВР 20'!F273</f>
        <v>0</v>
      </c>
      <c r="G273" s="6">
        <f t="shared" si="15"/>
        <v>0</v>
      </c>
    </row>
    <row r="274" spans="1:7" ht="47.25" hidden="1">
      <c r="A274" s="25" t="s">
        <v>267</v>
      </c>
      <c r="B274" s="20" t="s">
        <v>167</v>
      </c>
      <c r="C274" s="20" t="s">
        <v>255</v>
      </c>
      <c r="D274" s="20" t="s">
        <v>1229</v>
      </c>
      <c r="E274" s="20" t="s">
        <v>268</v>
      </c>
      <c r="F274" s="6">
        <f>'Пр.5 Рд,пр, ЦС,ВР 20'!F274</f>
        <v>0</v>
      </c>
      <c r="G274" s="6">
        <f t="shared" si="15"/>
        <v>0</v>
      </c>
    </row>
    <row r="275" spans="1:7" ht="63" hidden="1">
      <c r="A275" s="25" t="s">
        <v>392</v>
      </c>
      <c r="B275" s="20" t="s">
        <v>167</v>
      </c>
      <c r="C275" s="20" t="s">
        <v>255</v>
      </c>
      <c r="D275" s="20" t="s">
        <v>1230</v>
      </c>
      <c r="E275" s="20"/>
      <c r="F275" s="6">
        <f>'Пр.5 Рд,пр, ЦС,ВР 20'!F275</f>
        <v>0</v>
      </c>
      <c r="G275" s="6">
        <f t="shared" si="15"/>
        <v>0</v>
      </c>
    </row>
    <row r="276" spans="1:7" ht="31.5" hidden="1">
      <c r="A276" s="25" t="s">
        <v>265</v>
      </c>
      <c r="B276" s="20" t="s">
        <v>167</v>
      </c>
      <c r="C276" s="20" t="s">
        <v>255</v>
      </c>
      <c r="D276" s="20" t="s">
        <v>1230</v>
      </c>
      <c r="E276" s="20" t="s">
        <v>266</v>
      </c>
      <c r="F276" s="6">
        <f>'Пр.5 Рд,пр, ЦС,ВР 20'!F276</f>
        <v>0</v>
      </c>
      <c r="G276" s="6">
        <f t="shared" si="15"/>
        <v>0</v>
      </c>
    </row>
    <row r="277" spans="1:7" ht="47.25" hidden="1">
      <c r="A277" s="25" t="s">
        <v>267</v>
      </c>
      <c r="B277" s="20" t="s">
        <v>167</v>
      </c>
      <c r="C277" s="20" t="s">
        <v>255</v>
      </c>
      <c r="D277" s="20" t="s">
        <v>1230</v>
      </c>
      <c r="E277" s="20" t="s">
        <v>268</v>
      </c>
      <c r="F277" s="6">
        <f>'Пр.5 Рд,пр, ЦС,ВР 20'!F277</f>
        <v>0</v>
      </c>
      <c r="G277" s="6">
        <f t="shared" si="15"/>
        <v>0</v>
      </c>
    </row>
    <row r="278" spans="1:7" ht="47.25">
      <c r="A278" s="23" t="s">
        <v>1226</v>
      </c>
      <c r="B278" s="24" t="s">
        <v>167</v>
      </c>
      <c r="C278" s="24" t="s">
        <v>255</v>
      </c>
      <c r="D278" s="24" t="s">
        <v>943</v>
      </c>
      <c r="E278" s="24"/>
      <c r="F278" s="62">
        <f>F279+F282</f>
        <v>60</v>
      </c>
      <c r="G278" s="62">
        <f>G279+G282</f>
        <v>60</v>
      </c>
    </row>
    <row r="279" spans="1:7" ht="31.5">
      <c r="A279" s="25" t="s">
        <v>1227</v>
      </c>
      <c r="B279" s="20" t="s">
        <v>167</v>
      </c>
      <c r="C279" s="20" t="s">
        <v>255</v>
      </c>
      <c r="D279" s="20" t="s">
        <v>1231</v>
      </c>
      <c r="E279" s="20"/>
      <c r="F279" s="6">
        <f>'Пр.5 Рд,пр, ЦС,ВР 20'!F279</f>
        <v>60</v>
      </c>
      <c r="G279" s="6">
        <f t="shared" si="15"/>
        <v>60</v>
      </c>
    </row>
    <row r="280" spans="1:7" ht="15.75">
      <c r="A280" s="25" t="s">
        <v>152</v>
      </c>
      <c r="B280" s="20" t="s">
        <v>167</v>
      </c>
      <c r="C280" s="20" t="s">
        <v>255</v>
      </c>
      <c r="D280" s="20" t="s">
        <v>1231</v>
      </c>
      <c r="E280" s="20" t="s">
        <v>162</v>
      </c>
      <c r="F280" s="6">
        <f>'Пр.5 Рд,пр, ЦС,ВР 20'!F280</f>
        <v>60</v>
      </c>
      <c r="G280" s="6">
        <f t="shared" si="15"/>
        <v>60</v>
      </c>
    </row>
    <row r="281" spans="1:7" ht="63">
      <c r="A281" s="25" t="s">
        <v>201</v>
      </c>
      <c r="B281" s="20" t="s">
        <v>167</v>
      </c>
      <c r="C281" s="20" t="s">
        <v>255</v>
      </c>
      <c r="D281" s="20" t="s">
        <v>1231</v>
      </c>
      <c r="E281" s="20" t="s">
        <v>177</v>
      </c>
      <c r="F281" s="6">
        <f>'Пр.5 Рд,пр, ЦС,ВР 20'!F281</f>
        <v>60</v>
      </c>
      <c r="G281" s="6">
        <f t="shared" si="15"/>
        <v>60</v>
      </c>
    </row>
    <row r="282" spans="1:7" ht="126" hidden="1">
      <c r="A282" s="25" t="s">
        <v>390</v>
      </c>
      <c r="B282" s="20" t="s">
        <v>167</v>
      </c>
      <c r="C282" s="20" t="s">
        <v>255</v>
      </c>
      <c r="D282" s="20" t="s">
        <v>1232</v>
      </c>
      <c r="E282" s="20"/>
      <c r="F282" s="6">
        <f>'Пр.5 Рд,пр, ЦС,ВР 20'!F282</f>
        <v>0</v>
      </c>
      <c r="G282" s="6">
        <f t="shared" si="15"/>
        <v>0</v>
      </c>
    </row>
    <row r="283" spans="1:7" ht="15.75" hidden="1">
      <c r="A283" s="25" t="s">
        <v>152</v>
      </c>
      <c r="B283" s="20" t="s">
        <v>167</v>
      </c>
      <c r="C283" s="20" t="s">
        <v>255</v>
      </c>
      <c r="D283" s="20" t="s">
        <v>1232</v>
      </c>
      <c r="E283" s="20" t="s">
        <v>162</v>
      </c>
      <c r="F283" s="6">
        <f>'Пр.5 Рд,пр, ЦС,ВР 20'!F283</f>
        <v>0</v>
      </c>
      <c r="G283" s="6">
        <f t="shared" si="15"/>
        <v>0</v>
      </c>
    </row>
    <row r="284" spans="1:7" ht="63" hidden="1">
      <c r="A284" s="25" t="s">
        <v>201</v>
      </c>
      <c r="B284" s="20" t="s">
        <v>167</v>
      </c>
      <c r="C284" s="20" t="s">
        <v>255</v>
      </c>
      <c r="D284" s="20" t="s">
        <v>1232</v>
      </c>
      <c r="E284" s="20" t="s">
        <v>177</v>
      </c>
      <c r="F284" s="6">
        <f>'Пр.5 Рд,пр, ЦС,ВР 20'!F284</f>
        <v>0</v>
      </c>
      <c r="G284" s="6">
        <f t="shared" si="15"/>
        <v>0</v>
      </c>
    </row>
    <row r="285" spans="1:7" ht="31.5" hidden="1">
      <c r="A285" s="23" t="s">
        <v>1153</v>
      </c>
      <c r="B285" s="24" t="s">
        <v>167</v>
      </c>
      <c r="C285" s="24" t="s">
        <v>255</v>
      </c>
      <c r="D285" s="24" t="s">
        <v>944</v>
      </c>
      <c r="E285" s="24"/>
      <c r="F285" s="62">
        <f>F286+F289</f>
        <v>0</v>
      </c>
      <c r="G285" s="62">
        <f>G286+G289</f>
        <v>0</v>
      </c>
    </row>
    <row r="286" spans="1:7" ht="47.25" hidden="1">
      <c r="A286" s="384" t="s">
        <v>1235</v>
      </c>
      <c r="B286" s="20" t="s">
        <v>167</v>
      </c>
      <c r="C286" s="20" t="s">
        <v>255</v>
      </c>
      <c r="D286" s="20" t="s">
        <v>1233</v>
      </c>
      <c r="E286" s="20"/>
      <c r="F286" s="6">
        <f>'Пр.5 Рд,пр, ЦС,ВР 20'!F286</f>
        <v>0</v>
      </c>
      <c r="G286" s="6">
        <f t="shared" si="15"/>
        <v>0</v>
      </c>
    </row>
    <row r="287" spans="1:7" ht="31.5" hidden="1">
      <c r="A287" s="25" t="s">
        <v>148</v>
      </c>
      <c r="B287" s="20" t="s">
        <v>167</v>
      </c>
      <c r="C287" s="20" t="s">
        <v>255</v>
      </c>
      <c r="D287" s="20" t="s">
        <v>1233</v>
      </c>
      <c r="E287" s="20" t="s">
        <v>149</v>
      </c>
      <c r="F287" s="6">
        <f>'Пр.5 Рд,пр, ЦС,ВР 20'!F287</f>
        <v>0</v>
      </c>
      <c r="G287" s="6">
        <f t="shared" si="15"/>
        <v>0</v>
      </c>
    </row>
    <row r="288" spans="1:7" ht="47.25" hidden="1">
      <c r="A288" s="25" t="s">
        <v>150</v>
      </c>
      <c r="B288" s="20" t="s">
        <v>167</v>
      </c>
      <c r="C288" s="20" t="s">
        <v>255</v>
      </c>
      <c r="D288" s="20" t="s">
        <v>1233</v>
      </c>
      <c r="E288" s="20" t="s">
        <v>151</v>
      </c>
      <c r="F288" s="6">
        <f>'Пр.5 Рд,пр, ЦС,ВР 20'!F288</f>
        <v>0</v>
      </c>
      <c r="G288" s="6">
        <f t="shared" si="15"/>
        <v>0</v>
      </c>
    </row>
    <row r="289" spans="1:7" ht="47.25" hidden="1">
      <c r="A289" s="25" t="s">
        <v>394</v>
      </c>
      <c r="B289" s="20" t="s">
        <v>167</v>
      </c>
      <c r="C289" s="20" t="s">
        <v>255</v>
      </c>
      <c r="D289" s="20" t="s">
        <v>1234</v>
      </c>
      <c r="E289" s="20"/>
      <c r="F289" s="6">
        <f>'Пр.5 Рд,пр, ЦС,ВР 20'!F289</f>
        <v>0</v>
      </c>
      <c r="G289" s="6">
        <f t="shared" si="15"/>
        <v>0</v>
      </c>
    </row>
    <row r="290" spans="1:7" ht="31.5" hidden="1">
      <c r="A290" s="25" t="s">
        <v>148</v>
      </c>
      <c r="B290" s="20" t="s">
        <v>167</v>
      </c>
      <c r="C290" s="20" t="s">
        <v>255</v>
      </c>
      <c r="D290" s="20" t="s">
        <v>1234</v>
      </c>
      <c r="E290" s="20" t="s">
        <v>149</v>
      </c>
      <c r="F290" s="6">
        <f>'Пр.5 Рд,пр, ЦС,ВР 20'!F290</f>
        <v>0</v>
      </c>
      <c r="G290" s="6">
        <f t="shared" si="15"/>
        <v>0</v>
      </c>
    </row>
    <row r="291" spans="1:7" ht="47.25" hidden="1">
      <c r="A291" s="25" t="s">
        <v>150</v>
      </c>
      <c r="B291" s="20" t="s">
        <v>167</v>
      </c>
      <c r="C291" s="20" t="s">
        <v>255</v>
      </c>
      <c r="D291" s="20" t="s">
        <v>1234</v>
      </c>
      <c r="E291" s="20" t="s">
        <v>151</v>
      </c>
      <c r="F291" s="6">
        <f>'Пр.5 Рд,пр, ЦС,ВР 20'!F291</f>
        <v>0</v>
      </c>
      <c r="G291" s="6">
        <f t="shared" si="15"/>
        <v>0</v>
      </c>
    </row>
    <row r="292" spans="1:7" s="252" customFormat="1" ht="47.25">
      <c r="A292" s="312" t="s">
        <v>1334</v>
      </c>
      <c r="B292" s="24" t="s">
        <v>167</v>
      </c>
      <c r="C292" s="24" t="s">
        <v>255</v>
      </c>
      <c r="D292" s="24" t="s">
        <v>1333</v>
      </c>
      <c r="E292" s="24"/>
      <c r="F292" s="21">
        <f aca="true" t="shared" si="16" ref="F292:G294">F293</f>
        <v>10</v>
      </c>
      <c r="G292" s="21">
        <f t="shared" si="16"/>
        <v>10</v>
      </c>
    </row>
    <row r="293" spans="1:7" s="252" customFormat="1" ht="31.5">
      <c r="A293" s="352" t="s">
        <v>1335</v>
      </c>
      <c r="B293" s="20" t="s">
        <v>167</v>
      </c>
      <c r="C293" s="20" t="s">
        <v>255</v>
      </c>
      <c r="D293" s="20" t="s">
        <v>1377</v>
      </c>
      <c r="E293" s="20"/>
      <c r="F293" s="26">
        <f t="shared" si="16"/>
        <v>10</v>
      </c>
      <c r="G293" s="6">
        <f t="shared" si="16"/>
        <v>10</v>
      </c>
    </row>
    <row r="294" spans="1:7" s="252" customFormat="1" ht="31.5">
      <c r="A294" s="25" t="s">
        <v>148</v>
      </c>
      <c r="B294" s="20" t="s">
        <v>167</v>
      </c>
      <c r="C294" s="20" t="s">
        <v>255</v>
      </c>
      <c r="D294" s="20" t="s">
        <v>1377</v>
      </c>
      <c r="E294" s="20" t="s">
        <v>149</v>
      </c>
      <c r="F294" s="26">
        <f t="shared" si="16"/>
        <v>10</v>
      </c>
      <c r="G294" s="6">
        <f t="shared" si="16"/>
        <v>10</v>
      </c>
    </row>
    <row r="295" spans="1:7" s="252" customFormat="1" ht="47.25">
      <c r="A295" s="25" t="s">
        <v>150</v>
      </c>
      <c r="B295" s="20" t="s">
        <v>167</v>
      </c>
      <c r="C295" s="20" t="s">
        <v>255</v>
      </c>
      <c r="D295" s="20" t="s">
        <v>1377</v>
      </c>
      <c r="E295" s="20" t="s">
        <v>151</v>
      </c>
      <c r="F295" s="26">
        <f>'пр.6.1.ведом.21-22'!G260</f>
        <v>10</v>
      </c>
      <c r="G295" s="6">
        <f>'пр.6.1.ведом.21-22'!H260</f>
        <v>10</v>
      </c>
    </row>
    <row r="296" spans="1:7" ht="63">
      <c r="A296" s="23" t="s">
        <v>1256</v>
      </c>
      <c r="B296" s="24" t="s">
        <v>167</v>
      </c>
      <c r="C296" s="24" t="s">
        <v>255</v>
      </c>
      <c r="D296" s="24" t="s">
        <v>173</v>
      </c>
      <c r="E296" s="24"/>
      <c r="F296" s="62">
        <f>F297</f>
        <v>100</v>
      </c>
      <c r="G296" s="62">
        <f>G297</f>
        <v>100</v>
      </c>
    </row>
    <row r="297" spans="1:7" ht="47.25">
      <c r="A297" s="23" t="s">
        <v>1260</v>
      </c>
      <c r="B297" s="24" t="s">
        <v>167</v>
      </c>
      <c r="C297" s="24" t="s">
        <v>255</v>
      </c>
      <c r="D297" s="24" t="s">
        <v>1257</v>
      </c>
      <c r="E297" s="24"/>
      <c r="F297" s="62">
        <f>F298+F301</f>
        <v>100</v>
      </c>
      <c r="G297" s="62">
        <f>G298+G301</f>
        <v>100</v>
      </c>
    </row>
    <row r="298" spans="1:7" ht="31.5">
      <c r="A298" s="25" t="s">
        <v>1261</v>
      </c>
      <c r="B298" s="20" t="s">
        <v>167</v>
      </c>
      <c r="C298" s="20" t="s">
        <v>255</v>
      </c>
      <c r="D298" s="20" t="s">
        <v>1258</v>
      </c>
      <c r="E298" s="20"/>
      <c r="F298" s="6">
        <f>'Пр.5 Рд,пр, ЦС,ВР 20'!F298</f>
        <v>100</v>
      </c>
      <c r="G298" s="6">
        <f t="shared" si="15"/>
        <v>100</v>
      </c>
    </row>
    <row r="299" spans="1:7" ht="15.75">
      <c r="A299" s="25" t="s">
        <v>152</v>
      </c>
      <c r="B299" s="20" t="s">
        <v>167</v>
      </c>
      <c r="C299" s="20" t="s">
        <v>255</v>
      </c>
      <c r="D299" s="20" t="s">
        <v>1258</v>
      </c>
      <c r="E299" s="20" t="s">
        <v>162</v>
      </c>
      <c r="F299" s="6">
        <f>'Пр.5 Рд,пр, ЦС,ВР 20'!F299</f>
        <v>100</v>
      </c>
      <c r="G299" s="6">
        <f t="shared" si="15"/>
        <v>100</v>
      </c>
    </row>
    <row r="300" spans="1:7" ht="63">
      <c r="A300" s="25" t="s">
        <v>201</v>
      </c>
      <c r="B300" s="20" t="s">
        <v>167</v>
      </c>
      <c r="C300" s="20" t="s">
        <v>255</v>
      </c>
      <c r="D300" s="20" t="s">
        <v>1258</v>
      </c>
      <c r="E300" s="20" t="s">
        <v>177</v>
      </c>
      <c r="F300" s="6">
        <f>'Пр.5 Рд,пр, ЦС,ВР 20'!F300</f>
        <v>100</v>
      </c>
      <c r="G300" s="6">
        <f t="shared" si="15"/>
        <v>100</v>
      </c>
    </row>
    <row r="301" spans="1:7" ht="47.25" hidden="1">
      <c r="A301" s="25" t="s">
        <v>256</v>
      </c>
      <c r="B301" s="20" t="s">
        <v>167</v>
      </c>
      <c r="C301" s="20" t="s">
        <v>255</v>
      </c>
      <c r="D301" s="20" t="s">
        <v>1259</v>
      </c>
      <c r="E301" s="24"/>
      <c r="F301" s="6">
        <f>'Пр.5 Рд,пр, ЦС,ВР 20'!F301</f>
        <v>0</v>
      </c>
      <c r="G301" s="6">
        <f t="shared" si="15"/>
        <v>0</v>
      </c>
    </row>
    <row r="302" spans="1:7" ht="15.75" hidden="1">
      <c r="A302" s="25" t="s">
        <v>152</v>
      </c>
      <c r="B302" s="20" t="s">
        <v>167</v>
      </c>
      <c r="C302" s="20" t="s">
        <v>255</v>
      </c>
      <c r="D302" s="20" t="s">
        <v>1259</v>
      </c>
      <c r="E302" s="20" t="s">
        <v>162</v>
      </c>
      <c r="F302" s="6">
        <f>'Пр.5 Рд,пр, ЦС,ВР 20'!F302</f>
        <v>0</v>
      </c>
      <c r="G302" s="6">
        <f t="shared" si="15"/>
        <v>0</v>
      </c>
    </row>
    <row r="303" spans="1:7" ht="63" hidden="1">
      <c r="A303" s="25" t="s">
        <v>201</v>
      </c>
      <c r="B303" s="20" t="s">
        <v>167</v>
      </c>
      <c r="C303" s="20" t="s">
        <v>255</v>
      </c>
      <c r="D303" s="20" t="s">
        <v>1259</v>
      </c>
      <c r="E303" s="20" t="s">
        <v>177</v>
      </c>
      <c r="F303" s="6">
        <f>'Пр.5 Рд,пр, ЦС,ВР 20'!F303</f>
        <v>0</v>
      </c>
      <c r="G303" s="6">
        <f t="shared" si="15"/>
        <v>0</v>
      </c>
    </row>
    <row r="304" spans="1:7" ht="15.75">
      <c r="A304" s="23" t="s">
        <v>407</v>
      </c>
      <c r="B304" s="24" t="s">
        <v>251</v>
      </c>
      <c r="C304" s="24"/>
      <c r="D304" s="24"/>
      <c r="E304" s="24"/>
      <c r="F304" s="4">
        <f>F305++F319+F378+F427</f>
        <v>40437.296</v>
      </c>
      <c r="G304" s="4">
        <f>G305++G319+G378+G427</f>
        <v>40437.296</v>
      </c>
    </row>
    <row r="305" spans="1:7" ht="15.75">
      <c r="A305" s="23" t="s">
        <v>408</v>
      </c>
      <c r="B305" s="24" t="s">
        <v>251</v>
      </c>
      <c r="C305" s="24" t="s">
        <v>135</v>
      </c>
      <c r="D305" s="24"/>
      <c r="E305" s="24"/>
      <c r="F305" s="4">
        <f aca="true" t="shared" si="17" ref="F305:G306">F306</f>
        <v>6341</v>
      </c>
      <c r="G305" s="4">
        <f t="shared" si="17"/>
        <v>6341</v>
      </c>
    </row>
    <row r="306" spans="1:7" ht="15.75">
      <c r="A306" s="23" t="s">
        <v>158</v>
      </c>
      <c r="B306" s="24" t="s">
        <v>251</v>
      </c>
      <c r="C306" s="24" t="s">
        <v>135</v>
      </c>
      <c r="D306" s="24" t="s">
        <v>917</v>
      </c>
      <c r="E306" s="24"/>
      <c r="F306" s="4">
        <f t="shared" si="17"/>
        <v>6341</v>
      </c>
      <c r="G306" s="4">
        <f t="shared" si="17"/>
        <v>6341</v>
      </c>
    </row>
    <row r="307" spans="1:7" ht="31.5">
      <c r="A307" s="23" t="s">
        <v>921</v>
      </c>
      <c r="B307" s="24" t="s">
        <v>251</v>
      </c>
      <c r="C307" s="24" t="s">
        <v>135</v>
      </c>
      <c r="D307" s="24" t="s">
        <v>916</v>
      </c>
      <c r="E307" s="24"/>
      <c r="F307" s="4">
        <f>F308+F313+F316</f>
        <v>6341</v>
      </c>
      <c r="G307" s="4">
        <f>G308+G313+G316</f>
        <v>6341</v>
      </c>
    </row>
    <row r="308" spans="1:7" ht="31.5" hidden="1">
      <c r="A308" s="25" t="s">
        <v>532</v>
      </c>
      <c r="B308" s="20" t="s">
        <v>799</v>
      </c>
      <c r="C308" s="20" t="s">
        <v>135</v>
      </c>
      <c r="D308" s="20" t="s">
        <v>1104</v>
      </c>
      <c r="E308" s="24"/>
      <c r="F308" s="6">
        <f>'Пр.5 Рд,пр, ЦС,ВР 20'!F308</f>
        <v>0</v>
      </c>
      <c r="G308" s="6">
        <f t="shared" si="15"/>
        <v>0</v>
      </c>
    </row>
    <row r="309" spans="1:7" ht="31.5" hidden="1">
      <c r="A309" s="25" t="s">
        <v>148</v>
      </c>
      <c r="B309" s="20" t="s">
        <v>251</v>
      </c>
      <c r="C309" s="20" t="s">
        <v>135</v>
      </c>
      <c r="D309" s="20" t="s">
        <v>1104</v>
      </c>
      <c r="E309" s="20" t="s">
        <v>149</v>
      </c>
      <c r="F309" s="6">
        <f>'Пр.5 Рд,пр, ЦС,ВР 20'!F309</f>
        <v>0</v>
      </c>
      <c r="G309" s="6">
        <f t="shared" si="15"/>
        <v>0</v>
      </c>
    </row>
    <row r="310" spans="1:7" ht="47.25" hidden="1">
      <c r="A310" s="25" t="s">
        <v>150</v>
      </c>
      <c r="B310" s="20" t="s">
        <v>251</v>
      </c>
      <c r="C310" s="20" t="s">
        <v>135</v>
      </c>
      <c r="D310" s="20" t="s">
        <v>1104</v>
      </c>
      <c r="E310" s="20" t="s">
        <v>151</v>
      </c>
      <c r="F310" s="6">
        <f>'Пр.5 Рд,пр, ЦС,ВР 20'!F310</f>
        <v>0</v>
      </c>
      <c r="G310" s="6">
        <f t="shared" si="15"/>
        <v>0</v>
      </c>
    </row>
    <row r="311" spans="1:7" ht="15.75" hidden="1">
      <c r="A311" s="25" t="s">
        <v>152</v>
      </c>
      <c r="B311" s="20" t="s">
        <v>251</v>
      </c>
      <c r="C311" s="20" t="s">
        <v>135</v>
      </c>
      <c r="D311" s="20" t="s">
        <v>1104</v>
      </c>
      <c r="E311" s="20" t="s">
        <v>162</v>
      </c>
      <c r="F311" s="6">
        <f>'Пр.5 Рд,пр, ЦС,ВР 20'!F311</f>
        <v>0</v>
      </c>
      <c r="G311" s="6">
        <f t="shared" si="15"/>
        <v>0</v>
      </c>
    </row>
    <row r="312" spans="1:7" ht="63" hidden="1">
      <c r="A312" s="25" t="s">
        <v>201</v>
      </c>
      <c r="B312" s="20" t="s">
        <v>251</v>
      </c>
      <c r="C312" s="20" t="s">
        <v>135</v>
      </c>
      <c r="D312" s="20" t="s">
        <v>1104</v>
      </c>
      <c r="E312" s="20" t="s">
        <v>177</v>
      </c>
      <c r="F312" s="6">
        <f>'Пр.5 Рд,пр, ЦС,ВР 20'!F312</f>
        <v>0</v>
      </c>
      <c r="G312" s="6">
        <f t="shared" si="15"/>
        <v>0</v>
      </c>
    </row>
    <row r="313" spans="1:7" ht="31.5">
      <c r="A313" s="30" t="s">
        <v>415</v>
      </c>
      <c r="B313" s="20" t="s">
        <v>251</v>
      </c>
      <c r="C313" s="20" t="s">
        <v>135</v>
      </c>
      <c r="D313" s="20" t="s">
        <v>1105</v>
      </c>
      <c r="E313" s="24"/>
      <c r="F313" s="6">
        <f>'Пр.5 Рд,пр, ЦС,ВР 20'!F313</f>
        <v>4290.4</v>
      </c>
      <c r="G313" s="6">
        <f t="shared" si="15"/>
        <v>4290.4</v>
      </c>
    </row>
    <row r="314" spans="1:7" ht="31.5">
      <c r="A314" s="25" t="s">
        <v>148</v>
      </c>
      <c r="B314" s="20" t="s">
        <v>251</v>
      </c>
      <c r="C314" s="20" t="s">
        <v>135</v>
      </c>
      <c r="D314" s="20" t="s">
        <v>1105</v>
      </c>
      <c r="E314" s="20" t="s">
        <v>149</v>
      </c>
      <c r="F314" s="6">
        <f>'Пр.5 Рд,пр, ЦС,ВР 20'!F314</f>
        <v>4290.4</v>
      </c>
      <c r="G314" s="6">
        <f t="shared" si="15"/>
        <v>4290.4</v>
      </c>
    </row>
    <row r="315" spans="1:7" ht="47.25">
      <c r="A315" s="25" t="s">
        <v>150</v>
      </c>
      <c r="B315" s="20" t="s">
        <v>251</v>
      </c>
      <c r="C315" s="20" t="s">
        <v>135</v>
      </c>
      <c r="D315" s="20" t="s">
        <v>1105</v>
      </c>
      <c r="E315" s="20" t="s">
        <v>151</v>
      </c>
      <c r="F315" s="6">
        <f>'Пр.5 Рд,пр, ЦС,ВР 20'!F315</f>
        <v>4290.4</v>
      </c>
      <c r="G315" s="6">
        <f t="shared" si="15"/>
        <v>4290.4</v>
      </c>
    </row>
    <row r="316" spans="1:7" ht="47.25">
      <c r="A316" s="30" t="s">
        <v>1012</v>
      </c>
      <c r="B316" s="20" t="s">
        <v>251</v>
      </c>
      <c r="C316" s="20" t="s">
        <v>135</v>
      </c>
      <c r="D316" s="20" t="s">
        <v>1106</v>
      </c>
      <c r="E316" s="24"/>
      <c r="F316" s="6">
        <f>'Пр.5 Рд,пр, ЦС,ВР 20'!F316</f>
        <v>2050.6</v>
      </c>
      <c r="G316" s="6">
        <f t="shared" si="15"/>
        <v>2050.6</v>
      </c>
    </row>
    <row r="317" spans="1:7" ht="31.5">
      <c r="A317" s="25" t="s">
        <v>148</v>
      </c>
      <c r="B317" s="20" t="s">
        <v>251</v>
      </c>
      <c r="C317" s="20" t="s">
        <v>135</v>
      </c>
      <c r="D317" s="20" t="s">
        <v>1106</v>
      </c>
      <c r="E317" s="20" t="s">
        <v>149</v>
      </c>
      <c r="F317" s="6">
        <f>'Пр.5 Рд,пр, ЦС,ВР 20'!F317</f>
        <v>2050.6</v>
      </c>
      <c r="G317" s="6">
        <f t="shared" si="15"/>
        <v>2050.6</v>
      </c>
    </row>
    <row r="318" spans="1:7" ht="47.25">
      <c r="A318" s="25" t="s">
        <v>150</v>
      </c>
      <c r="B318" s="20" t="s">
        <v>251</v>
      </c>
      <c r="C318" s="20" t="s">
        <v>135</v>
      </c>
      <c r="D318" s="20" t="s">
        <v>1106</v>
      </c>
      <c r="E318" s="20" t="s">
        <v>151</v>
      </c>
      <c r="F318" s="6">
        <f>'Пр.5 Рд,пр, ЦС,ВР 20'!F318</f>
        <v>2050.6</v>
      </c>
      <c r="G318" s="6">
        <f t="shared" si="15"/>
        <v>2050.6</v>
      </c>
    </row>
    <row r="319" spans="1:7" ht="15.75">
      <c r="A319" s="23" t="s">
        <v>534</v>
      </c>
      <c r="B319" s="24" t="s">
        <v>251</v>
      </c>
      <c r="C319" s="24" t="s">
        <v>230</v>
      </c>
      <c r="D319" s="24"/>
      <c r="E319" s="24"/>
      <c r="F319" s="4">
        <f aca="true" t="shared" si="18" ref="F319:G319">F349+F320</f>
        <v>5700</v>
      </c>
      <c r="G319" s="4">
        <f t="shared" si="18"/>
        <v>5700</v>
      </c>
    </row>
    <row r="320" spans="1:7" ht="15.75">
      <c r="A320" s="23" t="s">
        <v>158</v>
      </c>
      <c r="B320" s="24" t="s">
        <v>251</v>
      </c>
      <c r="C320" s="24" t="s">
        <v>230</v>
      </c>
      <c r="D320" s="24" t="s">
        <v>917</v>
      </c>
      <c r="E320" s="24"/>
      <c r="F320" s="4">
        <f>F321+F332</f>
        <v>5000</v>
      </c>
      <c r="G320" s="4">
        <f>G321+G332</f>
        <v>5000</v>
      </c>
    </row>
    <row r="321" spans="1:7" ht="31.5">
      <c r="A321" s="23" t="s">
        <v>921</v>
      </c>
      <c r="B321" s="24" t="s">
        <v>251</v>
      </c>
      <c r="C321" s="24" t="s">
        <v>230</v>
      </c>
      <c r="D321" s="24" t="s">
        <v>916</v>
      </c>
      <c r="E321" s="24"/>
      <c r="F321" s="4">
        <f>F322+F327</f>
        <v>5000</v>
      </c>
      <c r="G321" s="4">
        <f>G322+G327</f>
        <v>5000</v>
      </c>
    </row>
    <row r="322" spans="1:7" ht="31.5" hidden="1">
      <c r="A322" s="36" t="s">
        <v>554</v>
      </c>
      <c r="B322" s="20" t="s">
        <v>251</v>
      </c>
      <c r="C322" s="20" t="s">
        <v>230</v>
      </c>
      <c r="D322" s="20" t="s">
        <v>1123</v>
      </c>
      <c r="E322" s="20"/>
      <c r="F322" s="6">
        <f>'Пр.5 Рд,пр, ЦС,ВР 20'!F322</f>
        <v>0</v>
      </c>
      <c r="G322" s="6">
        <f t="shared" si="15"/>
        <v>0</v>
      </c>
    </row>
    <row r="323" spans="1:7" ht="31.5" hidden="1">
      <c r="A323" s="25" t="s">
        <v>148</v>
      </c>
      <c r="B323" s="20" t="s">
        <v>251</v>
      </c>
      <c r="C323" s="20" t="s">
        <v>230</v>
      </c>
      <c r="D323" s="20" t="s">
        <v>1123</v>
      </c>
      <c r="E323" s="20" t="s">
        <v>149</v>
      </c>
      <c r="F323" s="6">
        <f>'Пр.5 Рд,пр, ЦС,ВР 20'!F323</f>
        <v>0</v>
      </c>
      <c r="G323" s="6">
        <f t="shared" si="15"/>
        <v>0</v>
      </c>
    </row>
    <row r="324" spans="1:7" ht="47.25" hidden="1">
      <c r="A324" s="25" t="s">
        <v>150</v>
      </c>
      <c r="B324" s="20" t="s">
        <v>251</v>
      </c>
      <c r="C324" s="20" t="s">
        <v>230</v>
      </c>
      <c r="D324" s="20" t="s">
        <v>1123</v>
      </c>
      <c r="E324" s="20" t="s">
        <v>151</v>
      </c>
      <c r="F324" s="6">
        <f>'Пр.5 Рд,пр, ЦС,ВР 20'!F324</f>
        <v>0</v>
      </c>
      <c r="G324" s="6">
        <f t="shared" si="15"/>
        <v>0</v>
      </c>
    </row>
    <row r="325" spans="1:7" ht="15.75" hidden="1">
      <c r="A325" s="25" t="s">
        <v>152</v>
      </c>
      <c r="B325" s="20" t="s">
        <v>251</v>
      </c>
      <c r="C325" s="20" t="s">
        <v>230</v>
      </c>
      <c r="D325" s="20" t="s">
        <v>1123</v>
      </c>
      <c r="E325" s="20" t="s">
        <v>162</v>
      </c>
      <c r="F325" s="6">
        <f>'Пр.5 Рд,пр, ЦС,ВР 20'!F325</f>
        <v>0</v>
      </c>
      <c r="G325" s="6">
        <f t="shared" si="15"/>
        <v>0</v>
      </c>
    </row>
    <row r="326" spans="1:7" ht="63" hidden="1">
      <c r="A326" s="25" t="s">
        <v>201</v>
      </c>
      <c r="B326" s="20" t="s">
        <v>251</v>
      </c>
      <c r="C326" s="20" t="s">
        <v>230</v>
      </c>
      <c r="D326" s="20" t="s">
        <v>1123</v>
      </c>
      <c r="E326" s="20" t="s">
        <v>177</v>
      </c>
      <c r="F326" s="6">
        <f>'Пр.5 Рд,пр, ЦС,ВР 20'!F326</f>
        <v>0</v>
      </c>
      <c r="G326" s="6">
        <f t="shared" si="15"/>
        <v>0</v>
      </c>
    </row>
    <row r="327" spans="1:7" ht="47.25">
      <c r="A327" s="30" t="s">
        <v>1012</v>
      </c>
      <c r="B327" s="20" t="s">
        <v>251</v>
      </c>
      <c r="C327" s="20" t="s">
        <v>230</v>
      </c>
      <c r="D327" s="20" t="s">
        <v>1106</v>
      </c>
      <c r="E327" s="20"/>
      <c r="F327" s="6">
        <f>'Пр.5 Рд,пр, ЦС,ВР 20'!F327</f>
        <v>5000</v>
      </c>
      <c r="G327" s="6">
        <f t="shared" si="15"/>
        <v>5000</v>
      </c>
    </row>
    <row r="328" spans="1:7" ht="31.5">
      <c r="A328" s="25" t="s">
        <v>148</v>
      </c>
      <c r="B328" s="20" t="s">
        <v>251</v>
      </c>
      <c r="C328" s="20" t="s">
        <v>230</v>
      </c>
      <c r="D328" s="20" t="s">
        <v>1106</v>
      </c>
      <c r="E328" s="20" t="s">
        <v>149</v>
      </c>
      <c r="F328" s="6">
        <f>'Пр.5 Рд,пр, ЦС,ВР 20'!F328</f>
        <v>5000</v>
      </c>
      <c r="G328" s="6">
        <f t="shared" si="15"/>
        <v>5000</v>
      </c>
    </row>
    <row r="329" spans="1:7" ht="47.25">
      <c r="A329" s="25" t="s">
        <v>150</v>
      </c>
      <c r="B329" s="20" t="s">
        <v>251</v>
      </c>
      <c r="C329" s="20" t="s">
        <v>230</v>
      </c>
      <c r="D329" s="20" t="s">
        <v>1106</v>
      </c>
      <c r="E329" s="20" t="s">
        <v>151</v>
      </c>
      <c r="F329" s="6">
        <f>'Пр.5 Рд,пр, ЦС,ВР 20'!F329</f>
        <v>5000</v>
      </c>
      <c r="G329" s="6">
        <f t="shared" si="15"/>
        <v>5000</v>
      </c>
    </row>
    <row r="330" spans="1:7" ht="15.75" hidden="1">
      <c r="A330" s="25" t="s">
        <v>152</v>
      </c>
      <c r="B330" s="20" t="s">
        <v>251</v>
      </c>
      <c r="C330" s="20" t="s">
        <v>230</v>
      </c>
      <c r="D330" s="20" t="s">
        <v>1106</v>
      </c>
      <c r="E330" s="20" t="s">
        <v>162</v>
      </c>
      <c r="F330" s="6">
        <f>'Пр.5 Рд,пр, ЦС,ВР 20'!F330</f>
        <v>0</v>
      </c>
      <c r="G330" s="6">
        <f t="shared" si="15"/>
        <v>0</v>
      </c>
    </row>
    <row r="331" spans="1:7" ht="15.75" hidden="1">
      <c r="A331" s="25" t="s">
        <v>163</v>
      </c>
      <c r="B331" s="20" t="s">
        <v>251</v>
      </c>
      <c r="C331" s="20" t="s">
        <v>230</v>
      </c>
      <c r="D331" s="20" t="s">
        <v>1106</v>
      </c>
      <c r="E331" s="20" t="s">
        <v>164</v>
      </c>
      <c r="F331" s="6">
        <f>'Пр.5 Рд,пр, ЦС,ВР 20'!F331</f>
        <v>0</v>
      </c>
      <c r="G331" s="6">
        <f t="shared" si="15"/>
        <v>0</v>
      </c>
    </row>
    <row r="332" spans="1:7" ht="63" hidden="1">
      <c r="A332" s="23" t="s">
        <v>1180</v>
      </c>
      <c r="B332" s="24" t="s">
        <v>251</v>
      </c>
      <c r="C332" s="24" t="s">
        <v>230</v>
      </c>
      <c r="D332" s="24" t="s">
        <v>1124</v>
      </c>
      <c r="E332" s="24"/>
      <c r="F332" s="4">
        <f>F333+F338+F341+F346</f>
        <v>0</v>
      </c>
      <c r="G332" s="4">
        <f>G333+G338+G341+G346</f>
        <v>0</v>
      </c>
    </row>
    <row r="333" spans="1:7" ht="47.25" hidden="1">
      <c r="A333" s="25" t="s">
        <v>877</v>
      </c>
      <c r="B333" s="20" t="s">
        <v>251</v>
      </c>
      <c r="C333" s="20" t="s">
        <v>230</v>
      </c>
      <c r="D333" s="20" t="s">
        <v>1125</v>
      </c>
      <c r="E333" s="20"/>
      <c r="F333" s="6">
        <f>'Пр.5 Рд,пр, ЦС,ВР 20'!F333</f>
        <v>0</v>
      </c>
      <c r="G333" s="6">
        <f aca="true" t="shared" si="19" ref="G333:G396">F333</f>
        <v>0</v>
      </c>
    </row>
    <row r="334" spans="1:7" ht="31.5" hidden="1">
      <c r="A334" s="25" t="s">
        <v>148</v>
      </c>
      <c r="B334" s="20" t="s">
        <v>251</v>
      </c>
      <c r="C334" s="20" t="s">
        <v>230</v>
      </c>
      <c r="D334" s="20" t="s">
        <v>1125</v>
      </c>
      <c r="E334" s="20" t="s">
        <v>149</v>
      </c>
      <c r="F334" s="6">
        <f>'Пр.5 Рд,пр, ЦС,ВР 20'!F334</f>
        <v>0</v>
      </c>
      <c r="G334" s="6">
        <f t="shared" si="19"/>
        <v>0</v>
      </c>
    </row>
    <row r="335" spans="1:7" ht="47.25" hidden="1">
      <c r="A335" s="25" t="s">
        <v>150</v>
      </c>
      <c r="B335" s="20" t="s">
        <v>251</v>
      </c>
      <c r="C335" s="20" t="s">
        <v>230</v>
      </c>
      <c r="D335" s="20" t="s">
        <v>1125</v>
      </c>
      <c r="E335" s="20" t="s">
        <v>151</v>
      </c>
      <c r="F335" s="6">
        <f>'Пр.5 Рд,пр, ЦС,ВР 20'!F335</f>
        <v>0</v>
      </c>
      <c r="G335" s="6">
        <f t="shared" si="19"/>
        <v>0</v>
      </c>
    </row>
    <row r="336" spans="1:7" ht="15.75" hidden="1">
      <c r="A336" s="25" t="s">
        <v>152</v>
      </c>
      <c r="B336" s="20" t="s">
        <v>251</v>
      </c>
      <c r="C336" s="20" t="s">
        <v>230</v>
      </c>
      <c r="D336" s="20" t="s">
        <v>1125</v>
      </c>
      <c r="E336" s="20" t="s">
        <v>887</v>
      </c>
      <c r="F336" s="6">
        <f>'Пр.5 Рд,пр, ЦС,ВР 20'!F336</f>
        <v>0</v>
      </c>
      <c r="G336" s="6">
        <f t="shared" si="19"/>
        <v>0</v>
      </c>
    </row>
    <row r="337" spans="1:7" ht="31.5" hidden="1">
      <c r="A337" s="25" t="s">
        <v>585</v>
      </c>
      <c r="B337" s="20" t="s">
        <v>251</v>
      </c>
      <c r="C337" s="20" t="s">
        <v>230</v>
      </c>
      <c r="D337" s="20" t="s">
        <v>1125</v>
      </c>
      <c r="E337" s="20" t="s">
        <v>1263</v>
      </c>
      <c r="F337" s="6">
        <f>'Пр.5 Рд,пр, ЦС,ВР 20'!F337</f>
        <v>0</v>
      </c>
      <c r="G337" s="6">
        <f t="shared" si="19"/>
        <v>0</v>
      </c>
    </row>
    <row r="338" spans="1:7" ht="78.75" hidden="1">
      <c r="A338" s="25" t="s">
        <v>826</v>
      </c>
      <c r="B338" s="20" t="s">
        <v>251</v>
      </c>
      <c r="C338" s="20" t="s">
        <v>230</v>
      </c>
      <c r="D338" s="20" t="s">
        <v>1126</v>
      </c>
      <c r="E338" s="20"/>
      <c r="F338" s="6">
        <f>'Пр.5 Рд,пр, ЦС,ВР 20'!F338</f>
        <v>0</v>
      </c>
      <c r="G338" s="6">
        <f t="shared" si="19"/>
        <v>0</v>
      </c>
    </row>
    <row r="339" spans="1:7" ht="31.5" hidden="1">
      <c r="A339" s="25" t="s">
        <v>148</v>
      </c>
      <c r="B339" s="20" t="s">
        <v>251</v>
      </c>
      <c r="C339" s="20" t="s">
        <v>230</v>
      </c>
      <c r="D339" s="20" t="s">
        <v>1126</v>
      </c>
      <c r="E339" s="20" t="s">
        <v>149</v>
      </c>
      <c r="F339" s="6">
        <f>'Пр.5 Рд,пр, ЦС,ВР 20'!F339</f>
        <v>0</v>
      </c>
      <c r="G339" s="6">
        <f t="shared" si="19"/>
        <v>0</v>
      </c>
    </row>
    <row r="340" spans="1:7" ht="47.25" hidden="1">
      <c r="A340" s="25" t="s">
        <v>150</v>
      </c>
      <c r="B340" s="20" t="s">
        <v>251</v>
      </c>
      <c r="C340" s="20" t="s">
        <v>230</v>
      </c>
      <c r="D340" s="20" t="s">
        <v>1126</v>
      </c>
      <c r="E340" s="20" t="s">
        <v>151</v>
      </c>
      <c r="F340" s="6">
        <f>'Пр.5 Рд,пр, ЦС,ВР 20'!F340</f>
        <v>0</v>
      </c>
      <c r="G340" s="6">
        <f t="shared" si="19"/>
        <v>0</v>
      </c>
    </row>
    <row r="341" spans="1:7" ht="63" hidden="1">
      <c r="A341" s="105" t="s">
        <v>883</v>
      </c>
      <c r="B341" s="20" t="s">
        <v>251</v>
      </c>
      <c r="C341" s="20" t="s">
        <v>230</v>
      </c>
      <c r="D341" s="20" t="s">
        <v>1127</v>
      </c>
      <c r="E341" s="20"/>
      <c r="F341" s="6">
        <f>'Пр.5 Рд,пр, ЦС,ВР 20'!F341</f>
        <v>0</v>
      </c>
      <c r="G341" s="6">
        <f t="shared" si="19"/>
        <v>0</v>
      </c>
    </row>
    <row r="342" spans="1:7" ht="47.25" hidden="1">
      <c r="A342" s="25" t="s">
        <v>888</v>
      </c>
      <c r="B342" s="20" t="s">
        <v>251</v>
      </c>
      <c r="C342" s="20" t="s">
        <v>230</v>
      </c>
      <c r="D342" s="20" t="s">
        <v>1127</v>
      </c>
      <c r="E342" s="20" t="s">
        <v>887</v>
      </c>
      <c r="F342" s="6">
        <f>'Пр.5 Рд,пр, ЦС,ВР 20'!F342</f>
        <v>0</v>
      </c>
      <c r="G342" s="6">
        <f t="shared" si="19"/>
        <v>0</v>
      </c>
    </row>
    <row r="343" spans="1:7" ht="78.75" hidden="1">
      <c r="A343" s="25" t="s">
        <v>1241</v>
      </c>
      <c r="B343" s="20" t="s">
        <v>251</v>
      </c>
      <c r="C343" s="20" t="s">
        <v>230</v>
      </c>
      <c r="D343" s="20" t="s">
        <v>1127</v>
      </c>
      <c r="E343" s="20" t="s">
        <v>1263</v>
      </c>
      <c r="F343" s="6">
        <f>'Пр.5 Рд,пр, ЦС,ВР 20'!F343</f>
        <v>0</v>
      </c>
      <c r="G343" s="6">
        <f t="shared" si="19"/>
        <v>0</v>
      </c>
    </row>
    <row r="344" spans="1:7" ht="15.75" hidden="1">
      <c r="A344" s="25" t="s">
        <v>152</v>
      </c>
      <c r="B344" s="20" t="s">
        <v>251</v>
      </c>
      <c r="C344" s="20" t="s">
        <v>230</v>
      </c>
      <c r="D344" s="20" t="s">
        <v>1127</v>
      </c>
      <c r="E344" s="20" t="s">
        <v>162</v>
      </c>
      <c r="F344" s="6">
        <f>'Пр.5 Рд,пр, ЦС,ВР 20'!F344</f>
        <v>0</v>
      </c>
      <c r="G344" s="6">
        <f t="shared" si="19"/>
        <v>0</v>
      </c>
    </row>
    <row r="345" spans="1:7" ht="15.75" hidden="1">
      <c r="A345" s="25" t="s">
        <v>729</v>
      </c>
      <c r="B345" s="20" t="s">
        <v>251</v>
      </c>
      <c r="C345" s="20" t="s">
        <v>230</v>
      </c>
      <c r="D345" s="20" t="s">
        <v>1127</v>
      </c>
      <c r="E345" s="20" t="s">
        <v>155</v>
      </c>
      <c r="F345" s="6">
        <f>'Пр.5 Рд,пр, ЦС,ВР 20'!F345</f>
        <v>0</v>
      </c>
      <c r="G345" s="6">
        <f t="shared" si="19"/>
        <v>0</v>
      </c>
    </row>
    <row r="346" spans="1:7" ht="47.25" hidden="1">
      <c r="A346" s="25" t="s">
        <v>1264</v>
      </c>
      <c r="B346" s="20" t="s">
        <v>251</v>
      </c>
      <c r="C346" s="20" t="s">
        <v>230</v>
      </c>
      <c r="D346" s="20" t="s">
        <v>1265</v>
      </c>
      <c r="E346" s="20"/>
      <c r="F346" s="6">
        <f>'Пр.5 Рд,пр, ЦС,ВР 20'!F346</f>
        <v>0</v>
      </c>
      <c r="G346" s="6">
        <f t="shared" si="19"/>
        <v>0</v>
      </c>
    </row>
    <row r="347" spans="1:7" ht="31.5" hidden="1">
      <c r="A347" s="25" t="s">
        <v>148</v>
      </c>
      <c r="B347" s="20" t="s">
        <v>251</v>
      </c>
      <c r="C347" s="20" t="s">
        <v>230</v>
      </c>
      <c r="D347" s="20" t="s">
        <v>1265</v>
      </c>
      <c r="E347" s="20" t="s">
        <v>149</v>
      </c>
      <c r="F347" s="6">
        <f>'Пр.5 Рд,пр, ЦС,ВР 20'!F347</f>
        <v>0</v>
      </c>
      <c r="G347" s="6">
        <f t="shared" si="19"/>
        <v>0</v>
      </c>
    </row>
    <row r="348" spans="1:7" ht="47.25" hidden="1">
      <c r="A348" s="25" t="s">
        <v>150</v>
      </c>
      <c r="B348" s="20" t="s">
        <v>251</v>
      </c>
      <c r="C348" s="20" t="s">
        <v>230</v>
      </c>
      <c r="D348" s="20" t="s">
        <v>1265</v>
      </c>
      <c r="E348" s="20" t="s">
        <v>151</v>
      </c>
      <c r="F348" s="6">
        <f>'Пр.5 Рд,пр, ЦС,ВР 20'!F348</f>
        <v>0</v>
      </c>
      <c r="G348" s="6">
        <f t="shared" si="19"/>
        <v>0</v>
      </c>
    </row>
    <row r="349" spans="1:7" ht="78.75">
      <c r="A349" s="23" t="s">
        <v>1394</v>
      </c>
      <c r="B349" s="24" t="s">
        <v>251</v>
      </c>
      <c r="C349" s="24" t="s">
        <v>230</v>
      </c>
      <c r="D349" s="24" t="s">
        <v>535</v>
      </c>
      <c r="E349" s="24"/>
      <c r="F349" s="4">
        <f>F350+F354+F358+F362+F366+F370+F374</f>
        <v>700</v>
      </c>
      <c r="G349" s="4">
        <f>G350+G354+G358+G362+G366+G370+G374</f>
        <v>700</v>
      </c>
    </row>
    <row r="350" spans="1:7" ht="31.5">
      <c r="A350" s="23" t="s">
        <v>1107</v>
      </c>
      <c r="B350" s="24" t="s">
        <v>251</v>
      </c>
      <c r="C350" s="24" t="s">
        <v>230</v>
      </c>
      <c r="D350" s="24" t="s">
        <v>1109</v>
      </c>
      <c r="E350" s="24"/>
      <c r="F350" s="4">
        <f aca="true" t="shared" si="20" ref="F350:G352">F351</f>
        <v>700</v>
      </c>
      <c r="G350" s="4">
        <f t="shared" si="20"/>
        <v>700</v>
      </c>
    </row>
    <row r="351" spans="1:7" ht="15.75">
      <c r="A351" s="46" t="s">
        <v>1108</v>
      </c>
      <c r="B351" s="41" t="s">
        <v>251</v>
      </c>
      <c r="C351" s="41" t="s">
        <v>230</v>
      </c>
      <c r="D351" s="20" t="s">
        <v>1110</v>
      </c>
      <c r="E351" s="41"/>
      <c r="F351" s="6">
        <f t="shared" si="20"/>
        <v>700</v>
      </c>
      <c r="G351" s="6">
        <f t="shared" si="20"/>
        <v>700</v>
      </c>
    </row>
    <row r="352" spans="1:7" ht="31.5">
      <c r="A352" s="32" t="s">
        <v>148</v>
      </c>
      <c r="B352" s="41" t="s">
        <v>251</v>
      </c>
      <c r="C352" s="41" t="s">
        <v>230</v>
      </c>
      <c r="D352" s="20" t="s">
        <v>1110</v>
      </c>
      <c r="E352" s="41" t="s">
        <v>149</v>
      </c>
      <c r="F352" s="6">
        <f t="shared" si="20"/>
        <v>700</v>
      </c>
      <c r="G352" s="6">
        <f t="shared" si="20"/>
        <v>700</v>
      </c>
    </row>
    <row r="353" spans="1:7" ht="47.25">
      <c r="A353" s="32" t="s">
        <v>150</v>
      </c>
      <c r="B353" s="41" t="s">
        <v>251</v>
      </c>
      <c r="C353" s="41" t="s">
        <v>230</v>
      </c>
      <c r="D353" s="20" t="s">
        <v>1110</v>
      </c>
      <c r="E353" s="41" t="s">
        <v>151</v>
      </c>
      <c r="F353" s="6">
        <f>'пр.6.1.ведом.21-22'!G872</f>
        <v>700</v>
      </c>
      <c r="G353" s="6">
        <f>'пр.6.1.ведом.21-22'!H872</f>
        <v>700</v>
      </c>
    </row>
    <row r="354" spans="1:7" ht="31.5" hidden="1">
      <c r="A354" s="35" t="s">
        <v>1111</v>
      </c>
      <c r="B354" s="7" t="s">
        <v>251</v>
      </c>
      <c r="C354" s="7" t="s">
        <v>230</v>
      </c>
      <c r="D354" s="24" t="s">
        <v>1112</v>
      </c>
      <c r="E354" s="7"/>
      <c r="F354" s="4">
        <f>F355</f>
        <v>0</v>
      </c>
      <c r="G354" s="4">
        <f>G355</f>
        <v>0</v>
      </c>
    </row>
    <row r="355" spans="1:7" ht="15.75" hidden="1">
      <c r="A355" s="46" t="s">
        <v>540</v>
      </c>
      <c r="B355" s="41" t="s">
        <v>251</v>
      </c>
      <c r="C355" s="41" t="s">
        <v>230</v>
      </c>
      <c r="D355" s="20" t="s">
        <v>1115</v>
      </c>
      <c r="E355" s="41"/>
      <c r="F355" s="6">
        <f>'Пр.5 Рд,пр, ЦС,ВР 20'!F355</f>
        <v>0</v>
      </c>
      <c r="G355" s="6">
        <f t="shared" si="19"/>
        <v>0</v>
      </c>
    </row>
    <row r="356" spans="1:7" ht="31.5" hidden="1">
      <c r="A356" s="32" t="s">
        <v>148</v>
      </c>
      <c r="B356" s="41" t="s">
        <v>251</v>
      </c>
      <c r="C356" s="41" t="s">
        <v>230</v>
      </c>
      <c r="D356" s="20" t="s">
        <v>1115</v>
      </c>
      <c r="E356" s="41" t="s">
        <v>149</v>
      </c>
      <c r="F356" s="6">
        <f>'Пр.5 Рд,пр, ЦС,ВР 20'!F356</f>
        <v>0</v>
      </c>
      <c r="G356" s="6">
        <f t="shared" si="19"/>
        <v>0</v>
      </c>
    </row>
    <row r="357" spans="1:7" ht="47.25" hidden="1">
      <c r="A357" s="32" t="s">
        <v>150</v>
      </c>
      <c r="B357" s="41" t="s">
        <v>251</v>
      </c>
      <c r="C357" s="41" t="s">
        <v>230</v>
      </c>
      <c r="D357" s="20" t="s">
        <v>1115</v>
      </c>
      <c r="E357" s="41" t="s">
        <v>151</v>
      </c>
      <c r="F357" s="6">
        <f>'Пр.5 Рд,пр, ЦС,ВР 20'!F357</f>
        <v>0</v>
      </c>
      <c r="G357" s="6">
        <f t="shared" si="19"/>
        <v>0</v>
      </c>
    </row>
    <row r="358" spans="1:7" ht="31.5" hidden="1">
      <c r="A358" s="60" t="s">
        <v>1113</v>
      </c>
      <c r="B358" s="7" t="s">
        <v>251</v>
      </c>
      <c r="C358" s="7" t="s">
        <v>230</v>
      </c>
      <c r="D358" s="24" t="s">
        <v>1114</v>
      </c>
      <c r="E358" s="7"/>
      <c r="F358" s="4">
        <f>F359</f>
        <v>0</v>
      </c>
      <c r="G358" s="4">
        <f>G359</f>
        <v>0</v>
      </c>
    </row>
    <row r="359" spans="1:7" ht="15.75" hidden="1">
      <c r="A359" s="46" t="s">
        <v>542</v>
      </c>
      <c r="B359" s="41" t="s">
        <v>251</v>
      </c>
      <c r="C359" s="41" t="s">
        <v>230</v>
      </c>
      <c r="D359" s="20" t="s">
        <v>1116</v>
      </c>
      <c r="E359" s="41"/>
      <c r="F359" s="6">
        <f>'Пр.5 Рд,пр, ЦС,ВР 20'!F359</f>
        <v>0</v>
      </c>
      <c r="G359" s="6">
        <f t="shared" si="19"/>
        <v>0</v>
      </c>
    </row>
    <row r="360" spans="1:7" ht="31.5" hidden="1">
      <c r="A360" s="32" t="s">
        <v>148</v>
      </c>
      <c r="B360" s="41" t="s">
        <v>251</v>
      </c>
      <c r="C360" s="41" t="s">
        <v>230</v>
      </c>
      <c r="D360" s="20" t="s">
        <v>1116</v>
      </c>
      <c r="E360" s="41" t="s">
        <v>149</v>
      </c>
      <c r="F360" s="6">
        <f>'Пр.5 Рд,пр, ЦС,ВР 20'!F360</f>
        <v>0</v>
      </c>
      <c r="G360" s="6">
        <f t="shared" si="19"/>
        <v>0</v>
      </c>
    </row>
    <row r="361" spans="1:7" ht="47.25" hidden="1">
      <c r="A361" s="32" t="s">
        <v>150</v>
      </c>
      <c r="B361" s="41" t="s">
        <v>251</v>
      </c>
      <c r="C361" s="41" t="s">
        <v>230</v>
      </c>
      <c r="D361" s="20" t="s">
        <v>1116</v>
      </c>
      <c r="E361" s="41" t="s">
        <v>151</v>
      </c>
      <c r="F361" s="6">
        <f>'Пр.5 Рд,пр, ЦС,ВР 20'!F361</f>
        <v>0</v>
      </c>
      <c r="G361" s="6">
        <f t="shared" si="19"/>
        <v>0</v>
      </c>
    </row>
    <row r="362" spans="1:7" ht="31.5" hidden="1">
      <c r="A362" s="60" t="s">
        <v>1117</v>
      </c>
      <c r="B362" s="7" t="s">
        <v>251</v>
      </c>
      <c r="C362" s="7" t="s">
        <v>230</v>
      </c>
      <c r="D362" s="24" t="s">
        <v>1118</v>
      </c>
      <c r="E362" s="7"/>
      <c r="F362" s="4">
        <f>F363</f>
        <v>0</v>
      </c>
      <c r="G362" s="4">
        <f>G363</f>
        <v>0</v>
      </c>
    </row>
    <row r="363" spans="1:7" ht="31.5" hidden="1">
      <c r="A363" s="46" t="s">
        <v>544</v>
      </c>
      <c r="B363" s="41" t="s">
        <v>251</v>
      </c>
      <c r="C363" s="41" t="s">
        <v>230</v>
      </c>
      <c r="D363" s="20" t="s">
        <v>1119</v>
      </c>
      <c r="E363" s="41"/>
      <c r="F363" s="6">
        <f>'Пр.5 Рд,пр, ЦС,ВР 20'!F363</f>
        <v>0</v>
      </c>
      <c r="G363" s="6">
        <f t="shared" si="19"/>
        <v>0</v>
      </c>
    </row>
    <row r="364" spans="1:7" ht="31.5" hidden="1">
      <c r="A364" s="32" t="s">
        <v>148</v>
      </c>
      <c r="B364" s="41" t="s">
        <v>251</v>
      </c>
      <c r="C364" s="41" t="s">
        <v>230</v>
      </c>
      <c r="D364" s="20" t="s">
        <v>1119</v>
      </c>
      <c r="E364" s="41" t="s">
        <v>149</v>
      </c>
      <c r="F364" s="6">
        <f>'Пр.5 Рд,пр, ЦС,ВР 20'!F364</f>
        <v>0</v>
      </c>
      <c r="G364" s="6">
        <f t="shared" si="19"/>
        <v>0</v>
      </c>
    </row>
    <row r="365" spans="1:7" ht="47.25" hidden="1">
      <c r="A365" s="32" t="s">
        <v>150</v>
      </c>
      <c r="B365" s="41" t="s">
        <v>251</v>
      </c>
      <c r="C365" s="41" t="s">
        <v>230</v>
      </c>
      <c r="D365" s="20" t="s">
        <v>1119</v>
      </c>
      <c r="E365" s="41" t="s">
        <v>151</v>
      </c>
      <c r="F365" s="6">
        <f>'Пр.5 Рд,пр, ЦС,ВР 20'!F365</f>
        <v>0</v>
      </c>
      <c r="G365" s="6">
        <f t="shared" si="19"/>
        <v>0</v>
      </c>
    </row>
    <row r="366" spans="1:7" ht="31.5" hidden="1">
      <c r="A366" s="35" t="s">
        <v>1181</v>
      </c>
      <c r="B366" s="7" t="s">
        <v>251</v>
      </c>
      <c r="C366" s="7" t="s">
        <v>230</v>
      </c>
      <c r="D366" s="24" t="s">
        <v>1182</v>
      </c>
      <c r="E366" s="7"/>
      <c r="F366" s="4">
        <f>F367</f>
        <v>0</v>
      </c>
      <c r="G366" s="4">
        <f>G367</f>
        <v>0</v>
      </c>
    </row>
    <row r="367" spans="1:7" ht="15.75" hidden="1">
      <c r="A367" s="46" t="s">
        <v>546</v>
      </c>
      <c r="B367" s="41" t="s">
        <v>251</v>
      </c>
      <c r="C367" s="41" t="s">
        <v>230</v>
      </c>
      <c r="D367" s="20" t="s">
        <v>1185</v>
      </c>
      <c r="E367" s="41"/>
      <c r="F367" s="6">
        <f>'Пр.5 Рд,пр, ЦС,ВР 20'!F367</f>
        <v>0</v>
      </c>
      <c r="G367" s="6">
        <f t="shared" si="19"/>
        <v>0</v>
      </c>
    </row>
    <row r="368" spans="1:7" ht="31.5" hidden="1">
      <c r="A368" s="32" t="s">
        <v>148</v>
      </c>
      <c r="B368" s="41" t="s">
        <v>251</v>
      </c>
      <c r="C368" s="41" t="s">
        <v>230</v>
      </c>
      <c r="D368" s="20" t="s">
        <v>1185</v>
      </c>
      <c r="E368" s="41" t="s">
        <v>149</v>
      </c>
      <c r="F368" s="6">
        <f>'Пр.5 Рд,пр, ЦС,ВР 20'!F368</f>
        <v>0</v>
      </c>
      <c r="G368" s="6">
        <f t="shared" si="19"/>
        <v>0</v>
      </c>
    </row>
    <row r="369" spans="1:7" ht="47.25" hidden="1">
      <c r="A369" s="32" t="s">
        <v>150</v>
      </c>
      <c r="B369" s="41" t="s">
        <v>251</v>
      </c>
      <c r="C369" s="41" t="s">
        <v>230</v>
      </c>
      <c r="D369" s="20" t="s">
        <v>1185</v>
      </c>
      <c r="E369" s="41" t="s">
        <v>151</v>
      </c>
      <c r="F369" s="6">
        <f>'Пр.5 Рд,пр, ЦС,ВР 20'!F369</f>
        <v>0</v>
      </c>
      <c r="G369" s="6">
        <f t="shared" si="19"/>
        <v>0</v>
      </c>
    </row>
    <row r="370" spans="1:7" ht="47.25" hidden="1">
      <c r="A370" s="321" t="s">
        <v>1183</v>
      </c>
      <c r="B370" s="7" t="s">
        <v>251</v>
      </c>
      <c r="C370" s="7" t="s">
        <v>230</v>
      </c>
      <c r="D370" s="24" t="s">
        <v>1184</v>
      </c>
      <c r="E370" s="7"/>
      <c r="F370" s="4">
        <f>F371</f>
        <v>0</v>
      </c>
      <c r="G370" s="4">
        <f>G371</f>
        <v>0</v>
      </c>
    </row>
    <row r="371" spans="1:7" ht="31.5" hidden="1">
      <c r="A371" s="188" t="s">
        <v>548</v>
      </c>
      <c r="B371" s="41" t="s">
        <v>251</v>
      </c>
      <c r="C371" s="41" t="s">
        <v>230</v>
      </c>
      <c r="D371" s="20" t="s">
        <v>1186</v>
      </c>
      <c r="E371" s="41"/>
      <c r="F371" s="6">
        <f>'Пр.5 Рд,пр, ЦС,ВР 20'!F371</f>
        <v>0</v>
      </c>
      <c r="G371" s="6">
        <f t="shared" si="19"/>
        <v>0</v>
      </c>
    </row>
    <row r="372" spans="1:7" ht="31.5" hidden="1">
      <c r="A372" s="32" t="s">
        <v>148</v>
      </c>
      <c r="B372" s="41" t="s">
        <v>251</v>
      </c>
      <c r="C372" s="41" t="s">
        <v>230</v>
      </c>
      <c r="D372" s="20" t="s">
        <v>1186</v>
      </c>
      <c r="E372" s="41" t="s">
        <v>149</v>
      </c>
      <c r="F372" s="6">
        <f>'Пр.5 Рд,пр, ЦС,ВР 20'!F372</f>
        <v>0</v>
      </c>
      <c r="G372" s="6">
        <f t="shared" si="19"/>
        <v>0</v>
      </c>
    </row>
    <row r="373" spans="1:7" ht="47.25" hidden="1">
      <c r="A373" s="32" t="s">
        <v>150</v>
      </c>
      <c r="B373" s="41" t="s">
        <v>251</v>
      </c>
      <c r="C373" s="41" t="s">
        <v>230</v>
      </c>
      <c r="D373" s="20" t="s">
        <v>1186</v>
      </c>
      <c r="E373" s="41" t="s">
        <v>151</v>
      </c>
      <c r="F373" s="6">
        <f>'Пр.5 Рд,пр, ЦС,ВР 20'!F373</f>
        <v>0</v>
      </c>
      <c r="G373" s="6">
        <f t="shared" si="19"/>
        <v>0</v>
      </c>
    </row>
    <row r="374" spans="1:7" ht="31.5" hidden="1">
      <c r="A374" s="321" t="s">
        <v>1121</v>
      </c>
      <c r="B374" s="7" t="s">
        <v>251</v>
      </c>
      <c r="C374" s="7" t="s">
        <v>230</v>
      </c>
      <c r="D374" s="24" t="s">
        <v>1122</v>
      </c>
      <c r="E374" s="7"/>
      <c r="F374" s="4">
        <f>F375</f>
        <v>0</v>
      </c>
      <c r="G374" s="4">
        <f>G375</f>
        <v>0</v>
      </c>
    </row>
    <row r="375" spans="1:7" ht="31.5" hidden="1">
      <c r="A375" s="188" t="s">
        <v>550</v>
      </c>
      <c r="B375" s="41" t="s">
        <v>251</v>
      </c>
      <c r="C375" s="41" t="s">
        <v>230</v>
      </c>
      <c r="D375" s="20" t="s">
        <v>1120</v>
      </c>
      <c r="E375" s="41"/>
      <c r="F375" s="6">
        <f>'Пр.5 Рд,пр, ЦС,ВР 20'!F375</f>
        <v>0</v>
      </c>
      <c r="G375" s="6">
        <f t="shared" si="19"/>
        <v>0</v>
      </c>
    </row>
    <row r="376" spans="1:7" ht="31.5" hidden="1">
      <c r="A376" s="25" t="s">
        <v>148</v>
      </c>
      <c r="B376" s="41" t="s">
        <v>251</v>
      </c>
      <c r="C376" s="41" t="s">
        <v>230</v>
      </c>
      <c r="D376" s="20" t="s">
        <v>1120</v>
      </c>
      <c r="E376" s="41" t="s">
        <v>149</v>
      </c>
      <c r="F376" s="6">
        <f>'Пр.5 Рд,пр, ЦС,ВР 20'!F376</f>
        <v>0</v>
      </c>
      <c r="G376" s="6">
        <f t="shared" si="19"/>
        <v>0</v>
      </c>
    </row>
    <row r="377" spans="1:7" ht="47.25" hidden="1">
      <c r="A377" s="25" t="s">
        <v>150</v>
      </c>
      <c r="B377" s="41" t="s">
        <v>251</v>
      </c>
      <c r="C377" s="41" t="s">
        <v>230</v>
      </c>
      <c r="D377" s="20" t="s">
        <v>1120</v>
      </c>
      <c r="E377" s="41" t="s">
        <v>151</v>
      </c>
      <c r="F377" s="6">
        <f>'Пр.5 Рд,пр, ЦС,ВР 20'!F377</f>
        <v>0</v>
      </c>
      <c r="G377" s="6">
        <f t="shared" si="19"/>
        <v>0</v>
      </c>
    </row>
    <row r="378" spans="1:7" ht="15.75">
      <c r="A378" s="42" t="s">
        <v>558</v>
      </c>
      <c r="B378" s="7" t="s">
        <v>251</v>
      </c>
      <c r="C378" s="7" t="s">
        <v>232</v>
      </c>
      <c r="D378" s="7"/>
      <c r="E378" s="7"/>
      <c r="F378" s="4">
        <f>F379+F384+F422</f>
        <v>4683.9</v>
      </c>
      <c r="G378" s="4">
        <f>G379+G384+G422</f>
        <v>4683.9</v>
      </c>
    </row>
    <row r="379" spans="1:7" ht="15.75">
      <c r="A379" s="23" t="s">
        <v>158</v>
      </c>
      <c r="B379" s="24" t="s">
        <v>251</v>
      </c>
      <c r="C379" s="24" t="s">
        <v>232</v>
      </c>
      <c r="D379" s="24" t="s">
        <v>917</v>
      </c>
      <c r="E379" s="24"/>
      <c r="F379" s="4">
        <f>F380</f>
        <v>390</v>
      </c>
      <c r="G379" s="4">
        <f>G380</f>
        <v>390</v>
      </c>
    </row>
    <row r="380" spans="1:7" ht="31.5">
      <c r="A380" s="23" t="s">
        <v>921</v>
      </c>
      <c r="B380" s="24" t="s">
        <v>251</v>
      </c>
      <c r="C380" s="24" t="s">
        <v>232</v>
      </c>
      <c r="D380" s="24" t="s">
        <v>916</v>
      </c>
      <c r="E380" s="24"/>
      <c r="F380" s="4">
        <f>F381</f>
        <v>390</v>
      </c>
      <c r="G380" s="4">
        <f>G381</f>
        <v>390</v>
      </c>
    </row>
    <row r="381" spans="1:7" ht="15.75">
      <c r="A381" s="25" t="s">
        <v>581</v>
      </c>
      <c r="B381" s="20" t="s">
        <v>251</v>
      </c>
      <c r="C381" s="20" t="s">
        <v>232</v>
      </c>
      <c r="D381" s="20" t="s">
        <v>1278</v>
      </c>
      <c r="E381" s="20"/>
      <c r="F381" s="6">
        <f>'Пр.5 Рд,пр, ЦС,ВР 20'!F381</f>
        <v>390</v>
      </c>
      <c r="G381" s="6">
        <f t="shared" si="19"/>
        <v>390</v>
      </c>
    </row>
    <row r="382" spans="1:7" ht="31.5">
      <c r="A382" s="25" t="s">
        <v>148</v>
      </c>
      <c r="B382" s="20" t="s">
        <v>251</v>
      </c>
      <c r="C382" s="20" t="s">
        <v>232</v>
      </c>
      <c r="D382" s="20" t="s">
        <v>1278</v>
      </c>
      <c r="E382" s="20" t="s">
        <v>149</v>
      </c>
      <c r="F382" s="6">
        <f>'Пр.5 Рд,пр, ЦС,ВР 20'!F382</f>
        <v>390</v>
      </c>
      <c r="G382" s="6">
        <f t="shared" si="19"/>
        <v>390</v>
      </c>
    </row>
    <row r="383" spans="1:7" ht="47.25">
      <c r="A383" s="25" t="s">
        <v>150</v>
      </c>
      <c r="B383" s="20" t="s">
        <v>251</v>
      </c>
      <c r="C383" s="20" t="s">
        <v>232</v>
      </c>
      <c r="D383" s="20" t="s">
        <v>1278</v>
      </c>
      <c r="E383" s="20" t="s">
        <v>151</v>
      </c>
      <c r="F383" s="6">
        <f>'Пр.5 Рд,пр, ЦС,ВР 20'!F383</f>
        <v>390</v>
      </c>
      <c r="G383" s="6">
        <f t="shared" si="19"/>
        <v>390</v>
      </c>
    </row>
    <row r="384" spans="1:7" ht="63">
      <c r="A384" s="23" t="s">
        <v>559</v>
      </c>
      <c r="B384" s="7" t="s">
        <v>251</v>
      </c>
      <c r="C384" s="7" t="s">
        <v>232</v>
      </c>
      <c r="D384" s="7" t="s">
        <v>560</v>
      </c>
      <c r="E384" s="7"/>
      <c r="F384" s="4">
        <f aca="true" t="shared" si="21" ref="F384:G384">F385+F399</f>
        <v>3793.9</v>
      </c>
      <c r="G384" s="4">
        <f t="shared" si="21"/>
        <v>3793.9</v>
      </c>
    </row>
    <row r="385" spans="1:7" ht="63">
      <c r="A385" s="23" t="s">
        <v>561</v>
      </c>
      <c r="B385" s="24" t="s">
        <v>251</v>
      </c>
      <c r="C385" s="24" t="s">
        <v>232</v>
      </c>
      <c r="D385" s="24" t="s">
        <v>562</v>
      </c>
      <c r="E385" s="24"/>
      <c r="F385" s="4">
        <f>F386</f>
        <v>1740</v>
      </c>
      <c r="G385" s="4">
        <f>G386</f>
        <v>1740</v>
      </c>
    </row>
    <row r="386" spans="1:7" ht="47.25">
      <c r="A386" s="23" t="s">
        <v>1130</v>
      </c>
      <c r="B386" s="24" t="s">
        <v>251</v>
      </c>
      <c r="C386" s="24" t="s">
        <v>232</v>
      </c>
      <c r="D386" s="24" t="s">
        <v>1128</v>
      </c>
      <c r="E386" s="24"/>
      <c r="F386" s="4">
        <f>F387+F390+F396</f>
        <v>1740</v>
      </c>
      <c r="G386" s="4">
        <f>G387+G390+G396</f>
        <v>1740</v>
      </c>
    </row>
    <row r="387" spans="1:7" ht="31.5">
      <c r="A387" s="25" t="s">
        <v>563</v>
      </c>
      <c r="B387" s="20" t="s">
        <v>251</v>
      </c>
      <c r="C387" s="20" t="s">
        <v>232</v>
      </c>
      <c r="D387" s="20" t="s">
        <v>1129</v>
      </c>
      <c r="E387" s="20"/>
      <c r="F387" s="6">
        <f>'Пр.5 Рд,пр, ЦС,ВР 20'!F387</f>
        <v>90</v>
      </c>
      <c r="G387" s="6">
        <f t="shared" si="19"/>
        <v>90</v>
      </c>
    </row>
    <row r="388" spans="1:7" ht="31.5">
      <c r="A388" s="25" t="s">
        <v>148</v>
      </c>
      <c r="B388" s="20" t="s">
        <v>251</v>
      </c>
      <c r="C388" s="20" t="s">
        <v>232</v>
      </c>
      <c r="D388" s="20" t="s">
        <v>1129</v>
      </c>
      <c r="E388" s="20" t="s">
        <v>149</v>
      </c>
      <c r="F388" s="6">
        <f>'Пр.5 Рд,пр, ЦС,ВР 20'!F388</f>
        <v>90</v>
      </c>
      <c r="G388" s="6">
        <f t="shared" si="19"/>
        <v>90</v>
      </c>
    </row>
    <row r="389" spans="1:7" ht="47.25">
      <c r="A389" s="25" t="s">
        <v>150</v>
      </c>
      <c r="B389" s="20" t="s">
        <v>251</v>
      </c>
      <c r="C389" s="20" t="s">
        <v>232</v>
      </c>
      <c r="D389" s="20" t="s">
        <v>1129</v>
      </c>
      <c r="E389" s="20" t="s">
        <v>151</v>
      </c>
      <c r="F389" s="6">
        <f>'Пр.5 Рд,пр, ЦС,ВР 20'!F389</f>
        <v>90</v>
      </c>
      <c r="G389" s="6">
        <f t="shared" si="19"/>
        <v>90</v>
      </c>
    </row>
    <row r="390" spans="1:7" ht="15.75">
      <c r="A390" s="25" t="s">
        <v>565</v>
      </c>
      <c r="B390" s="20" t="s">
        <v>251</v>
      </c>
      <c r="C390" s="20" t="s">
        <v>232</v>
      </c>
      <c r="D390" s="20" t="s">
        <v>1131</v>
      </c>
      <c r="E390" s="20"/>
      <c r="F390" s="6">
        <f>'Пр.5 Рд,пр, ЦС,ВР 20'!F390</f>
        <v>650</v>
      </c>
      <c r="G390" s="6">
        <f t="shared" si="19"/>
        <v>650</v>
      </c>
    </row>
    <row r="391" spans="1:7" ht="31.5">
      <c r="A391" s="25" t="s">
        <v>148</v>
      </c>
      <c r="B391" s="20" t="s">
        <v>251</v>
      </c>
      <c r="C391" s="20" t="s">
        <v>232</v>
      </c>
      <c r="D391" s="20" t="s">
        <v>1131</v>
      </c>
      <c r="E391" s="20" t="s">
        <v>149</v>
      </c>
      <c r="F391" s="6">
        <f>'Пр.5 Рд,пр, ЦС,ВР 20'!F391</f>
        <v>650</v>
      </c>
      <c r="G391" s="6">
        <f t="shared" si="19"/>
        <v>650</v>
      </c>
    </row>
    <row r="392" spans="1:7" ht="47.25">
      <c r="A392" s="25" t="s">
        <v>150</v>
      </c>
      <c r="B392" s="20" t="s">
        <v>251</v>
      </c>
      <c r="C392" s="20" t="s">
        <v>232</v>
      </c>
      <c r="D392" s="20" t="s">
        <v>1131</v>
      </c>
      <c r="E392" s="20" t="s">
        <v>151</v>
      </c>
      <c r="F392" s="6">
        <f>'Пр.5 Рд,пр, ЦС,ВР 20'!F392</f>
        <v>650</v>
      </c>
      <c r="G392" s="6">
        <f t="shared" si="19"/>
        <v>650</v>
      </c>
    </row>
    <row r="393" spans="1:7" ht="15.75" hidden="1">
      <c r="A393" s="30" t="s">
        <v>152</v>
      </c>
      <c r="B393" s="20" t="s">
        <v>251</v>
      </c>
      <c r="C393" s="20" t="s">
        <v>232</v>
      </c>
      <c r="D393" s="20" t="s">
        <v>1131</v>
      </c>
      <c r="E393" s="20" t="s">
        <v>162</v>
      </c>
      <c r="F393" s="6">
        <f>'Пр.5 Рд,пр, ЦС,ВР 20'!F393</f>
        <v>0</v>
      </c>
      <c r="G393" s="6">
        <f t="shared" si="19"/>
        <v>0</v>
      </c>
    </row>
    <row r="394" spans="1:7" ht="47.25" hidden="1">
      <c r="A394" s="25" t="s">
        <v>886</v>
      </c>
      <c r="B394" s="20" t="s">
        <v>251</v>
      </c>
      <c r="C394" s="20" t="s">
        <v>232</v>
      </c>
      <c r="D394" s="20" t="s">
        <v>1131</v>
      </c>
      <c r="E394" s="20" t="s">
        <v>164</v>
      </c>
      <c r="F394" s="6">
        <f>'Пр.5 Рд,пр, ЦС,ВР 20'!F394</f>
        <v>0</v>
      </c>
      <c r="G394" s="6">
        <f t="shared" si="19"/>
        <v>0</v>
      </c>
    </row>
    <row r="395" spans="1:7" ht="31.5" hidden="1">
      <c r="A395" s="30" t="s">
        <v>585</v>
      </c>
      <c r="B395" s="20" t="s">
        <v>251</v>
      </c>
      <c r="C395" s="20" t="s">
        <v>232</v>
      </c>
      <c r="D395" s="20" t="s">
        <v>1131</v>
      </c>
      <c r="E395" s="20" t="s">
        <v>155</v>
      </c>
      <c r="F395" s="6">
        <f>'Пр.5 Рд,пр, ЦС,ВР 20'!F395</f>
        <v>0</v>
      </c>
      <c r="G395" s="6">
        <f t="shared" si="19"/>
        <v>0</v>
      </c>
    </row>
    <row r="396" spans="1:7" ht="15.75">
      <c r="A396" s="25" t="s">
        <v>567</v>
      </c>
      <c r="B396" s="20" t="s">
        <v>251</v>
      </c>
      <c r="C396" s="20" t="s">
        <v>232</v>
      </c>
      <c r="D396" s="20" t="s">
        <v>1132</v>
      </c>
      <c r="E396" s="20"/>
      <c r="F396" s="6">
        <f>'Пр.5 Рд,пр, ЦС,ВР 20'!F396</f>
        <v>1000</v>
      </c>
      <c r="G396" s="6">
        <f t="shared" si="19"/>
        <v>1000</v>
      </c>
    </row>
    <row r="397" spans="1:7" ht="31.5">
      <c r="A397" s="25" t="s">
        <v>148</v>
      </c>
      <c r="B397" s="20" t="s">
        <v>251</v>
      </c>
      <c r="C397" s="20" t="s">
        <v>232</v>
      </c>
      <c r="D397" s="20" t="s">
        <v>1132</v>
      </c>
      <c r="E397" s="20" t="s">
        <v>149</v>
      </c>
      <c r="F397" s="6">
        <f>'Пр.5 Рд,пр, ЦС,ВР 20'!F397</f>
        <v>1000</v>
      </c>
      <c r="G397" s="6">
        <f aca="true" t="shared" si="22" ref="G397:G456">F397</f>
        <v>1000</v>
      </c>
    </row>
    <row r="398" spans="1:7" ht="47.25">
      <c r="A398" s="25" t="s">
        <v>150</v>
      </c>
      <c r="B398" s="20" t="s">
        <v>251</v>
      </c>
      <c r="C398" s="20" t="s">
        <v>232</v>
      </c>
      <c r="D398" s="20" t="s">
        <v>1132</v>
      </c>
      <c r="E398" s="20" t="s">
        <v>151</v>
      </c>
      <c r="F398" s="6">
        <f>'Пр.5 Рд,пр, ЦС,ВР 20'!F398</f>
        <v>1000</v>
      </c>
      <c r="G398" s="6">
        <f t="shared" si="22"/>
        <v>1000</v>
      </c>
    </row>
    <row r="399" spans="1:7" ht="63">
      <c r="A399" s="23" t="s">
        <v>569</v>
      </c>
      <c r="B399" s="24" t="s">
        <v>251</v>
      </c>
      <c r="C399" s="24" t="s">
        <v>232</v>
      </c>
      <c r="D399" s="24" t="s">
        <v>570</v>
      </c>
      <c r="E399" s="24"/>
      <c r="F399" s="4">
        <f>F400+F415</f>
        <v>2053.9</v>
      </c>
      <c r="G399" s="4">
        <f>G400+G415</f>
        <v>2053.9</v>
      </c>
    </row>
    <row r="400" spans="1:7" ht="31.5">
      <c r="A400" s="23" t="s">
        <v>1148</v>
      </c>
      <c r="B400" s="24" t="s">
        <v>251</v>
      </c>
      <c r="C400" s="24" t="s">
        <v>232</v>
      </c>
      <c r="D400" s="24" t="s">
        <v>1133</v>
      </c>
      <c r="E400" s="24"/>
      <c r="F400" s="4">
        <f>F401+F404+F407+F412</f>
        <v>390</v>
      </c>
      <c r="G400" s="4">
        <f>G401+G404+G407+G412</f>
        <v>390</v>
      </c>
    </row>
    <row r="401" spans="1:7" ht="15.75">
      <c r="A401" s="25" t="s">
        <v>567</v>
      </c>
      <c r="B401" s="20" t="s">
        <v>251</v>
      </c>
      <c r="C401" s="20" t="s">
        <v>232</v>
      </c>
      <c r="D401" s="20" t="s">
        <v>1134</v>
      </c>
      <c r="E401" s="20"/>
      <c r="F401" s="6">
        <f>'Пр.5 Рд,пр, ЦС,ВР 20'!F401</f>
        <v>11</v>
      </c>
      <c r="G401" s="6">
        <f t="shared" si="22"/>
        <v>11</v>
      </c>
    </row>
    <row r="402" spans="1:7" ht="31.5">
      <c r="A402" s="25" t="s">
        <v>148</v>
      </c>
      <c r="B402" s="20" t="s">
        <v>251</v>
      </c>
      <c r="C402" s="20" t="s">
        <v>232</v>
      </c>
      <c r="D402" s="20" t="s">
        <v>1134</v>
      </c>
      <c r="E402" s="20" t="s">
        <v>149</v>
      </c>
      <c r="F402" s="6">
        <f>'Пр.5 Рд,пр, ЦС,ВР 20'!F402</f>
        <v>11</v>
      </c>
      <c r="G402" s="6">
        <f t="shared" si="22"/>
        <v>11</v>
      </c>
    </row>
    <row r="403" spans="1:7" ht="47.25">
      <c r="A403" s="25" t="s">
        <v>150</v>
      </c>
      <c r="B403" s="20" t="s">
        <v>251</v>
      </c>
      <c r="C403" s="20" t="s">
        <v>232</v>
      </c>
      <c r="D403" s="20" t="s">
        <v>1134</v>
      </c>
      <c r="E403" s="20" t="s">
        <v>151</v>
      </c>
      <c r="F403" s="6">
        <f>'Пр.5 Рд,пр, ЦС,ВР 20'!F403</f>
        <v>11</v>
      </c>
      <c r="G403" s="6">
        <f t="shared" si="22"/>
        <v>11</v>
      </c>
    </row>
    <row r="404" spans="1:7" ht="15.75">
      <c r="A404" s="25" t="s">
        <v>572</v>
      </c>
      <c r="B404" s="20" t="s">
        <v>251</v>
      </c>
      <c r="C404" s="20" t="s">
        <v>232</v>
      </c>
      <c r="D404" s="20" t="s">
        <v>1135</v>
      </c>
      <c r="E404" s="20"/>
      <c r="F404" s="6">
        <f>'Пр.5 Рд,пр, ЦС,ВР 20'!F404</f>
        <v>4</v>
      </c>
      <c r="G404" s="6">
        <f t="shared" si="22"/>
        <v>4</v>
      </c>
    </row>
    <row r="405" spans="1:7" ht="31.5">
      <c r="A405" s="25" t="s">
        <v>148</v>
      </c>
      <c r="B405" s="20" t="s">
        <v>251</v>
      </c>
      <c r="C405" s="20" t="s">
        <v>232</v>
      </c>
      <c r="D405" s="20" t="s">
        <v>1135</v>
      </c>
      <c r="E405" s="20" t="s">
        <v>149</v>
      </c>
      <c r="F405" s="6">
        <f>'Пр.5 Рд,пр, ЦС,ВР 20'!F405</f>
        <v>4</v>
      </c>
      <c r="G405" s="6">
        <f t="shared" si="22"/>
        <v>4</v>
      </c>
    </row>
    <row r="406" spans="1:7" ht="47.25">
      <c r="A406" s="25" t="s">
        <v>150</v>
      </c>
      <c r="B406" s="20" t="s">
        <v>251</v>
      </c>
      <c r="C406" s="20" t="s">
        <v>232</v>
      </c>
      <c r="D406" s="20" t="s">
        <v>1135</v>
      </c>
      <c r="E406" s="20" t="s">
        <v>151</v>
      </c>
      <c r="F406" s="6">
        <f>'Пр.5 Рд,пр, ЦС,ВР 20'!F406</f>
        <v>4</v>
      </c>
      <c r="G406" s="6">
        <f t="shared" si="22"/>
        <v>4</v>
      </c>
    </row>
    <row r="407" spans="1:7" ht="47.25">
      <c r="A407" s="107" t="s">
        <v>574</v>
      </c>
      <c r="B407" s="20" t="s">
        <v>251</v>
      </c>
      <c r="C407" s="20" t="s">
        <v>232</v>
      </c>
      <c r="D407" s="20" t="s">
        <v>1136</v>
      </c>
      <c r="E407" s="20"/>
      <c r="F407" s="6">
        <f>'Пр.5 Рд,пр, ЦС,ВР 20'!F407</f>
        <v>375</v>
      </c>
      <c r="G407" s="6">
        <f t="shared" si="22"/>
        <v>375</v>
      </c>
    </row>
    <row r="408" spans="1:7" ht="31.5">
      <c r="A408" s="25" t="s">
        <v>148</v>
      </c>
      <c r="B408" s="20" t="s">
        <v>251</v>
      </c>
      <c r="C408" s="20" t="s">
        <v>232</v>
      </c>
      <c r="D408" s="20" t="s">
        <v>1136</v>
      </c>
      <c r="E408" s="20" t="s">
        <v>149</v>
      </c>
      <c r="F408" s="6">
        <f>'Пр.5 Рд,пр, ЦС,ВР 20'!F408</f>
        <v>300</v>
      </c>
      <c r="G408" s="6">
        <f t="shared" si="22"/>
        <v>300</v>
      </c>
    </row>
    <row r="409" spans="1:7" ht="47.25">
      <c r="A409" s="25" t="s">
        <v>150</v>
      </c>
      <c r="B409" s="20" t="s">
        <v>251</v>
      </c>
      <c r="C409" s="20" t="s">
        <v>232</v>
      </c>
      <c r="D409" s="20" t="s">
        <v>1136</v>
      </c>
      <c r="E409" s="20" t="s">
        <v>151</v>
      </c>
      <c r="F409" s="6">
        <f>'Пр.5 Рд,пр, ЦС,ВР 20'!F409</f>
        <v>300</v>
      </c>
      <c r="G409" s="6">
        <f t="shared" si="22"/>
        <v>300</v>
      </c>
    </row>
    <row r="410" spans="1:7" ht="15.75">
      <c r="A410" s="30" t="s">
        <v>152</v>
      </c>
      <c r="B410" s="20" t="s">
        <v>251</v>
      </c>
      <c r="C410" s="20" t="s">
        <v>232</v>
      </c>
      <c r="D410" s="20" t="s">
        <v>1136</v>
      </c>
      <c r="E410" s="20" t="s">
        <v>162</v>
      </c>
      <c r="F410" s="6">
        <f>'Пр.5 Рд,пр, ЦС,ВР 20'!F410</f>
        <v>75</v>
      </c>
      <c r="G410" s="6">
        <f t="shared" si="22"/>
        <v>75</v>
      </c>
    </row>
    <row r="411" spans="1:7" ht="31.5">
      <c r="A411" s="30" t="s">
        <v>585</v>
      </c>
      <c r="B411" s="20" t="s">
        <v>251</v>
      </c>
      <c r="C411" s="20" t="s">
        <v>232</v>
      </c>
      <c r="D411" s="20" t="s">
        <v>1136</v>
      </c>
      <c r="E411" s="20" t="s">
        <v>155</v>
      </c>
      <c r="F411" s="6">
        <f>'Пр.5 Рд,пр, ЦС,ВР 20'!F411</f>
        <v>75</v>
      </c>
      <c r="G411" s="6">
        <f t="shared" si="22"/>
        <v>75</v>
      </c>
    </row>
    <row r="412" spans="1:7" ht="31.5" hidden="1">
      <c r="A412" s="107" t="s">
        <v>576</v>
      </c>
      <c r="B412" s="20" t="s">
        <v>251</v>
      </c>
      <c r="C412" s="20" t="s">
        <v>232</v>
      </c>
      <c r="D412" s="20" t="s">
        <v>1137</v>
      </c>
      <c r="E412" s="20"/>
      <c r="F412" s="6">
        <f>'Пр.5 Рд,пр, ЦС,ВР 20'!F412</f>
        <v>0</v>
      </c>
      <c r="G412" s="6">
        <f t="shared" si="22"/>
        <v>0</v>
      </c>
    </row>
    <row r="413" spans="1:7" ht="31.5" hidden="1">
      <c r="A413" s="25" t="s">
        <v>148</v>
      </c>
      <c r="B413" s="20" t="s">
        <v>251</v>
      </c>
      <c r="C413" s="20" t="s">
        <v>232</v>
      </c>
      <c r="D413" s="20" t="s">
        <v>1137</v>
      </c>
      <c r="E413" s="20" t="s">
        <v>149</v>
      </c>
      <c r="F413" s="6">
        <f>'Пр.5 Рд,пр, ЦС,ВР 20'!F413</f>
        <v>0</v>
      </c>
      <c r="G413" s="6">
        <f t="shared" si="22"/>
        <v>0</v>
      </c>
    </row>
    <row r="414" spans="1:7" ht="47.25" hidden="1">
      <c r="A414" s="25" t="s">
        <v>150</v>
      </c>
      <c r="B414" s="20" t="s">
        <v>251</v>
      </c>
      <c r="C414" s="20" t="s">
        <v>232</v>
      </c>
      <c r="D414" s="20" t="s">
        <v>1137</v>
      </c>
      <c r="E414" s="20" t="s">
        <v>151</v>
      </c>
      <c r="F414" s="6">
        <f>'Пр.5 Рд,пр, ЦС,ВР 20'!F414</f>
        <v>0</v>
      </c>
      <c r="G414" s="6">
        <f t="shared" si="22"/>
        <v>0</v>
      </c>
    </row>
    <row r="415" spans="1:7" ht="47.25">
      <c r="A415" s="23" t="s">
        <v>955</v>
      </c>
      <c r="B415" s="7" t="s">
        <v>251</v>
      </c>
      <c r="C415" s="7" t="s">
        <v>232</v>
      </c>
      <c r="D415" s="24" t="s">
        <v>1138</v>
      </c>
      <c r="E415" s="24"/>
      <c r="F415" s="4">
        <f>F416+F419</f>
        <v>1663.9</v>
      </c>
      <c r="G415" s="4">
        <f>G416+G419</f>
        <v>1663.9</v>
      </c>
    </row>
    <row r="416" spans="1:7" ht="47.25">
      <c r="A416" s="25" t="s">
        <v>708</v>
      </c>
      <c r="B416" s="20" t="s">
        <v>251</v>
      </c>
      <c r="C416" s="20" t="s">
        <v>232</v>
      </c>
      <c r="D416" s="20" t="s">
        <v>1139</v>
      </c>
      <c r="E416" s="20"/>
      <c r="F416" s="6">
        <f>'Пр.5 Рд,пр, ЦС,ВР 20'!F416</f>
        <v>244</v>
      </c>
      <c r="G416" s="6">
        <f t="shared" si="22"/>
        <v>244</v>
      </c>
    </row>
    <row r="417" spans="1:7" ht="31.5">
      <c r="A417" s="25" t="s">
        <v>148</v>
      </c>
      <c r="B417" s="20" t="s">
        <v>251</v>
      </c>
      <c r="C417" s="20" t="s">
        <v>232</v>
      </c>
      <c r="D417" s="20" t="s">
        <v>1139</v>
      </c>
      <c r="E417" s="20" t="s">
        <v>149</v>
      </c>
      <c r="F417" s="6">
        <f>'Пр.5 Рд,пр, ЦС,ВР 20'!F417</f>
        <v>244</v>
      </c>
      <c r="G417" s="6">
        <f t="shared" si="22"/>
        <v>244</v>
      </c>
    </row>
    <row r="418" spans="1:7" ht="47.25">
      <c r="A418" s="25" t="s">
        <v>150</v>
      </c>
      <c r="B418" s="20" t="s">
        <v>251</v>
      </c>
      <c r="C418" s="20" t="s">
        <v>232</v>
      </c>
      <c r="D418" s="20" t="s">
        <v>1139</v>
      </c>
      <c r="E418" s="20" t="s">
        <v>151</v>
      </c>
      <c r="F418" s="6">
        <f>'Пр.5 Рд,пр, ЦС,ВР 20'!F418</f>
        <v>244</v>
      </c>
      <c r="G418" s="6">
        <f t="shared" si="22"/>
        <v>244</v>
      </c>
    </row>
    <row r="419" spans="1:7" ht="78.75">
      <c r="A419" s="25" t="s">
        <v>1266</v>
      </c>
      <c r="B419" s="20" t="s">
        <v>251</v>
      </c>
      <c r="C419" s="20" t="s">
        <v>232</v>
      </c>
      <c r="D419" s="20" t="s">
        <v>1267</v>
      </c>
      <c r="E419" s="20"/>
      <c r="F419" s="6">
        <f>'Пр.5 Рд,пр, ЦС,ВР 20'!F419</f>
        <v>1419.9</v>
      </c>
      <c r="G419" s="6">
        <f t="shared" si="22"/>
        <v>1419.9</v>
      </c>
    </row>
    <row r="420" spans="1:7" ht="31.5">
      <c r="A420" s="25" t="s">
        <v>148</v>
      </c>
      <c r="B420" s="20" t="s">
        <v>251</v>
      </c>
      <c r="C420" s="20" t="s">
        <v>232</v>
      </c>
      <c r="D420" s="20" t="s">
        <v>1267</v>
      </c>
      <c r="E420" s="20" t="s">
        <v>149</v>
      </c>
      <c r="F420" s="6">
        <f>'Пр.5 Рд,пр, ЦС,ВР 20'!F420</f>
        <v>1419.9</v>
      </c>
      <c r="G420" s="6">
        <f t="shared" si="22"/>
        <v>1419.9</v>
      </c>
    </row>
    <row r="421" spans="1:7" ht="47.25">
      <c r="A421" s="25" t="s">
        <v>150</v>
      </c>
      <c r="B421" s="20" t="s">
        <v>251</v>
      </c>
      <c r="C421" s="20" t="s">
        <v>232</v>
      </c>
      <c r="D421" s="20" t="s">
        <v>1267</v>
      </c>
      <c r="E421" s="20" t="s">
        <v>151</v>
      </c>
      <c r="F421" s="6">
        <f>'Пр.5 Рд,пр, ЦС,ВР 20'!F421</f>
        <v>1419.9</v>
      </c>
      <c r="G421" s="6">
        <f t="shared" si="22"/>
        <v>1419.9</v>
      </c>
    </row>
    <row r="422" spans="1:7" ht="78.75">
      <c r="A422" s="23" t="s">
        <v>824</v>
      </c>
      <c r="B422" s="24" t="s">
        <v>251</v>
      </c>
      <c r="C422" s="24" t="s">
        <v>232</v>
      </c>
      <c r="D422" s="24" t="s">
        <v>736</v>
      </c>
      <c r="E422" s="24"/>
      <c r="F422" s="4">
        <f aca="true" t="shared" si="23" ref="F422:G422">F424</f>
        <v>500</v>
      </c>
      <c r="G422" s="4">
        <f t="shared" si="23"/>
        <v>500</v>
      </c>
    </row>
    <row r="423" spans="1:7" ht="31.5">
      <c r="A423" s="23" t="s">
        <v>1262</v>
      </c>
      <c r="B423" s="24" t="s">
        <v>251</v>
      </c>
      <c r="C423" s="24" t="s">
        <v>232</v>
      </c>
      <c r="D423" s="24" t="s">
        <v>885</v>
      </c>
      <c r="E423" s="20"/>
      <c r="F423" s="4">
        <f>F424</f>
        <v>500</v>
      </c>
      <c r="G423" s="4">
        <f>G424</f>
        <v>500</v>
      </c>
    </row>
    <row r="424" spans="1:7" ht="31.5">
      <c r="A424" s="385" t="s">
        <v>735</v>
      </c>
      <c r="B424" s="20" t="s">
        <v>251</v>
      </c>
      <c r="C424" s="20" t="s">
        <v>232</v>
      </c>
      <c r="D424" s="20" t="s">
        <v>885</v>
      </c>
      <c r="E424" s="20"/>
      <c r="F424" s="6">
        <f>'Пр.5 Рд,пр, ЦС,ВР 20'!F424</f>
        <v>500</v>
      </c>
      <c r="G424" s="6">
        <f t="shared" si="22"/>
        <v>500</v>
      </c>
    </row>
    <row r="425" spans="1:7" ht="31.5">
      <c r="A425" s="25" t="s">
        <v>148</v>
      </c>
      <c r="B425" s="20" t="s">
        <v>251</v>
      </c>
      <c r="C425" s="20" t="s">
        <v>232</v>
      </c>
      <c r="D425" s="20" t="s">
        <v>885</v>
      </c>
      <c r="E425" s="20" t="s">
        <v>149</v>
      </c>
      <c r="F425" s="6">
        <f>'Пр.5 Рд,пр, ЦС,ВР 20'!F425</f>
        <v>500</v>
      </c>
      <c r="G425" s="6">
        <f t="shared" si="22"/>
        <v>500</v>
      </c>
    </row>
    <row r="426" spans="1:7" ht="47.25">
      <c r="A426" s="25" t="s">
        <v>150</v>
      </c>
      <c r="B426" s="20" t="s">
        <v>251</v>
      </c>
      <c r="C426" s="20" t="s">
        <v>232</v>
      </c>
      <c r="D426" s="20" t="s">
        <v>885</v>
      </c>
      <c r="E426" s="20" t="s">
        <v>151</v>
      </c>
      <c r="F426" s="6">
        <f>'Пр.5 Рд,пр, ЦС,ВР 20'!F426</f>
        <v>500</v>
      </c>
      <c r="G426" s="6">
        <f t="shared" si="22"/>
        <v>500</v>
      </c>
    </row>
    <row r="427" spans="1:7" ht="31.5">
      <c r="A427" s="42" t="s">
        <v>586</v>
      </c>
      <c r="B427" s="7" t="s">
        <v>251</v>
      </c>
      <c r="C427" s="7" t="s">
        <v>251</v>
      </c>
      <c r="D427" s="7"/>
      <c r="E427" s="7"/>
      <c r="F427" s="4">
        <f>F428+F440+F457</f>
        <v>23712.396</v>
      </c>
      <c r="G427" s="4">
        <f>G428+G440+G457</f>
        <v>23712.396</v>
      </c>
    </row>
    <row r="428" spans="1:7" ht="31.5">
      <c r="A428" s="23" t="s">
        <v>995</v>
      </c>
      <c r="B428" s="24" t="s">
        <v>251</v>
      </c>
      <c r="C428" s="24" t="s">
        <v>251</v>
      </c>
      <c r="D428" s="24" t="s">
        <v>909</v>
      </c>
      <c r="E428" s="24"/>
      <c r="F428" s="4">
        <f>F429</f>
        <v>13391.887999999999</v>
      </c>
      <c r="G428" s="4">
        <f>G429</f>
        <v>13391.887999999999</v>
      </c>
    </row>
    <row r="429" spans="1:7" ht="15.75">
      <c r="A429" s="23" t="s">
        <v>996</v>
      </c>
      <c r="B429" s="24" t="s">
        <v>251</v>
      </c>
      <c r="C429" s="24" t="s">
        <v>251</v>
      </c>
      <c r="D429" s="24" t="s">
        <v>910</v>
      </c>
      <c r="E429" s="24"/>
      <c r="F429" s="4">
        <f>F430+F437</f>
        <v>13391.887999999999</v>
      </c>
      <c r="G429" s="4">
        <f>G430+G437</f>
        <v>13391.887999999999</v>
      </c>
    </row>
    <row r="430" spans="1:7" ht="31.5">
      <c r="A430" s="25" t="s">
        <v>972</v>
      </c>
      <c r="B430" s="20" t="s">
        <v>251</v>
      </c>
      <c r="C430" s="20" t="s">
        <v>251</v>
      </c>
      <c r="D430" s="20" t="s">
        <v>911</v>
      </c>
      <c r="E430" s="20"/>
      <c r="F430" s="6">
        <f>'Пр.5 Рд,пр, ЦС,ВР 20'!F430</f>
        <v>13021.887999999999</v>
      </c>
      <c r="G430" s="6">
        <f t="shared" si="22"/>
        <v>13021.887999999999</v>
      </c>
    </row>
    <row r="431" spans="1:7" ht="94.5">
      <c r="A431" s="25" t="s">
        <v>144</v>
      </c>
      <c r="B431" s="20" t="s">
        <v>251</v>
      </c>
      <c r="C431" s="20" t="s">
        <v>251</v>
      </c>
      <c r="D431" s="20" t="s">
        <v>911</v>
      </c>
      <c r="E431" s="20" t="s">
        <v>145</v>
      </c>
      <c r="F431" s="6">
        <f>'Пр.5 Рд,пр, ЦС,ВР 20'!F431</f>
        <v>12949.887999999999</v>
      </c>
      <c r="G431" s="6">
        <f t="shared" si="22"/>
        <v>12949.887999999999</v>
      </c>
    </row>
    <row r="432" spans="1:7" ht="47.25">
      <c r="A432" s="25" t="s">
        <v>146</v>
      </c>
      <c r="B432" s="20" t="s">
        <v>251</v>
      </c>
      <c r="C432" s="20" t="s">
        <v>251</v>
      </c>
      <c r="D432" s="20" t="s">
        <v>911</v>
      </c>
      <c r="E432" s="20" t="s">
        <v>147</v>
      </c>
      <c r="F432" s="6">
        <f>'Пр.5 Рд,пр, ЦС,ВР 20'!F432</f>
        <v>12949.887999999999</v>
      </c>
      <c r="G432" s="6">
        <f t="shared" si="22"/>
        <v>12949.887999999999</v>
      </c>
    </row>
    <row r="433" spans="1:7" ht="31.5">
      <c r="A433" s="25" t="s">
        <v>148</v>
      </c>
      <c r="B433" s="20" t="s">
        <v>251</v>
      </c>
      <c r="C433" s="20" t="s">
        <v>251</v>
      </c>
      <c r="D433" s="20" t="s">
        <v>911</v>
      </c>
      <c r="E433" s="20" t="s">
        <v>149</v>
      </c>
      <c r="F433" s="6">
        <f>'Пр.5 Рд,пр, ЦС,ВР 20'!F433</f>
        <v>25</v>
      </c>
      <c r="G433" s="6">
        <f t="shared" si="22"/>
        <v>25</v>
      </c>
    </row>
    <row r="434" spans="1:7" ht="47.25">
      <c r="A434" s="25" t="s">
        <v>150</v>
      </c>
      <c r="B434" s="20" t="s">
        <v>251</v>
      </c>
      <c r="C434" s="20" t="s">
        <v>251</v>
      </c>
      <c r="D434" s="20" t="s">
        <v>911</v>
      </c>
      <c r="E434" s="20" t="s">
        <v>151</v>
      </c>
      <c r="F434" s="6">
        <f>'Пр.5 Рд,пр, ЦС,ВР 20'!F434</f>
        <v>25</v>
      </c>
      <c r="G434" s="6">
        <f t="shared" si="22"/>
        <v>25</v>
      </c>
    </row>
    <row r="435" spans="1:7" ht="15.75">
      <c r="A435" s="25" t="s">
        <v>152</v>
      </c>
      <c r="B435" s="20" t="s">
        <v>251</v>
      </c>
      <c r="C435" s="20" t="s">
        <v>251</v>
      </c>
      <c r="D435" s="20" t="s">
        <v>911</v>
      </c>
      <c r="E435" s="20" t="s">
        <v>162</v>
      </c>
      <c r="F435" s="6">
        <f>'Пр.5 Рд,пр, ЦС,ВР 20'!F435</f>
        <v>47</v>
      </c>
      <c r="G435" s="6">
        <f t="shared" si="22"/>
        <v>47</v>
      </c>
    </row>
    <row r="436" spans="1:7" ht="31.5">
      <c r="A436" s="25" t="s">
        <v>585</v>
      </c>
      <c r="B436" s="20" t="s">
        <v>251</v>
      </c>
      <c r="C436" s="20" t="s">
        <v>251</v>
      </c>
      <c r="D436" s="20" t="s">
        <v>911</v>
      </c>
      <c r="E436" s="20" t="s">
        <v>155</v>
      </c>
      <c r="F436" s="6">
        <f>'Пр.5 Рд,пр, ЦС,ВР 20'!F436</f>
        <v>47</v>
      </c>
      <c r="G436" s="6">
        <f t="shared" si="22"/>
        <v>47</v>
      </c>
    </row>
    <row r="437" spans="1:7" ht="47.25">
      <c r="A437" s="25" t="s">
        <v>889</v>
      </c>
      <c r="B437" s="20" t="s">
        <v>251</v>
      </c>
      <c r="C437" s="20" t="s">
        <v>251</v>
      </c>
      <c r="D437" s="20" t="s">
        <v>913</v>
      </c>
      <c r="E437" s="20"/>
      <c r="F437" s="6">
        <f>'Пр.5 Рд,пр, ЦС,ВР 20'!F437</f>
        <v>370</v>
      </c>
      <c r="G437" s="6">
        <f t="shared" si="22"/>
        <v>370</v>
      </c>
    </row>
    <row r="438" spans="1:7" ht="94.5">
      <c r="A438" s="25" t="s">
        <v>144</v>
      </c>
      <c r="B438" s="20" t="s">
        <v>251</v>
      </c>
      <c r="C438" s="20" t="s">
        <v>251</v>
      </c>
      <c r="D438" s="20" t="s">
        <v>913</v>
      </c>
      <c r="E438" s="20" t="s">
        <v>145</v>
      </c>
      <c r="F438" s="6">
        <f>'Пр.5 Рд,пр, ЦС,ВР 20'!F438</f>
        <v>370</v>
      </c>
      <c r="G438" s="6">
        <f t="shared" si="22"/>
        <v>370</v>
      </c>
    </row>
    <row r="439" spans="1:7" ht="47.25">
      <c r="A439" s="25" t="s">
        <v>146</v>
      </c>
      <c r="B439" s="20" t="s">
        <v>251</v>
      </c>
      <c r="C439" s="20" t="s">
        <v>251</v>
      </c>
      <c r="D439" s="20" t="s">
        <v>913</v>
      </c>
      <c r="E439" s="20" t="s">
        <v>147</v>
      </c>
      <c r="F439" s="6">
        <f>'Пр.5 Рд,пр, ЦС,ВР 20'!F439</f>
        <v>370</v>
      </c>
      <c r="G439" s="6">
        <f t="shared" si="22"/>
        <v>370</v>
      </c>
    </row>
    <row r="440" spans="1:7" ht="15.75">
      <c r="A440" s="23" t="s">
        <v>158</v>
      </c>
      <c r="B440" s="24" t="s">
        <v>251</v>
      </c>
      <c r="C440" s="24" t="s">
        <v>251</v>
      </c>
      <c r="D440" s="24" t="s">
        <v>917</v>
      </c>
      <c r="E440" s="24"/>
      <c r="F440" s="4">
        <f>F441+F448</f>
        <v>10320.508</v>
      </c>
      <c r="G440" s="4">
        <f>G441+G448</f>
        <v>10320.508</v>
      </c>
    </row>
    <row r="441" spans="1:7" ht="31.5">
      <c r="A441" s="23" t="s">
        <v>921</v>
      </c>
      <c r="B441" s="24" t="s">
        <v>251</v>
      </c>
      <c r="C441" s="24" t="s">
        <v>251</v>
      </c>
      <c r="D441" s="24" t="s">
        <v>916</v>
      </c>
      <c r="E441" s="24"/>
      <c r="F441" s="61">
        <f>F442+F445</f>
        <v>982</v>
      </c>
      <c r="G441" s="61">
        <f>G442+G445</f>
        <v>982</v>
      </c>
    </row>
    <row r="442" spans="1:7" ht="31.5">
      <c r="A442" s="25" t="s">
        <v>587</v>
      </c>
      <c r="B442" s="20" t="s">
        <v>251</v>
      </c>
      <c r="C442" s="20" t="s">
        <v>251</v>
      </c>
      <c r="D442" s="20" t="s">
        <v>1140</v>
      </c>
      <c r="E442" s="20"/>
      <c r="F442" s="6">
        <f>'Пр.5 Рд,пр, ЦС,ВР 20'!F442</f>
        <v>982</v>
      </c>
      <c r="G442" s="6">
        <f t="shared" si="22"/>
        <v>982</v>
      </c>
    </row>
    <row r="443" spans="1:7" ht="15.75">
      <c r="A443" s="25" t="s">
        <v>152</v>
      </c>
      <c r="B443" s="20" t="s">
        <v>251</v>
      </c>
      <c r="C443" s="20" t="s">
        <v>251</v>
      </c>
      <c r="D443" s="20" t="s">
        <v>1140</v>
      </c>
      <c r="E443" s="20" t="s">
        <v>162</v>
      </c>
      <c r="F443" s="6">
        <f>'Пр.5 Рд,пр, ЦС,ВР 20'!F443</f>
        <v>982</v>
      </c>
      <c r="G443" s="6">
        <f t="shared" si="22"/>
        <v>982</v>
      </c>
    </row>
    <row r="444" spans="1:7" ht="63">
      <c r="A444" s="25" t="s">
        <v>201</v>
      </c>
      <c r="B444" s="20" t="s">
        <v>251</v>
      </c>
      <c r="C444" s="20" t="s">
        <v>251</v>
      </c>
      <c r="D444" s="20" t="s">
        <v>1140</v>
      </c>
      <c r="E444" s="20" t="s">
        <v>177</v>
      </c>
      <c r="F444" s="6">
        <f>'Пр.5 Рд,пр, ЦС,ВР 20'!F444</f>
        <v>982</v>
      </c>
      <c r="G444" s="6">
        <f t="shared" si="22"/>
        <v>982</v>
      </c>
    </row>
    <row r="445" spans="1:7" ht="47.25" hidden="1">
      <c r="A445" s="25" t="s">
        <v>872</v>
      </c>
      <c r="B445" s="20" t="s">
        <v>251</v>
      </c>
      <c r="C445" s="20" t="s">
        <v>251</v>
      </c>
      <c r="D445" s="20" t="s">
        <v>1268</v>
      </c>
      <c r="E445" s="20"/>
      <c r="F445" s="6">
        <f>'Пр.5 Рд,пр, ЦС,ВР 20'!F445</f>
        <v>0</v>
      </c>
      <c r="G445" s="6">
        <f t="shared" si="22"/>
        <v>0</v>
      </c>
    </row>
    <row r="446" spans="1:7" ht="15.75" hidden="1">
      <c r="A446" s="25" t="s">
        <v>152</v>
      </c>
      <c r="B446" s="20" t="s">
        <v>251</v>
      </c>
      <c r="C446" s="20" t="s">
        <v>251</v>
      </c>
      <c r="D446" s="20" t="s">
        <v>1268</v>
      </c>
      <c r="E446" s="20" t="s">
        <v>162</v>
      </c>
      <c r="F446" s="6">
        <f>'Пр.5 Рд,пр, ЦС,ВР 20'!F446</f>
        <v>0</v>
      </c>
      <c r="G446" s="6">
        <f t="shared" si="22"/>
        <v>0</v>
      </c>
    </row>
    <row r="447" spans="1:7" ht="63" hidden="1">
      <c r="A447" s="25" t="s">
        <v>201</v>
      </c>
      <c r="B447" s="20" t="s">
        <v>251</v>
      </c>
      <c r="C447" s="20" t="s">
        <v>251</v>
      </c>
      <c r="D447" s="20" t="s">
        <v>1268</v>
      </c>
      <c r="E447" s="20" t="s">
        <v>177</v>
      </c>
      <c r="F447" s="6">
        <f>'Пр.5 Рд,пр, ЦС,ВР 20'!F447</f>
        <v>0</v>
      </c>
      <c r="G447" s="6">
        <f t="shared" si="22"/>
        <v>0</v>
      </c>
    </row>
    <row r="448" spans="1:7" ht="47.25">
      <c r="A448" s="23" t="s">
        <v>1009</v>
      </c>
      <c r="B448" s="24" t="s">
        <v>251</v>
      </c>
      <c r="C448" s="24" t="s">
        <v>251</v>
      </c>
      <c r="D448" s="24" t="s">
        <v>992</v>
      </c>
      <c r="E448" s="24"/>
      <c r="F448" s="61">
        <f>F449+F454</f>
        <v>9338.508</v>
      </c>
      <c r="G448" s="61">
        <f>G449+G454</f>
        <v>9338.508</v>
      </c>
    </row>
    <row r="449" spans="1:7" ht="31.5">
      <c r="A449" s="25" t="s">
        <v>979</v>
      </c>
      <c r="B449" s="20" t="s">
        <v>251</v>
      </c>
      <c r="C449" s="20" t="s">
        <v>251</v>
      </c>
      <c r="D449" s="20" t="s">
        <v>993</v>
      </c>
      <c r="E449" s="20"/>
      <c r="F449" s="6">
        <f>'Пр.5 Рд,пр, ЦС,ВР 20'!F449</f>
        <v>8838.508</v>
      </c>
      <c r="G449" s="6">
        <f t="shared" si="22"/>
        <v>8838.508</v>
      </c>
    </row>
    <row r="450" spans="1:7" ht="94.5">
      <c r="A450" s="25" t="s">
        <v>144</v>
      </c>
      <c r="B450" s="20" t="s">
        <v>251</v>
      </c>
      <c r="C450" s="20" t="s">
        <v>251</v>
      </c>
      <c r="D450" s="20" t="s">
        <v>993</v>
      </c>
      <c r="E450" s="20" t="s">
        <v>145</v>
      </c>
      <c r="F450" s="6">
        <f>'Пр.5 Рд,пр, ЦС,ВР 20'!F450</f>
        <v>7046.508</v>
      </c>
      <c r="G450" s="6">
        <f t="shared" si="22"/>
        <v>7046.508</v>
      </c>
    </row>
    <row r="451" spans="1:7" ht="31.5">
      <c r="A451" s="25" t="s">
        <v>359</v>
      </c>
      <c r="B451" s="20" t="s">
        <v>251</v>
      </c>
      <c r="C451" s="20" t="s">
        <v>251</v>
      </c>
      <c r="D451" s="20" t="s">
        <v>993</v>
      </c>
      <c r="E451" s="20" t="s">
        <v>226</v>
      </c>
      <c r="F451" s="6">
        <f>'Пр.5 Рд,пр, ЦС,ВР 20'!F451</f>
        <v>7046.508</v>
      </c>
      <c r="G451" s="6">
        <f t="shared" si="22"/>
        <v>7046.508</v>
      </c>
    </row>
    <row r="452" spans="1:7" ht="31.5">
      <c r="A452" s="25" t="s">
        <v>148</v>
      </c>
      <c r="B452" s="20" t="s">
        <v>251</v>
      </c>
      <c r="C452" s="20" t="s">
        <v>251</v>
      </c>
      <c r="D452" s="20" t="s">
        <v>993</v>
      </c>
      <c r="E452" s="20" t="s">
        <v>149</v>
      </c>
      <c r="F452" s="6">
        <f>'Пр.5 Рд,пр, ЦС,ВР 20'!F452</f>
        <v>1792</v>
      </c>
      <c r="G452" s="6">
        <f t="shared" si="22"/>
        <v>1792</v>
      </c>
    </row>
    <row r="453" spans="1:7" ht="47.25">
      <c r="A453" s="25" t="s">
        <v>150</v>
      </c>
      <c r="B453" s="20" t="s">
        <v>251</v>
      </c>
      <c r="C453" s="20" t="s">
        <v>251</v>
      </c>
      <c r="D453" s="20" t="s">
        <v>993</v>
      </c>
      <c r="E453" s="20" t="s">
        <v>151</v>
      </c>
      <c r="F453" s="6">
        <f>'Пр.5 Рд,пр, ЦС,ВР 20'!F453</f>
        <v>1792</v>
      </c>
      <c r="G453" s="6">
        <f t="shared" si="22"/>
        <v>1792</v>
      </c>
    </row>
    <row r="454" spans="1:7" ht="47.25">
      <c r="A454" s="25" t="s">
        <v>889</v>
      </c>
      <c r="B454" s="20" t="s">
        <v>251</v>
      </c>
      <c r="C454" s="20" t="s">
        <v>251</v>
      </c>
      <c r="D454" s="20" t="s">
        <v>994</v>
      </c>
      <c r="E454" s="20"/>
      <c r="F454" s="6">
        <f>'Пр.5 Рд,пр, ЦС,ВР 20'!F454</f>
        <v>500</v>
      </c>
      <c r="G454" s="6">
        <f t="shared" si="22"/>
        <v>500</v>
      </c>
    </row>
    <row r="455" spans="1:7" ht="94.5">
      <c r="A455" s="25" t="s">
        <v>144</v>
      </c>
      <c r="B455" s="20" t="s">
        <v>251</v>
      </c>
      <c r="C455" s="20" t="s">
        <v>251</v>
      </c>
      <c r="D455" s="20" t="s">
        <v>994</v>
      </c>
      <c r="E455" s="20" t="s">
        <v>145</v>
      </c>
      <c r="F455" s="6">
        <f>'Пр.5 Рд,пр, ЦС,ВР 20'!F455</f>
        <v>500</v>
      </c>
      <c r="G455" s="6">
        <f t="shared" si="22"/>
        <v>500</v>
      </c>
    </row>
    <row r="456" spans="1:7" ht="47.25">
      <c r="A456" s="25" t="s">
        <v>146</v>
      </c>
      <c r="B456" s="20" t="s">
        <v>251</v>
      </c>
      <c r="C456" s="20" t="s">
        <v>251</v>
      </c>
      <c r="D456" s="20" t="s">
        <v>994</v>
      </c>
      <c r="E456" s="20" t="s">
        <v>147</v>
      </c>
      <c r="F456" s="6">
        <f>'Пр.5 Рд,пр, ЦС,ВР 20'!F456</f>
        <v>500</v>
      </c>
      <c r="G456" s="6">
        <f t="shared" si="22"/>
        <v>500</v>
      </c>
    </row>
    <row r="457" spans="1:7" s="252" customFormat="1" ht="78.75" hidden="1">
      <c r="A457" s="35" t="s">
        <v>807</v>
      </c>
      <c r="B457" s="24" t="s">
        <v>251</v>
      </c>
      <c r="C457" s="24" t="s">
        <v>251</v>
      </c>
      <c r="D457" s="24" t="s">
        <v>341</v>
      </c>
      <c r="E457" s="24"/>
      <c r="F457" s="21">
        <f aca="true" t="shared" si="24" ref="F457:G460">F458</f>
        <v>0</v>
      </c>
      <c r="G457" s="21">
        <f t="shared" si="24"/>
        <v>0</v>
      </c>
    </row>
    <row r="458" spans="1:7" s="252" customFormat="1" ht="63" hidden="1">
      <c r="A458" s="35" t="s">
        <v>1171</v>
      </c>
      <c r="B458" s="24" t="s">
        <v>251</v>
      </c>
      <c r="C458" s="24" t="s">
        <v>251</v>
      </c>
      <c r="D458" s="24" t="s">
        <v>1033</v>
      </c>
      <c r="E458" s="24"/>
      <c r="F458" s="21">
        <f t="shared" si="24"/>
        <v>0</v>
      </c>
      <c r="G458" s="21">
        <f t="shared" si="24"/>
        <v>0</v>
      </c>
    </row>
    <row r="459" spans="1:7" s="252" customFormat="1" ht="63" hidden="1">
      <c r="A459" s="32" t="s">
        <v>1290</v>
      </c>
      <c r="B459" s="20" t="s">
        <v>251</v>
      </c>
      <c r="C459" s="20" t="s">
        <v>251</v>
      </c>
      <c r="D459" s="20" t="s">
        <v>1204</v>
      </c>
      <c r="E459" s="20"/>
      <c r="F459" s="26">
        <f t="shared" si="24"/>
        <v>0</v>
      </c>
      <c r="G459" s="26">
        <f t="shared" si="24"/>
        <v>0</v>
      </c>
    </row>
    <row r="460" spans="1:7" s="252" customFormat="1" ht="31.5" hidden="1">
      <c r="A460" s="25" t="s">
        <v>148</v>
      </c>
      <c r="B460" s="20" t="s">
        <v>251</v>
      </c>
      <c r="C460" s="20" t="s">
        <v>251</v>
      </c>
      <c r="D460" s="20" t="s">
        <v>1204</v>
      </c>
      <c r="E460" s="20" t="s">
        <v>149</v>
      </c>
      <c r="F460" s="26">
        <f t="shared" si="24"/>
        <v>0</v>
      </c>
      <c r="G460" s="26">
        <f t="shared" si="24"/>
        <v>0</v>
      </c>
    </row>
    <row r="461" spans="1:7" s="252" customFormat="1" ht="47.25" hidden="1">
      <c r="A461" s="25" t="s">
        <v>150</v>
      </c>
      <c r="B461" s="20" t="s">
        <v>251</v>
      </c>
      <c r="C461" s="20" t="s">
        <v>251</v>
      </c>
      <c r="D461" s="20" t="s">
        <v>1204</v>
      </c>
      <c r="E461" s="20" t="s">
        <v>151</v>
      </c>
      <c r="F461" s="26">
        <f>'пр.6.1.ведом.21-22'!G980</f>
        <v>0</v>
      </c>
      <c r="G461" s="6">
        <f>'пр.6.1.ведом.21-22'!H980</f>
        <v>0</v>
      </c>
    </row>
    <row r="462" spans="1:7" ht="15.75">
      <c r="A462" s="42" t="s">
        <v>280</v>
      </c>
      <c r="B462" s="7" t="s">
        <v>281</v>
      </c>
      <c r="C462" s="41"/>
      <c r="D462" s="41"/>
      <c r="E462" s="41"/>
      <c r="F462" s="4">
        <f>F463+F524+F699+F602+F670</f>
        <v>317454.281</v>
      </c>
      <c r="G462" s="4">
        <f>G463+G524+G699+G602+G670</f>
        <v>317454.281</v>
      </c>
    </row>
    <row r="463" spans="1:7" ht="15.75">
      <c r="A463" s="42" t="s">
        <v>421</v>
      </c>
      <c r="B463" s="7" t="s">
        <v>281</v>
      </c>
      <c r="C463" s="7" t="s">
        <v>135</v>
      </c>
      <c r="D463" s="7"/>
      <c r="E463" s="7"/>
      <c r="F463" s="4">
        <f>F464+F514+F519</f>
        <v>96706</v>
      </c>
      <c r="G463" s="4">
        <f>G464+G514+G519</f>
        <v>96706</v>
      </c>
    </row>
    <row r="464" spans="1:7" ht="47.25">
      <c r="A464" s="23" t="s">
        <v>422</v>
      </c>
      <c r="B464" s="24" t="s">
        <v>281</v>
      </c>
      <c r="C464" s="24" t="s">
        <v>135</v>
      </c>
      <c r="D464" s="24" t="s">
        <v>423</v>
      </c>
      <c r="E464" s="24"/>
      <c r="F464" s="4">
        <f>F465+F486</f>
        <v>96241.7</v>
      </c>
      <c r="G464" s="4">
        <f>G465+G486</f>
        <v>96241.7</v>
      </c>
    </row>
    <row r="465" spans="1:7" ht="47.25">
      <c r="A465" s="23" t="s">
        <v>424</v>
      </c>
      <c r="B465" s="24" t="s">
        <v>281</v>
      </c>
      <c r="C465" s="24" t="s">
        <v>135</v>
      </c>
      <c r="D465" s="24" t="s">
        <v>425</v>
      </c>
      <c r="E465" s="24"/>
      <c r="F465" s="4">
        <f>F466+F473</f>
        <v>86566.4</v>
      </c>
      <c r="G465" s="4">
        <f>G466+G473</f>
        <v>86566.4</v>
      </c>
    </row>
    <row r="466" spans="1:7" ht="47.25">
      <c r="A466" s="23" t="s">
        <v>1036</v>
      </c>
      <c r="B466" s="24" t="s">
        <v>281</v>
      </c>
      <c r="C466" s="24" t="s">
        <v>135</v>
      </c>
      <c r="D466" s="24" t="s">
        <v>1014</v>
      </c>
      <c r="E466" s="24"/>
      <c r="F466" s="4">
        <f>F467+F470</f>
        <v>13527</v>
      </c>
      <c r="G466" s="4">
        <f>G467+G470</f>
        <v>13527</v>
      </c>
    </row>
    <row r="467" spans="1:7" ht="63">
      <c r="A467" s="25" t="s">
        <v>1071</v>
      </c>
      <c r="B467" s="20" t="s">
        <v>281</v>
      </c>
      <c r="C467" s="20" t="s">
        <v>135</v>
      </c>
      <c r="D467" s="20" t="s">
        <v>1070</v>
      </c>
      <c r="E467" s="20"/>
      <c r="F467" s="6">
        <f>'Пр.5 Рд,пр, ЦС,ВР 20'!F467</f>
        <v>8224.3</v>
      </c>
      <c r="G467" s="6">
        <f aca="true" t="shared" si="25" ref="G467:G529">F467</f>
        <v>8224.3</v>
      </c>
    </row>
    <row r="468" spans="1:7" ht="47.25">
      <c r="A468" s="25" t="s">
        <v>289</v>
      </c>
      <c r="B468" s="20" t="s">
        <v>281</v>
      </c>
      <c r="C468" s="20" t="s">
        <v>135</v>
      </c>
      <c r="D468" s="20" t="s">
        <v>1070</v>
      </c>
      <c r="E468" s="20" t="s">
        <v>290</v>
      </c>
      <c r="F468" s="6">
        <f>'Пр.5 Рд,пр, ЦС,ВР 20'!F468</f>
        <v>8224.3</v>
      </c>
      <c r="G468" s="6">
        <f t="shared" si="25"/>
        <v>8224.3</v>
      </c>
    </row>
    <row r="469" spans="1:7" ht="15.75">
      <c r="A469" s="25" t="s">
        <v>291</v>
      </c>
      <c r="B469" s="20" t="s">
        <v>281</v>
      </c>
      <c r="C469" s="20" t="s">
        <v>135</v>
      </c>
      <c r="D469" s="20" t="s">
        <v>1070</v>
      </c>
      <c r="E469" s="20" t="s">
        <v>292</v>
      </c>
      <c r="F469" s="6">
        <f>'Пр.5 Рд,пр, ЦС,ВР 20'!F469</f>
        <v>8224.3</v>
      </c>
      <c r="G469" s="6">
        <f t="shared" si="25"/>
        <v>8224.3</v>
      </c>
    </row>
    <row r="470" spans="1:7" ht="63">
      <c r="A470" s="25" t="s">
        <v>1255</v>
      </c>
      <c r="B470" s="20" t="s">
        <v>281</v>
      </c>
      <c r="C470" s="20" t="s">
        <v>135</v>
      </c>
      <c r="D470" s="20" t="s">
        <v>1072</v>
      </c>
      <c r="E470" s="20"/>
      <c r="F470" s="6">
        <f>'Пр.5 Рд,пр, ЦС,ВР 20'!F470</f>
        <v>5302.7</v>
      </c>
      <c r="G470" s="6">
        <f t="shared" si="25"/>
        <v>5302.7</v>
      </c>
    </row>
    <row r="471" spans="1:7" ht="47.25">
      <c r="A471" s="25" t="s">
        <v>289</v>
      </c>
      <c r="B471" s="20" t="s">
        <v>281</v>
      </c>
      <c r="C471" s="20" t="s">
        <v>135</v>
      </c>
      <c r="D471" s="20" t="s">
        <v>1072</v>
      </c>
      <c r="E471" s="20" t="s">
        <v>290</v>
      </c>
      <c r="F471" s="6">
        <f>'Пр.5 Рд,пр, ЦС,ВР 20'!F471</f>
        <v>5302.7</v>
      </c>
      <c r="G471" s="6">
        <f t="shared" si="25"/>
        <v>5302.7</v>
      </c>
    </row>
    <row r="472" spans="1:7" ht="15.75">
      <c r="A472" s="25" t="s">
        <v>291</v>
      </c>
      <c r="B472" s="20" t="s">
        <v>281</v>
      </c>
      <c r="C472" s="20" t="s">
        <v>135</v>
      </c>
      <c r="D472" s="20" t="s">
        <v>1072</v>
      </c>
      <c r="E472" s="20" t="s">
        <v>292</v>
      </c>
      <c r="F472" s="6">
        <f>'Пр.5 Рд,пр, ЦС,ВР 20'!F472</f>
        <v>5302.7</v>
      </c>
      <c r="G472" s="6">
        <f t="shared" si="25"/>
        <v>5302.7</v>
      </c>
    </row>
    <row r="473" spans="1:7" ht="63">
      <c r="A473" s="23" t="s">
        <v>976</v>
      </c>
      <c r="B473" s="24" t="s">
        <v>281</v>
      </c>
      <c r="C473" s="24" t="s">
        <v>135</v>
      </c>
      <c r="D473" s="24" t="s">
        <v>1029</v>
      </c>
      <c r="E473" s="24"/>
      <c r="F473" s="4">
        <f>F474+F477+F480+F483</f>
        <v>73039.4</v>
      </c>
      <c r="G473" s="4">
        <f>G474+G477+G480+G483</f>
        <v>73039.4</v>
      </c>
    </row>
    <row r="474" spans="1:7" ht="78.75">
      <c r="A474" s="32" t="s">
        <v>306</v>
      </c>
      <c r="B474" s="20" t="s">
        <v>281</v>
      </c>
      <c r="C474" s="20" t="s">
        <v>135</v>
      </c>
      <c r="D474" s="20" t="s">
        <v>1028</v>
      </c>
      <c r="E474" s="20"/>
      <c r="F474" s="6">
        <f>'Пр.5 Рд,пр, ЦС,ВР 20'!F474</f>
        <v>363.7</v>
      </c>
      <c r="G474" s="6">
        <f t="shared" si="25"/>
        <v>363.7</v>
      </c>
    </row>
    <row r="475" spans="1:7" ht="47.25">
      <c r="A475" s="25" t="s">
        <v>289</v>
      </c>
      <c r="B475" s="20" t="s">
        <v>281</v>
      </c>
      <c r="C475" s="20" t="s">
        <v>135</v>
      </c>
      <c r="D475" s="20" t="s">
        <v>1028</v>
      </c>
      <c r="E475" s="20" t="s">
        <v>290</v>
      </c>
      <c r="F475" s="6">
        <f>'Пр.5 Рд,пр, ЦС,ВР 20'!F475</f>
        <v>363.7</v>
      </c>
      <c r="G475" s="6">
        <f t="shared" si="25"/>
        <v>363.7</v>
      </c>
    </row>
    <row r="476" spans="1:7" ht="15.75">
      <c r="A476" s="25" t="s">
        <v>291</v>
      </c>
      <c r="B476" s="20" t="s">
        <v>281</v>
      </c>
      <c r="C476" s="20" t="s">
        <v>135</v>
      </c>
      <c r="D476" s="20" t="s">
        <v>1028</v>
      </c>
      <c r="E476" s="20" t="s">
        <v>292</v>
      </c>
      <c r="F476" s="6">
        <f>'Пр.5 Рд,пр, ЦС,ВР 20'!F476</f>
        <v>363.7</v>
      </c>
      <c r="G476" s="6">
        <f t="shared" si="25"/>
        <v>363.7</v>
      </c>
    </row>
    <row r="477" spans="1:7" ht="94.5">
      <c r="A477" s="32" t="s">
        <v>437</v>
      </c>
      <c r="B477" s="20" t="s">
        <v>281</v>
      </c>
      <c r="C477" s="20" t="s">
        <v>135</v>
      </c>
      <c r="D477" s="20" t="s">
        <v>1031</v>
      </c>
      <c r="E477" s="20"/>
      <c r="F477" s="6">
        <f>'Пр.5 Рд,пр, ЦС,ВР 20'!F477</f>
        <v>1755.8</v>
      </c>
      <c r="G477" s="6">
        <f t="shared" si="25"/>
        <v>1755.8</v>
      </c>
    </row>
    <row r="478" spans="1:7" ht="47.25">
      <c r="A478" s="25" t="s">
        <v>289</v>
      </c>
      <c r="B478" s="20" t="s">
        <v>281</v>
      </c>
      <c r="C478" s="20" t="s">
        <v>135</v>
      </c>
      <c r="D478" s="20" t="s">
        <v>1031</v>
      </c>
      <c r="E478" s="20" t="s">
        <v>290</v>
      </c>
      <c r="F478" s="6">
        <f>'Пр.5 Рд,пр, ЦС,ВР 20'!F478</f>
        <v>1755.8</v>
      </c>
      <c r="G478" s="6">
        <f t="shared" si="25"/>
        <v>1755.8</v>
      </c>
    </row>
    <row r="479" spans="1:7" ht="15.75">
      <c r="A479" s="25" t="s">
        <v>291</v>
      </c>
      <c r="B479" s="20" t="s">
        <v>281</v>
      </c>
      <c r="C479" s="20" t="s">
        <v>135</v>
      </c>
      <c r="D479" s="20" t="s">
        <v>1031</v>
      </c>
      <c r="E479" s="20" t="s">
        <v>292</v>
      </c>
      <c r="F479" s="6">
        <f>'Пр.5 Рд,пр, ЦС,ВР 20'!F479</f>
        <v>1755.8</v>
      </c>
      <c r="G479" s="6">
        <f t="shared" si="25"/>
        <v>1755.8</v>
      </c>
    </row>
    <row r="480" spans="1:7" ht="110.25">
      <c r="A480" s="32" t="s">
        <v>438</v>
      </c>
      <c r="B480" s="20" t="s">
        <v>281</v>
      </c>
      <c r="C480" s="20" t="s">
        <v>135</v>
      </c>
      <c r="D480" s="20" t="s">
        <v>1030</v>
      </c>
      <c r="E480" s="20"/>
      <c r="F480" s="6">
        <f>'Пр.5 Рд,пр, ЦС,ВР 20'!F480</f>
        <v>68207.5</v>
      </c>
      <c r="G480" s="6">
        <f t="shared" si="25"/>
        <v>68207.5</v>
      </c>
    </row>
    <row r="481" spans="1:7" ht="47.25">
      <c r="A481" s="25" t="s">
        <v>289</v>
      </c>
      <c r="B481" s="20" t="s">
        <v>281</v>
      </c>
      <c r="C481" s="20" t="s">
        <v>135</v>
      </c>
      <c r="D481" s="20" t="s">
        <v>1030</v>
      </c>
      <c r="E481" s="20" t="s">
        <v>290</v>
      </c>
      <c r="F481" s="6">
        <f>'Пр.5 Рд,пр, ЦС,ВР 20'!F481</f>
        <v>68207.5</v>
      </c>
      <c r="G481" s="6">
        <f t="shared" si="25"/>
        <v>68207.5</v>
      </c>
    </row>
    <row r="482" spans="1:7" ht="15.75">
      <c r="A482" s="25" t="s">
        <v>291</v>
      </c>
      <c r="B482" s="20" t="s">
        <v>281</v>
      </c>
      <c r="C482" s="20" t="s">
        <v>135</v>
      </c>
      <c r="D482" s="20" t="s">
        <v>1030</v>
      </c>
      <c r="E482" s="20" t="s">
        <v>292</v>
      </c>
      <c r="F482" s="6">
        <f>'Пр.5 Рд,пр, ЦС,ВР 20'!F482</f>
        <v>68207.5</v>
      </c>
      <c r="G482" s="6">
        <f t="shared" si="25"/>
        <v>68207.5</v>
      </c>
    </row>
    <row r="483" spans="1:7" ht="126">
      <c r="A483" s="32" t="s">
        <v>310</v>
      </c>
      <c r="B483" s="20" t="s">
        <v>281</v>
      </c>
      <c r="C483" s="20" t="s">
        <v>135</v>
      </c>
      <c r="D483" s="20" t="s">
        <v>1032</v>
      </c>
      <c r="E483" s="20"/>
      <c r="F483" s="6">
        <f>'Пр.5 Рд,пр, ЦС,ВР 20'!F483</f>
        <v>2712.4</v>
      </c>
      <c r="G483" s="6">
        <f t="shared" si="25"/>
        <v>2712.4</v>
      </c>
    </row>
    <row r="484" spans="1:7" ht="47.25">
      <c r="A484" s="25" t="s">
        <v>289</v>
      </c>
      <c r="B484" s="20" t="s">
        <v>281</v>
      </c>
      <c r="C484" s="20" t="s">
        <v>135</v>
      </c>
      <c r="D484" s="20" t="s">
        <v>1032</v>
      </c>
      <c r="E484" s="20" t="s">
        <v>290</v>
      </c>
      <c r="F484" s="6">
        <f>'Пр.5 Рд,пр, ЦС,ВР 20'!F484</f>
        <v>2712.4</v>
      </c>
      <c r="G484" s="6">
        <f t="shared" si="25"/>
        <v>2712.4</v>
      </c>
    </row>
    <row r="485" spans="1:7" ht="15.75">
      <c r="A485" s="25" t="s">
        <v>291</v>
      </c>
      <c r="B485" s="20" t="s">
        <v>281</v>
      </c>
      <c r="C485" s="20" t="s">
        <v>135</v>
      </c>
      <c r="D485" s="20" t="s">
        <v>1032</v>
      </c>
      <c r="E485" s="20" t="s">
        <v>292</v>
      </c>
      <c r="F485" s="6">
        <f>'Пр.5 Рд,пр, ЦС,ВР 20'!F485</f>
        <v>2712.4</v>
      </c>
      <c r="G485" s="6">
        <f t="shared" si="25"/>
        <v>2712.4</v>
      </c>
    </row>
    <row r="486" spans="1:7" ht="47.25">
      <c r="A486" s="23" t="s">
        <v>428</v>
      </c>
      <c r="B486" s="24" t="s">
        <v>281</v>
      </c>
      <c r="C486" s="24" t="s">
        <v>135</v>
      </c>
      <c r="D486" s="24" t="s">
        <v>429</v>
      </c>
      <c r="E486" s="24"/>
      <c r="F486" s="4">
        <f>F487+F497+F507</f>
        <v>9675.3</v>
      </c>
      <c r="G486" s="4">
        <f>G487+G497+G507</f>
        <v>9675.3</v>
      </c>
    </row>
    <row r="487" spans="1:7" ht="31.5">
      <c r="A487" s="23" t="s">
        <v>1015</v>
      </c>
      <c r="B487" s="24" t="s">
        <v>281</v>
      </c>
      <c r="C487" s="24" t="s">
        <v>135</v>
      </c>
      <c r="D487" s="24" t="s">
        <v>1016</v>
      </c>
      <c r="E487" s="24"/>
      <c r="F487" s="4">
        <f>F488+F491+F494</f>
        <v>5170</v>
      </c>
      <c r="G487" s="4">
        <f>G488+G491+G494</f>
        <v>5170</v>
      </c>
    </row>
    <row r="488" spans="1:7" ht="47.25" hidden="1">
      <c r="A488" s="25" t="s">
        <v>295</v>
      </c>
      <c r="B488" s="20" t="s">
        <v>281</v>
      </c>
      <c r="C488" s="20" t="s">
        <v>135</v>
      </c>
      <c r="D488" s="20" t="s">
        <v>1017</v>
      </c>
      <c r="E488" s="20"/>
      <c r="F488" s="6">
        <f>'Пр.5 Рд,пр, ЦС,ВР 20'!F488</f>
        <v>0</v>
      </c>
      <c r="G488" s="6">
        <f t="shared" si="25"/>
        <v>0</v>
      </c>
    </row>
    <row r="489" spans="1:7" ht="47.25" hidden="1">
      <c r="A489" s="25" t="s">
        <v>289</v>
      </c>
      <c r="B489" s="20" t="s">
        <v>281</v>
      </c>
      <c r="C489" s="20" t="s">
        <v>135</v>
      </c>
      <c r="D489" s="20" t="s">
        <v>1017</v>
      </c>
      <c r="E489" s="20" t="s">
        <v>290</v>
      </c>
      <c r="F489" s="6">
        <f>'Пр.5 Рд,пр, ЦС,ВР 20'!F489</f>
        <v>0</v>
      </c>
      <c r="G489" s="6">
        <f t="shared" si="25"/>
        <v>0</v>
      </c>
    </row>
    <row r="490" spans="1:7" ht="15.75" hidden="1">
      <c r="A490" s="25" t="s">
        <v>291</v>
      </c>
      <c r="B490" s="20" t="s">
        <v>281</v>
      </c>
      <c r="C490" s="20" t="s">
        <v>135</v>
      </c>
      <c r="D490" s="20" t="s">
        <v>1017</v>
      </c>
      <c r="E490" s="20" t="s">
        <v>292</v>
      </c>
      <c r="F490" s="6">
        <f>'Пр.5 Рд,пр, ЦС,ВР 20'!F490</f>
        <v>0</v>
      </c>
      <c r="G490" s="6">
        <f t="shared" si="25"/>
        <v>0</v>
      </c>
    </row>
    <row r="491" spans="1:7" ht="31.5" hidden="1">
      <c r="A491" s="25" t="s">
        <v>297</v>
      </c>
      <c r="B491" s="20" t="s">
        <v>281</v>
      </c>
      <c r="C491" s="20" t="s">
        <v>135</v>
      </c>
      <c r="D491" s="20" t="s">
        <v>1018</v>
      </c>
      <c r="E491" s="20"/>
      <c r="F491" s="6">
        <f>'Пр.5 Рд,пр, ЦС,ВР 20'!F491</f>
        <v>0</v>
      </c>
      <c r="G491" s="6">
        <f t="shared" si="25"/>
        <v>0</v>
      </c>
    </row>
    <row r="492" spans="1:7" ht="47.25" hidden="1">
      <c r="A492" s="25" t="s">
        <v>289</v>
      </c>
      <c r="B492" s="20" t="s">
        <v>281</v>
      </c>
      <c r="C492" s="20" t="s">
        <v>135</v>
      </c>
      <c r="D492" s="20" t="s">
        <v>1018</v>
      </c>
      <c r="E492" s="20" t="s">
        <v>290</v>
      </c>
      <c r="F492" s="6">
        <f>'Пр.5 Рд,пр, ЦС,ВР 20'!F492</f>
        <v>0</v>
      </c>
      <c r="G492" s="6">
        <f t="shared" si="25"/>
        <v>0</v>
      </c>
    </row>
    <row r="493" spans="1:7" ht="15.75" hidden="1">
      <c r="A493" s="25" t="s">
        <v>291</v>
      </c>
      <c r="B493" s="20" t="s">
        <v>281</v>
      </c>
      <c r="C493" s="20" t="s">
        <v>135</v>
      </c>
      <c r="D493" s="20" t="s">
        <v>1018</v>
      </c>
      <c r="E493" s="20" t="s">
        <v>292</v>
      </c>
      <c r="F493" s="6">
        <f>'Пр.5 Рд,пр, ЦС,ВР 20'!F493</f>
        <v>0</v>
      </c>
      <c r="G493" s="6">
        <f t="shared" si="25"/>
        <v>0</v>
      </c>
    </row>
    <row r="494" spans="1:7" ht="47.25">
      <c r="A494" s="25" t="s">
        <v>432</v>
      </c>
      <c r="B494" s="20" t="s">
        <v>281</v>
      </c>
      <c r="C494" s="20" t="s">
        <v>135</v>
      </c>
      <c r="D494" s="20" t="s">
        <v>1019</v>
      </c>
      <c r="E494" s="20"/>
      <c r="F494" s="6">
        <f>'Пр.5 Рд,пр, ЦС,ВР 20'!F494</f>
        <v>5170</v>
      </c>
      <c r="G494" s="6">
        <f t="shared" si="25"/>
        <v>5170</v>
      </c>
    </row>
    <row r="495" spans="1:7" ht="47.25">
      <c r="A495" s="25" t="s">
        <v>289</v>
      </c>
      <c r="B495" s="20" t="s">
        <v>281</v>
      </c>
      <c r="C495" s="20" t="s">
        <v>135</v>
      </c>
      <c r="D495" s="20" t="s">
        <v>1019</v>
      </c>
      <c r="E495" s="20" t="s">
        <v>290</v>
      </c>
      <c r="F495" s="6">
        <f>'Пр.5 Рд,пр, ЦС,ВР 20'!F495</f>
        <v>5170</v>
      </c>
      <c r="G495" s="6">
        <f t="shared" si="25"/>
        <v>5170</v>
      </c>
    </row>
    <row r="496" spans="1:7" ht="15.75">
      <c r="A496" s="25" t="s">
        <v>291</v>
      </c>
      <c r="B496" s="20" t="s">
        <v>281</v>
      </c>
      <c r="C496" s="20" t="s">
        <v>135</v>
      </c>
      <c r="D496" s="20" t="s">
        <v>1019</v>
      </c>
      <c r="E496" s="20" t="s">
        <v>292</v>
      </c>
      <c r="F496" s="6">
        <f>'Пр.5 Рд,пр, ЦС,ВР 20'!F496</f>
        <v>5170</v>
      </c>
      <c r="G496" s="6">
        <f t="shared" si="25"/>
        <v>5170</v>
      </c>
    </row>
    <row r="497" spans="1:7" ht="47.25">
      <c r="A497" s="319" t="s">
        <v>1085</v>
      </c>
      <c r="B497" s="24" t="s">
        <v>281</v>
      </c>
      <c r="C497" s="24" t="s">
        <v>135</v>
      </c>
      <c r="D497" s="24" t="s">
        <v>1020</v>
      </c>
      <c r="E497" s="24"/>
      <c r="F497" s="4">
        <f>F498+F501+F504</f>
        <v>4215</v>
      </c>
      <c r="G497" s="4">
        <f>G498+G501+G504</f>
        <v>4215</v>
      </c>
    </row>
    <row r="498" spans="1:7" ht="31.5" hidden="1">
      <c r="A498" s="25" t="s">
        <v>301</v>
      </c>
      <c r="B498" s="20" t="s">
        <v>281</v>
      </c>
      <c r="C498" s="20" t="s">
        <v>135</v>
      </c>
      <c r="D498" s="20" t="s">
        <v>1021</v>
      </c>
      <c r="E498" s="20"/>
      <c r="F498" s="6">
        <f>'Пр.5 Рд,пр, ЦС,ВР 20'!F498</f>
        <v>0</v>
      </c>
      <c r="G498" s="6">
        <f t="shared" si="25"/>
        <v>0</v>
      </c>
    </row>
    <row r="499" spans="1:7" ht="47.25" hidden="1">
      <c r="A499" s="25" t="s">
        <v>289</v>
      </c>
      <c r="B499" s="20" t="s">
        <v>281</v>
      </c>
      <c r="C499" s="20" t="s">
        <v>135</v>
      </c>
      <c r="D499" s="20" t="s">
        <v>1021</v>
      </c>
      <c r="E499" s="20" t="s">
        <v>290</v>
      </c>
      <c r="F499" s="6">
        <f>'Пр.5 Рд,пр, ЦС,ВР 20'!F499</f>
        <v>0</v>
      </c>
      <c r="G499" s="6">
        <f t="shared" si="25"/>
        <v>0</v>
      </c>
    </row>
    <row r="500" spans="1:7" ht="15.75" hidden="1">
      <c r="A500" s="25" t="s">
        <v>291</v>
      </c>
      <c r="B500" s="20" t="s">
        <v>281</v>
      </c>
      <c r="C500" s="20" t="s">
        <v>135</v>
      </c>
      <c r="D500" s="20" t="s">
        <v>1021</v>
      </c>
      <c r="E500" s="20" t="s">
        <v>292</v>
      </c>
      <c r="F500" s="6">
        <f>'Пр.5 Рд,пр, ЦС,ВР 20'!F500</f>
        <v>0</v>
      </c>
      <c r="G500" s="6">
        <f t="shared" si="25"/>
        <v>0</v>
      </c>
    </row>
    <row r="501" spans="1:7" ht="47.25">
      <c r="A501" s="63" t="s">
        <v>789</v>
      </c>
      <c r="B501" s="20" t="s">
        <v>281</v>
      </c>
      <c r="C501" s="20" t="s">
        <v>135</v>
      </c>
      <c r="D501" s="20" t="s">
        <v>1022</v>
      </c>
      <c r="E501" s="20"/>
      <c r="F501" s="6">
        <f>'Пр.5 Рд,пр, ЦС,ВР 20'!F501</f>
        <v>2850</v>
      </c>
      <c r="G501" s="6">
        <f t="shared" si="25"/>
        <v>2850</v>
      </c>
    </row>
    <row r="502" spans="1:7" ht="47.25">
      <c r="A502" s="30" t="s">
        <v>289</v>
      </c>
      <c r="B502" s="20" t="s">
        <v>281</v>
      </c>
      <c r="C502" s="20" t="s">
        <v>135</v>
      </c>
      <c r="D502" s="20" t="s">
        <v>1022</v>
      </c>
      <c r="E502" s="20" t="s">
        <v>290</v>
      </c>
      <c r="F502" s="6">
        <f>'Пр.5 Рд,пр, ЦС,ВР 20'!F502</f>
        <v>2850</v>
      </c>
      <c r="G502" s="6">
        <f t="shared" si="25"/>
        <v>2850</v>
      </c>
    </row>
    <row r="503" spans="1:7" ht="15.75">
      <c r="A503" s="208" t="s">
        <v>291</v>
      </c>
      <c r="B503" s="20" t="s">
        <v>281</v>
      </c>
      <c r="C503" s="20" t="s">
        <v>135</v>
      </c>
      <c r="D503" s="20" t="s">
        <v>1022</v>
      </c>
      <c r="E503" s="20" t="s">
        <v>292</v>
      </c>
      <c r="F503" s="6">
        <f>'Пр.5 Рд,пр, ЦС,ВР 20'!F503</f>
        <v>2850</v>
      </c>
      <c r="G503" s="6">
        <f t="shared" si="25"/>
        <v>2850</v>
      </c>
    </row>
    <row r="504" spans="1:7" ht="63">
      <c r="A504" s="63" t="s">
        <v>790</v>
      </c>
      <c r="B504" s="20" t="s">
        <v>281</v>
      </c>
      <c r="C504" s="20" t="s">
        <v>135</v>
      </c>
      <c r="D504" s="20" t="s">
        <v>1023</v>
      </c>
      <c r="E504" s="20"/>
      <c r="F504" s="6">
        <f>'Пр.5 Рд,пр, ЦС,ВР 20'!F504</f>
        <v>1364.9999999999998</v>
      </c>
      <c r="G504" s="6">
        <f t="shared" si="25"/>
        <v>1364.9999999999998</v>
      </c>
    </row>
    <row r="505" spans="1:7" ht="47.25">
      <c r="A505" s="30" t="s">
        <v>289</v>
      </c>
      <c r="B505" s="20" t="s">
        <v>281</v>
      </c>
      <c r="C505" s="20" t="s">
        <v>135</v>
      </c>
      <c r="D505" s="20" t="s">
        <v>1023</v>
      </c>
      <c r="E505" s="20" t="s">
        <v>290</v>
      </c>
      <c r="F505" s="6">
        <f>'Пр.5 Рд,пр, ЦС,ВР 20'!F505</f>
        <v>1364.9999999999998</v>
      </c>
      <c r="G505" s="6">
        <f t="shared" si="25"/>
        <v>1364.9999999999998</v>
      </c>
    </row>
    <row r="506" spans="1:7" ht="15.75">
      <c r="A506" s="208" t="s">
        <v>291</v>
      </c>
      <c r="B506" s="20" t="s">
        <v>281</v>
      </c>
      <c r="C506" s="20" t="s">
        <v>135</v>
      </c>
      <c r="D506" s="20" t="s">
        <v>1023</v>
      </c>
      <c r="E506" s="20" t="s">
        <v>292</v>
      </c>
      <c r="F506" s="6">
        <f>'Пр.5 Рд,пр, ЦС,ВР 20'!F506</f>
        <v>1364.9999999999998</v>
      </c>
      <c r="G506" s="6">
        <f t="shared" si="25"/>
        <v>1364.9999999999998</v>
      </c>
    </row>
    <row r="507" spans="1:7" ht="94.5">
      <c r="A507" s="23" t="s">
        <v>1024</v>
      </c>
      <c r="B507" s="24" t="s">
        <v>281</v>
      </c>
      <c r="C507" s="24" t="s">
        <v>135</v>
      </c>
      <c r="D507" s="24" t="s">
        <v>1025</v>
      </c>
      <c r="E507" s="24"/>
      <c r="F507" s="4">
        <f>F508+F511</f>
        <v>290.3</v>
      </c>
      <c r="G507" s="4">
        <f>G508+G511</f>
        <v>290.3</v>
      </c>
    </row>
    <row r="508" spans="1:7" ht="189">
      <c r="A508" s="25" t="s">
        <v>833</v>
      </c>
      <c r="B508" s="20" t="s">
        <v>281</v>
      </c>
      <c r="C508" s="20" t="s">
        <v>135</v>
      </c>
      <c r="D508" s="20" t="s">
        <v>1026</v>
      </c>
      <c r="E508" s="20"/>
      <c r="F508" s="6">
        <f>'Пр.5 Рд,пр, ЦС,ВР 20'!F508</f>
        <v>124.4</v>
      </c>
      <c r="G508" s="6">
        <f t="shared" si="25"/>
        <v>124.4</v>
      </c>
    </row>
    <row r="509" spans="1:7" ht="47.25">
      <c r="A509" s="30" t="s">
        <v>289</v>
      </c>
      <c r="B509" s="20" t="s">
        <v>281</v>
      </c>
      <c r="C509" s="20" t="s">
        <v>135</v>
      </c>
      <c r="D509" s="20" t="s">
        <v>1026</v>
      </c>
      <c r="E509" s="20" t="s">
        <v>290</v>
      </c>
      <c r="F509" s="6">
        <f>'Пр.5 Рд,пр, ЦС,ВР 20'!F509</f>
        <v>124.4</v>
      </c>
      <c r="G509" s="6">
        <f t="shared" si="25"/>
        <v>124.4</v>
      </c>
    </row>
    <row r="510" spans="1:7" ht="15.75">
      <c r="A510" s="208" t="s">
        <v>291</v>
      </c>
      <c r="B510" s="20" t="s">
        <v>281</v>
      </c>
      <c r="C510" s="20" t="s">
        <v>135</v>
      </c>
      <c r="D510" s="20" t="s">
        <v>1026</v>
      </c>
      <c r="E510" s="20" t="s">
        <v>292</v>
      </c>
      <c r="F510" s="6">
        <f>'Пр.5 Рд,пр, ЦС,ВР 20'!F510</f>
        <v>124.4</v>
      </c>
      <c r="G510" s="6">
        <f t="shared" si="25"/>
        <v>124.4</v>
      </c>
    </row>
    <row r="511" spans="1:7" ht="173.25">
      <c r="A511" s="25" t="s">
        <v>440</v>
      </c>
      <c r="B511" s="20" t="s">
        <v>281</v>
      </c>
      <c r="C511" s="20" t="s">
        <v>135</v>
      </c>
      <c r="D511" s="20" t="s">
        <v>1027</v>
      </c>
      <c r="E511" s="20"/>
      <c r="F511" s="6">
        <f>'Пр.5 Рд,пр, ЦС,ВР 20'!F511</f>
        <v>165.9</v>
      </c>
      <c r="G511" s="6">
        <f t="shared" si="25"/>
        <v>165.9</v>
      </c>
    </row>
    <row r="512" spans="1:7" ht="47.25">
      <c r="A512" s="25" t="s">
        <v>289</v>
      </c>
      <c r="B512" s="20" t="s">
        <v>281</v>
      </c>
      <c r="C512" s="20" t="s">
        <v>135</v>
      </c>
      <c r="D512" s="20" t="s">
        <v>1027</v>
      </c>
      <c r="E512" s="20" t="s">
        <v>290</v>
      </c>
      <c r="F512" s="6">
        <f>'Пр.5 Рд,пр, ЦС,ВР 20'!F512</f>
        <v>165.9</v>
      </c>
      <c r="G512" s="6">
        <f t="shared" si="25"/>
        <v>165.9</v>
      </c>
    </row>
    <row r="513" spans="1:7" ht="15.75">
      <c r="A513" s="25" t="s">
        <v>291</v>
      </c>
      <c r="B513" s="20" t="s">
        <v>281</v>
      </c>
      <c r="C513" s="20" t="s">
        <v>135</v>
      </c>
      <c r="D513" s="20" t="s">
        <v>1027</v>
      </c>
      <c r="E513" s="20" t="s">
        <v>292</v>
      </c>
      <c r="F513" s="6">
        <f>'Пр.5 Рд,пр, ЦС,ВР 20'!F513</f>
        <v>165.9</v>
      </c>
      <c r="G513" s="6">
        <f t="shared" si="25"/>
        <v>165.9</v>
      </c>
    </row>
    <row r="514" spans="1:7" ht="78.75" hidden="1">
      <c r="A514" s="35" t="s">
        <v>807</v>
      </c>
      <c r="B514" s="24" t="s">
        <v>281</v>
      </c>
      <c r="C514" s="24" t="s">
        <v>135</v>
      </c>
      <c r="D514" s="24" t="s">
        <v>341</v>
      </c>
      <c r="E514" s="24"/>
      <c r="F514" s="4">
        <f>F515</f>
        <v>0</v>
      </c>
      <c r="G514" s="4">
        <f>G515</f>
        <v>0</v>
      </c>
    </row>
    <row r="515" spans="1:7" ht="63" hidden="1">
      <c r="A515" s="35" t="s">
        <v>1171</v>
      </c>
      <c r="B515" s="24" t="s">
        <v>281</v>
      </c>
      <c r="C515" s="24" t="s">
        <v>135</v>
      </c>
      <c r="D515" s="24" t="s">
        <v>1033</v>
      </c>
      <c r="E515" s="24"/>
      <c r="F515" s="4">
        <f>F516</f>
        <v>0</v>
      </c>
      <c r="G515" s="4">
        <f>G516</f>
        <v>0</v>
      </c>
    </row>
    <row r="516" spans="1:7" ht="63" hidden="1">
      <c r="A516" s="32" t="s">
        <v>1170</v>
      </c>
      <c r="B516" s="20" t="s">
        <v>281</v>
      </c>
      <c r="C516" s="20" t="s">
        <v>135</v>
      </c>
      <c r="D516" s="20" t="s">
        <v>1034</v>
      </c>
      <c r="E516" s="20"/>
      <c r="F516" s="6">
        <f>'Пр.5 Рд,пр, ЦС,ВР 20'!F516</f>
        <v>0</v>
      </c>
      <c r="G516" s="6">
        <f t="shared" si="25"/>
        <v>0</v>
      </c>
    </row>
    <row r="517" spans="1:7" ht="47.25" hidden="1">
      <c r="A517" s="32" t="s">
        <v>289</v>
      </c>
      <c r="B517" s="20" t="s">
        <v>281</v>
      </c>
      <c r="C517" s="20" t="s">
        <v>135</v>
      </c>
      <c r="D517" s="20" t="s">
        <v>1034</v>
      </c>
      <c r="E517" s="20" t="s">
        <v>290</v>
      </c>
      <c r="F517" s="6">
        <f>'Пр.5 Рд,пр, ЦС,ВР 20'!F517</f>
        <v>0</v>
      </c>
      <c r="G517" s="6">
        <f t="shared" si="25"/>
        <v>0</v>
      </c>
    </row>
    <row r="518" spans="1:7" ht="15.75" hidden="1">
      <c r="A518" s="32" t="s">
        <v>291</v>
      </c>
      <c r="B518" s="20" t="s">
        <v>281</v>
      </c>
      <c r="C518" s="20" t="s">
        <v>135</v>
      </c>
      <c r="D518" s="20" t="s">
        <v>1034</v>
      </c>
      <c r="E518" s="20" t="s">
        <v>292</v>
      </c>
      <c r="F518" s="6">
        <f>'Пр.5 Рд,пр, ЦС,ВР 20'!F518</f>
        <v>0</v>
      </c>
      <c r="G518" s="6">
        <f t="shared" si="25"/>
        <v>0</v>
      </c>
    </row>
    <row r="519" spans="1:7" ht="78.75">
      <c r="A519" s="42" t="s">
        <v>732</v>
      </c>
      <c r="B519" s="24" t="s">
        <v>281</v>
      </c>
      <c r="C519" s="24" t="s">
        <v>135</v>
      </c>
      <c r="D519" s="24" t="s">
        <v>730</v>
      </c>
      <c r="E519" s="324"/>
      <c r="F519" s="4">
        <f>F520</f>
        <v>464.3</v>
      </c>
      <c r="G519" s="4">
        <f>G520</f>
        <v>464.3</v>
      </c>
    </row>
    <row r="520" spans="1:7" ht="63">
      <c r="A520" s="42" t="s">
        <v>954</v>
      </c>
      <c r="B520" s="24" t="s">
        <v>281</v>
      </c>
      <c r="C520" s="24" t="s">
        <v>135</v>
      </c>
      <c r="D520" s="24" t="s">
        <v>952</v>
      </c>
      <c r="E520" s="324"/>
      <c r="F520" s="4">
        <f aca="true" t="shared" si="26" ref="F520:G520">F521</f>
        <v>464.3</v>
      </c>
      <c r="G520" s="4">
        <f t="shared" si="26"/>
        <v>464.3</v>
      </c>
    </row>
    <row r="521" spans="1:7" ht="47.25">
      <c r="A521" s="107" t="s">
        <v>805</v>
      </c>
      <c r="B521" s="20" t="s">
        <v>281</v>
      </c>
      <c r="C521" s="20" t="s">
        <v>135</v>
      </c>
      <c r="D521" s="20" t="s">
        <v>1035</v>
      </c>
      <c r="E521" s="33"/>
      <c r="F521" s="6">
        <f>'Пр.5 Рд,пр, ЦС,ВР 20'!F521</f>
        <v>464.3</v>
      </c>
      <c r="G521" s="6">
        <f t="shared" si="25"/>
        <v>464.3</v>
      </c>
    </row>
    <row r="522" spans="1:7" ht="47.25">
      <c r="A522" s="30" t="s">
        <v>289</v>
      </c>
      <c r="B522" s="20" t="s">
        <v>281</v>
      </c>
      <c r="C522" s="20" t="s">
        <v>135</v>
      </c>
      <c r="D522" s="20" t="s">
        <v>1035</v>
      </c>
      <c r="E522" s="33" t="s">
        <v>290</v>
      </c>
      <c r="F522" s="6">
        <f>'Пр.5 Рд,пр, ЦС,ВР 20'!F522</f>
        <v>464.3</v>
      </c>
      <c r="G522" s="6">
        <f t="shared" si="25"/>
        <v>464.3</v>
      </c>
    </row>
    <row r="523" spans="1:7" ht="15.75">
      <c r="A523" s="208" t="s">
        <v>291</v>
      </c>
      <c r="B523" s="20" t="s">
        <v>281</v>
      </c>
      <c r="C523" s="20" t="s">
        <v>135</v>
      </c>
      <c r="D523" s="20" t="s">
        <v>1035</v>
      </c>
      <c r="E523" s="33" t="s">
        <v>292</v>
      </c>
      <c r="F523" s="6">
        <f>'Пр.5 Рд,пр, ЦС,ВР 20'!F523</f>
        <v>464.3</v>
      </c>
      <c r="G523" s="6">
        <f t="shared" si="25"/>
        <v>464.3</v>
      </c>
    </row>
    <row r="524" spans="1:7" ht="15.75">
      <c r="A524" s="42" t="s">
        <v>442</v>
      </c>
      <c r="B524" s="7" t="s">
        <v>281</v>
      </c>
      <c r="C524" s="7" t="s">
        <v>230</v>
      </c>
      <c r="D524" s="7"/>
      <c r="E524" s="7"/>
      <c r="F524" s="4">
        <f>F525+F592+F597</f>
        <v>139817.9</v>
      </c>
      <c r="G524" s="4">
        <f>G525+G592+G597</f>
        <v>139817.9</v>
      </c>
    </row>
    <row r="525" spans="1:7" ht="47.25">
      <c r="A525" s="23" t="s">
        <v>443</v>
      </c>
      <c r="B525" s="24" t="s">
        <v>281</v>
      </c>
      <c r="C525" s="24" t="s">
        <v>230</v>
      </c>
      <c r="D525" s="24" t="s">
        <v>423</v>
      </c>
      <c r="E525" s="24"/>
      <c r="F525" s="4">
        <f>F526+F553</f>
        <v>139094.6</v>
      </c>
      <c r="G525" s="4">
        <f>G526+G553</f>
        <v>139094.6</v>
      </c>
    </row>
    <row r="526" spans="1:7" ht="47.25">
      <c r="A526" s="23" t="s">
        <v>424</v>
      </c>
      <c r="B526" s="24" t="s">
        <v>281</v>
      </c>
      <c r="C526" s="24" t="s">
        <v>230</v>
      </c>
      <c r="D526" s="24" t="s">
        <v>425</v>
      </c>
      <c r="E526" s="24"/>
      <c r="F526" s="4">
        <f>F527+F537</f>
        <v>130119.3</v>
      </c>
      <c r="G526" s="4">
        <f>G527+G537</f>
        <v>130119.3</v>
      </c>
    </row>
    <row r="527" spans="1:7" ht="47.25">
      <c r="A527" s="23" t="s">
        <v>1036</v>
      </c>
      <c r="B527" s="24" t="s">
        <v>281</v>
      </c>
      <c r="C527" s="24" t="s">
        <v>230</v>
      </c>
      <c r="D527" s="24" t="s">
        <v>1014</v>
      </c>
      <c r="E527" s="24"/>
      <c r="F527" s="4">
        <f>F528+F531+F534</f>
        <v>29803</v>
      </c>
      <c r="G527" s="4">
        <f>G528+G531+G534</f>
        <v>29803</v>
      </c>
    </row>
    <row r="528" spans="1:7" ht="63">
      <c r="A528" s="25" t="s">
        <v>1076</v>
      </c>
      <c r="B528" s="20" t="s">
        <v>281</v>
      </c>
      <c r="C528" s="20" t="s">
        <v>230</v>
      </c>
      <c r="D528" s="20" t="s">
        <v>1073</v>
      </c>
      <c r="E528" s="20"/>
      <c r="F528" s="6">
        <f>'Пр.5 Рд,пр, ЦС,ВР 20'!F528</f>
        <v>9775.400000000001</v>
      </c>
      <c r="G528" s="6">
        <f t="shared" si="25"/>
        <v>9775.400000000001</v>
      </c>
    </row>
    <row r="529" spans="1:7" ht="47.25">
      <c r="A529" s="25" t="s">
        <v>289</v>
      </c>
      <c r="B529" s="20" t="s">
        <v>281</v>
      </c>
      <c r="C529" s="20" t="s">
        <v>230</v>
      </c>
      <c r="D529" s="20" t="s">
        <v>1073</v>
      </c>
      <c r="E529" s="20" t="s">
        <v>290</v>
      </c>
      <c r="F529" s="6">
        <f>'Пр.5 Рд,пр, ЦС,ВР 20'!F529</f>
        <v>9775.400000000001</v>
      </c>
      <c r="G529" s="6">
        <f t="shared" si="25"/>
        <v>9775.400000000001</v>
      </c>
    </row>
    <row r="530" spans="1:7" ht="15.75">
      <c r="A530" s="25" t="s">
        <v>291</v>
      </c>
      <c r="B530" s="20" t="s">
        <v>281</v>
      </c>
      <c r="C530" s="20" t="s">
        <v>230</v>
      </c>
      <c r="D530" s="20" t="s">
        <v>1073</v>
      </c>
      <c r="E530" s="20" t="s">
        <v>292</v>
      </c>
      <c r="F530" s="6">
        <f>'Пр.5 Рд,пр, ЦС,ВР 20'!F530</f>
        <v>9775.400000000001</v>
      </c>
      <c r="G530" s="6">
        <f aca="true" t="shared" si="27" ref="G530:G591">F530</f>
        <v>9775.400000000001</v>
      </c>
    </row>
    <row r="531" spans="1:7" ht="63">
      <c r="A531" s="25" t="s">
        <v>1077</v>
      </c>
      <c r="B531" s="20" t="s">
        <v>281</v>
      </c>
      <c r="C531" s="20" t="s">
        <v>230</v>
      </c>
      <c r="D531" s="20" t="s">
        <v>1074</v>
      </c>
      <c r="E531" s="20"/>
      <c r="F531" s="6">
        <f>'Пр.5 Рд,пр, ЦС,ВР 20'!F531</f>
        <v>13351.7</v>
      </c>
      <c r="G531" s="6">
        <f t="shared" si="27"/>
        <v>13351.7</v>
      </c>
    </row>
    <row r="532" spans="1:7" ht="47.25">
      <c r="A532" s="25" t="s">
        <v>289</v>
      </c>
      <c r="B532" s="20" t="s">
        <v>281</v>
      </c>
      <c r="C532" s="20" t="s">
        <v>230</v>
      </c>
      <c r="D532" s="20" t="s">
        <v>1074</v>
      </c>
      <c r="E532" s="20" t="s">
        <v>290</v>
      </c>
      <c r="F532" s="6">
        <f>'Пр.5 Рд,пр, ЦС,ВР 20'!F532</f>
        <v>13351.7</v>
      </c>
      <c r="G532" s="6">
        <f t="shared" si="27"/>
        <v>13351.7</v>
      </c>
    </row>
    <row r="533" spans="1:7" ht="15.75">
      <c r="A533" s="25" t="s">
        <v>291</v>
      </c>
      <c r="B533" s="20" t="s">
        <v>281</v>
      </c>
      <c r="C533" s="20" t="s">
        <v>230</v>
      </c>
      <c r="D533" s="20" t="s">
        <v>1074</v>
      </c>
      <c r="E533" s="20" t="s">
        <v>292</v>
      </c>
      <c r="F533" s="6">
        <f>'Пр.5 Рд,пр, ЦС,ВР 20'!F533</f>
        <v>13351.7</v>
      </c>
      <c r="G533" s="6">
        <f t="shared" si="27"/>
        <v>13351.7</v>
      </c>
    </row>
    <row r="534" spans="1:7" ht="63">
      <c r="A534" s="25" t="s">
        <v>1078</v>
      </c>
      <c r="B534" s="20" t="s">
        <v>281</v>
      </c>
      <c r="C534" s="20" t="s">
        <v>230</v>
      </c>
      <c r="D534" s="20" t="s">
        <v>1075</v>
      </c>
      <c r="E534" s="20"/>
      <c r="F534" s="6">
        <f>'Пр.5 Рд,пр, ЦС,ВР 20'!F534</f>
        <v>6675.9</v>
      </c>
      <c r="G534" s="6">
        <f t="shared" si="27"/>
        <v>6675.9</v>
      </c>
    </row>
    <row r="535" spans="1:7" ht="47.25">
      <c r="A535" s="25" t="s">
        <v>289</v>
      </c>
      <c r="B535" s="20" t="s">
        <v>281</v>
      </c>
      <c r="C535" s="20" t="s">
        <v>230</v>
      </c>
      <c r="D535" s="20" t="s">
        <v>1075</v>
      </c>
      <c r="E535" s="20" t="s">
        <v>290</v>
      </c>
      <c r="F535" s="6">
        <f>'Пр.5 Рд,пр, ЦС,ВР 20'!F535</f>
        <v>6675.9</v>
      </c>
      <c r="G535" s="6">
        <f t="shared" si="27"/>
        <v>6675.9</v>
      </c>
    </row>
    <row r="536" spans="1:7" ht="15.75">
      <c r="A536" s="25" t="s">
        <v>291</v>
      </c>
      <c r="B536" s="20" t="s">
        <v>281</v>
      </c>
      <c r="C536" s="20" t="s">
        <v>230</v>
      </c>
      <c r="D536" s="20" t="s">
        <v>1075</v>
      </c>
      <c r="E536" s="20" t="s">
        <v>292</v>
      </c>
      <c r="F536" s="6">
        <f>'Пр.5 Рд,пр, ЦС,ВР 20'!F536</f>
        <v>6675.9</v>
      </c>
      <c r="G536" s="6">
        <f t="shared" si="27"/>
        <v>6675.9</v>
      </c>
    </row>
    <row r="537" spans="1:7" ht="63">
      <c r="A537" s="23" t="s">
        <v>976</v>
      </c>
      <c r="B537" s="24" t="s">
        <v>281</v>
      </c>
      <c r="C537" s="24" t="s">
        <v>230</v>
      </c>
      <c r="D537" s="24" t="s">
        <v>1029</v>
      </c>
      <c r="E537" s="24"/>
      <c r="F537" s="4">
        <f>F538+F541+F544+F547+F550</f>
        <v>100316.3</v>
      </c>
      <c r="G537" s="4">
        <f>G538+G541+G544+G547+G550</f>
        <v>100316.3</v>
      </c>
    </row>
    <row r="538" spans="1:7" ht="110.25">
      <c r="A538" s="32" t="s">
        <v>477</v>
      </c>
      <c r="B538" s="20" t="s">
        <v>281</v>
      </c>
      <c r="C538" s="20" t="s">
        <v>230</v>
      </c>
      <c r="D538" s="20" t="s">
        <v>1057</v>
      </c>
      <c r="E538" s="20"/>
      <c r="F538" s="6">
        <f>'Пр.5 Рд,пр, ЦС,ВР 20'!F538</f>
        <v>91447.9</v>
      </c>
      <c r="G538" s="6">
        <f t="shared" si="27"/>
        <v>91447.9</v>
      </c>
    </row>
    <row r="539" spans="1:7" ht="47.25">
      <c r="A539" s="25" t="s">
        <v>289</v>
      </c>
      <c r="B539" s="20" t="s">
        <v>281</v>
      </c>
      <c r="C539" s="20" t="s">
        <v>230</v>
      </c>
      <c r="D539" s="20" t="s">
        <v>1057</v>
      </c>
      <c r="E539" s="20" t="s">
        <v>290</v>
      </c>
      <c r="F539" s="6">
        <f>'Пр.5 Рд,пр, ЦС,ВР 20'!F539</f>
        <v>91447.9</v>
      </c>
      <c r="G539" s="6">
        <f t="shared" si="27"/>
        <v>91447.9</v>
      </c>
    </row>
    <row r="540" spans="1:7" ht="15.75">
      <c r="A540" s="25" t="s">
        <v>291</v>
      </c>
      <c r="B540" s="20" t="s">
        <v>281</v>
      </c>
      <c r="C540" s="20" t="s">
        <v>230</v>
      </c>
      <c r="D540" s="20" t="s">
        <v>1057</v>
      </c>
      <c r="E540" s="20" t="s">
        <v>292</v>
      </c>
      <c r="F540" s="6">
        <f>'Пр.5 Рд,пр, ЦС,ВР 20'!F540</f>
        <v>91447.9</v>
      </c>
      <c r="G540" s="6">
        <f t="shared" si="27"/>
        <v>91447.9</v>
      </c>
    </row>
    <row r="541" spans="1:7" ht="78.75">
      <c r="A541" s="32" t="s">
        <v>306</v>
      </c>
      <c r="B541" s="20" t="s">
        <v>281</v>
      </c>
      <c r="C541" s="20" t="s">
        <v>230</v>
      </c>
      <c r="D541" s="20" t="s">
        <v>1028</v>
      </c>
      <c r="E541" s="20"/>
      <c r="F541" s="6">
        <f>'Пр.5 Рд,пр, ЦС,ВР 20'!F541</f>
        <v>809.4</v>
      </c>
      <c r="G541" s="6">
        <f t="shared" si="27"/>
        <v>809.4</v>
      </c>
    </row>
    <row r="542" spans="1:7" ht="47.25">
      <c r="A542" s="25" t="s">
        <v>289</v>
      </c>
      <c r="B542" s="20" t="s">
        <v>281</v>
      </c>
      <c r="C542" s="20" t="s">
        <v>230</v>
      </c>
      <c r="D542" s="20" t="s">
        <v>1028</v>
      </c>
      <c r="E542" s="20" t="s">
        <v>290</v>
      </c>
      <c r="F542" s="6">
        <f>'Пр.5 Рд,пр, ЦС,ВР 20'!F542</f>
        <v>809.4</v>
      </c>
      <c r="G542" s="6">
        <f t="shared" si="27"/>
        <v>809.4</v>
      </c>
    </row>
    <row r="543" spans="1:7" ht="15.75">
      <c r="A543" s="25" t="s">
        <v>291</v>
      </c>
      <c r="B543" s="20" t="s">
        <v>281</v>
      </c>
      <c r="C543" s="20" t="s">
        <v>230</v>
      </c>
      <c r="D543" s="20" t="s">
        <v>1028</v>
      </c>
      <c r="E543" s="20" t="s">
        <v>292</v>
      </c>
      <c r="F543" s="6">
        <f>'Пр.5 Рд,пр, ЦС,ВР 20'!F543</f>
        <v>809.4</v>
      </c>
      <c r="G543" s="6">
        <f t="shared" si="27"/>
        <v>809.4</v>
      </c>
    </row>
    <row r="544" spans="1:7" ht="94.5">
      <c r="A544" s="32" t="s">
        <v>308</v>
      </c>
      <c r="B544" s="20" t="s">
        <v>281</v>
      </c>
      <c r="C544" s="20" t="s">
        <v>230</v>
      </c>
      <c r="D544" s="20" t="s">
        <v>1031</v>
      </c>
      <c r="E544" s="20"/>
      <c r="F544" s="6">
        <f>'Пр.5 Рд,пр, ЦС,ВР 20'!F544</f>
        <v>2442.6</v>
      </c>
      <c r="G544" s="6">
        <f t="shared" si="27"/>
        <v>2442.6</v>
      </c>
    </row>
    <row r="545" spans="1:7" ht="47.25">
      <c r="A545" s="25" t="s">
        <v>289</v>
      </c>
      <c r="B545" s="20" t="s">
        <v>281</v>
      </c>
      <c r="C545" s="20" t="s">
        <v>230</v>
      </c>
      <c r="D545" s="20" t="s">
        <v>1031</v>
      </c>
      <c r="E545" s="20" t="s">
        <v>290</v>
      </c>
      <c r="F545" s="6">
        <f>'Пр.5 Рд,пр, ЦС,ВР 20'!F545</f>
        <v>2442.6</v>
      </c>
      <c r="G545" s="6">
        <f t="shared" si="27"/>
        <v>2442.6</v>
      </c>
    </row>
    <row r="546" spans="1:7" ht="15.75">
      <c r="A546" s="25" t="s">
        <v>291</v>
      </c>
      <c r="B546" s="20" t="s">
        <v>281</v>
      </c>
      <c r="C546" s="20" t="s">
        <v>230</v>
      </c>
      <c r="D546" s="20" t="s">
        <v>1031</v>
      </c>
      <c r="E546" s="20" t="s">
        <v>292</v>
      </c>
      <c r="F546" s="6">
        <f>'Пр.5 Рд,пр, ЦС,ВР 20'!F546</f>
        <v>2442.6</v>
      </c>
      <c r="G546" s="6">
        <f t="shared" si="27"/>
        <v>2442.6</v>
      </c>
    </row>
    <row r="547" spans="1:7" ht="63">
      <c r="A547" s="32" t="s">
        <v>479</v>
      </c>
      <c r="B547" s="20" t="s">
        <v>281</v>
      </c>
      <c r="C547" s="20" t="s">
        <v>230</v>
      </c>
      <c r="D547" s="20" t="s">
        <v>1058</v>
      </c>
      <c r="E547" s="20"/>
      <c r="F547" s="6">
        <f>'Пр.5 Рд,пр, ЦС,ВР 20'!F547</f>
        <v>946.8</v>
      </c>
      <c r="G547" s="6">
        <f t="shared" si="27"/>
        <v>946.8</v>
      </c>
    </row>
    <row r="548" spans="1:7" ht="47.25">
      <c r="A548" s="25" t="s">
        <v>289</v>
      </c>
      <c r="B548" s="20" t="s">
        <v>281</v>
      </c>
      <c r="C548" s="20" t="s">
        <v>230</v>
      </c>
      <c r="D548" s="20" t="s">
        <v>1058</v>
      </c>
      <c r="E548" s="20" t="s">
        <v>290</v>
      </c>
      <c r="F548" s="6">
        <f>'Пр.5 Рд,пр, ЦС,ВР 20'!F548</f>
        <v>946.8</v>
      </c>
      <c r="G548" s="6">
        <f t="shared" si="27"/>
        <v>946.8</v>
      </c>
    </row>
    <row r="549" spans="1:7" ht="15.75">
      <c r="A549" s="25" t="s">
        <v>291</v>
      </c>
      <c r="B549" s="20" t="s">
        <v>281</v>
      </c>
      <c r="C549" s="20" t="s">
        <v>230</v>
      </c>
      <c r="D549" s="20" t="s">
        <v>1058</v>
      </c>
      <c r="E549" s="20" t="s">
        <v>292</v>
      </c>
      <c r="F549" s="6">
        <f>'Пр.5 Рд,пр, ЦС,ВР 20'!F549</f>
        <v>946.8</v>
      </c>
      <c r="G549" s="6">
        <f t="shared" si="27"/>
        <v>946.8</v>
      </c>
    </row>
    <row r="550" spans="1:7" ht="126">
      <c r="A550" s="32" t="s">
        <v>481</v>
      </c>
      <c r="B550" s="20" t="s">
        <v>281</v>
      </c>
      <c r="C550" s="20" t="s">
        <v>230</v>
      </c>
      <c r="D550" s="20" t="s">
        <v>1032</v>
      </c>
      <c r="E550" s="20"/>
      <c r="F550" s="6">
        <f>'Пр.5 Рд,пр, ЦС,ВР 20'!F550</f>
        <v>4669.6</v>
      </c>
      <c r="G550" s="6">
        <f t="shared" si="27"/>
        <v>4669.6</v>
      </c>
    </row>
    <row r="551" spans="1:7" ht="47.25">
      <c r="A551" s="25" t="s">
        <v>289</v>
      </c>
      <c r="B551" s="20" t="s">
        <v>281</v>
      </c>
      <c r="C551" s="20" t="s">
        <v>230</v>
      </c>
      <c r="D551" s="20" t="s">
        <v>1032</v>
      </c>
      <c r="E551" s="20" t="s">
        <v>290</v>
      </c>
      <c r="F551" s="6">
        <f>'Пр.5 Рд,пр, ЦС,ВР 20'!F551</f>
        <v>4669.6</v>
      </c>
      <c r="G551" s="6">
        <f t="shared" si="27"/>
        <v>4669.6</v>
      </c>
    </row>
    <row r="552" spans="1:7" ht="15.75">
      <c r="A552" s="25" t="s">
        <v>291</v>
      </c>
      <c r="B552" s="20" t="s">
        <v>281</v>
      </c>
      <c r="C552" s="20" t="s">
        <v>230</v>
      </c>
      <c r="D552" s="20" t="s">
        <v>1032</v>
      </c>
      <c r="E552" s="20" t="s">
        <v>292</v>
      </c>
      <c r="F552" s="6">
        <f>'Пр.5 Рд,пр, ЦС,ВР 20'!F552</f>
        <v>4669.6</v>
      </c>
      <c r="G552" s="6">
        <f t="shared" si="27"/>
        <v>4669.6</v>
      </c>
    </row>
    <row r="553" spans="1:7" ht="47.25">
      <c r="A553" s="386" t="s">
        <v>447</v>
      </c>
      <c r="B553" s="24" t="s">
        <v>281</v>
      </c>
      <c r="C553" s="24" t="s">
        <v>230</v>
      </c>
      <c r="D553" s="24" t="s">
        <v>448</v>
      </c>
      <c r="E553" s="24"/>
      <c r="F553" s="4">
        <f>F554+F567+F574+F581+F588</f>
        <v>8975.3</v>
      </c>
      <c r="G553" s="4">
        <f>G554+G567+G574+G581+G588</f>
        <v>8975.3</v>
      </c>
    </row>
    <row r="554" spans="1:7" ht="31.5">
      <c r="A554" s="23" t="s">
        <v>1285</v>
      </c>
      <c r="B554" s="24" t="s">
        <v>281</v>
      </c>
      <c r="C554" s="24" t="s">
        <v>230</v>
      </c>
      <c r="D554" s="24" t="s">
        <v>1038</v>
      </c>
      <c r="E554" s="24"/>
      <c r="F554" s="4">
        <f>F555+F558+F561+F564</f>
        <v>224</v>
      </c>
      <c r="G554" s="4">
        <f>G555+G558+G561+G564</f>
        <v>224</v>
      </c>
    </row>
    <row r="555" spans="1:7" ht="47.25" hidden="1">
      <c r="A555" s="25" t="s">
        <v>457</v>
      </c>
      <c r="B555" s="20" t="s">
        <v>281</v>
      </c>
      <c r="C555" s="20" t="s">
        <v>230</v>
      </c>
      <c r="D555" s="20" t="s">
        <v>1042</v>
      </c>
      <c r="E555" s="20"/>
      <c r="F555" s="6">
        <f>'Пр.5 Рд,пр, ЦС,ВР 20'!F555</f>
        <v>0</v>
      </c>
      <c r="G555" s="6">
        <f t="shared" si="27"/>
        <v>0</v>
      </c>
    </row>
    <row r="556" spans="1:7" ht="47.25" hidden="1">
      <c r="A556" s="25" t="s">
        <v>289</v>
      </c>
      <c r="B556" s="20" t="s">
        <v>281</v>
      </c>
      <c r="C556" s="20" t="s">
        <v>230</v>
      </c>
      <c r="D556" s="20" t="s">
        <v>1042</v>
      </c>
      <c r="E556" s="20" t="s">
        <v>290</v>
      </c>
      <c r="F556" s="6">
        <f>'Пр.5 Рд,пр, ЦС,ВР 20'!F556</f>
        <v>0</v>
      </c>
      <c r="G556" s="6">
        <f t="shared" si="27"/>
        <v>0</v>
      </c>
    </row>
    <row r="557" spans="1:7" ht="15.75" hidden="1">
      <c r="A557" s="25" t="s">
        <v>291</v>
      </c>
      <c r="B557" s="20" t="s">
        <v>281</v>
      </c>
      <c r="C557" s="20" t="s">
        <v>230</v>
      </c>
      <c r="D557" s="20" t="s">
        <v>1042</v>
      </c>
      <c r="E557" s="20" t="s">
        <v>292</v>
      </c>
      <c r="F557" s="6">
        <f>'Пр.5 Рд,пр, ЦС,ВР 20'!F557</f>
        <v>0</v>
      </c>
      <c r="G557" s="6">
        <f t="shared" si="27"/>
        <v>0</v>
      </c>
    </row>
    <row r="558" spans="1:7" ht="47.25" hidden="1">
      <c r="A558" s="25" t="s">
        <v>295</v>
      </c>
      <c r="B558" s="20" t="s">
        <v>281</v>
      </c>
      <c r="C558" s="20" t="s">
        <v>230</v>
      </c>
      <c r="D558" s="20" t="s">
        <v>1043</v>
      </c>
      <c r="E558" s="20"/>
      <c r="F558" s="6">
        <f>'Пр.5 Рд,пр, ЦС,ВР 20'!F558</f>
        <v>0</v>
      </c>
      <c r="G558" s="6">
        <f t="shared" si="27"/>
        <v>0</v>
      </c>
    </row>
    <row r="559" spans="1:7" ht="47.25" hidden="1">
      <c r="A559" s="25" t="s">
        <v>289</v>
      </c>
      <c r="B559" s="20" t="s">
        <v>281</v>
      </c>
      <c r="C559" s="20" t="s">
        <v>230</v>
      </c>
      <c r="D559" s="20" t="s">
        <v>1043</v>
      </c>
      <c r="E559" s="20" t="s">
        <v>290</v>
      </c>
      <c r="F559" s="6">
        <f>'Пр.5 Рд,пр, ЦС,ВР 20'!F559</f>
        <v>0</v>
      </c>
      <c r="G559" s="6">
        <f t="shared" si="27"/>
        <v>0</v>
      </c>
    </row>
    <row r="560" spans="1:7" ht="15.75" hidden="1">
      <c r="A560" s="25" t="s">
        <v>291</v>
      </c>
      <c r="B560" s="20" t="s">
        <v>281</v>
      </c>
      <c r="C560" s="20" t="s">
        <v>230</v>
      </c>
      <c r="D560" s="20" t="s">
        <v>1043</v>
      </c>
      <c r="E560" s="20" t="s">
        <v>292</v>
      </c>
      <c r="F560" s="6">
        <f>'Пр.5 Рд,пр, ЦС,ВР 20'!F560</f>
        <v>0</v>
      </c>
      <c r="G560" s="6">
        <f t="shared" si="27"/>
        <v>0</v>
      </c>
    </row>
    <row r="561" spans="1:7" ht="31.5" hidden="1">
      <c r="A561" s="25" t="s">
        <v>297</v>
      </c>
      <c r="B561" s="20" t="s">
        <v>281</v>
      </c>
      <c r="C561" s="20" t="s">
        <v>230</v>
      </c>
      <c r="D561" s="20" t="s">
        <v>1044</v>
      </c>
      <c r="E561" s="20"/>
      <c r="F561" s="6">
        <f>'Пр.5 Рд,пр, ЦС,ВР 20'!F561</f>
        <v>0</v>
      </c>
      <c r="G561" s="6">
        <f t="shared" si="27"/>
        <v>0</v>
      </c>
    </row>
    <row r="562" spans="1:7" ht="47.25" hidden="1">
      <c r="A562" s="25" t="s">
        <v>289</v>
      </c>
      <c r="B562" s="20" t="s">
        <v>281</v>
      </c>
      <c r="C562" s="20" t="s">
        <v>230</v>
      </c>
      <c r="D562" s="20" t="s">
        <v>1044</v>
      </c>
      <c r="E562" s="20" t="s">
        <v>290</v>
      </c>
      <c r="F562" s="6">
        <f>'Пр.5 Рд,пр, ЦС,ВР 20'!F562</f>
        <v>0</v>
      </c>
      <c r="G562" s="6">
        <f t="shared" si="27"/>
        <v>0</v>
      </c>
    </row>
    <row r="563" spans="1:7" ht="15.75" hidden="1">
      <c r="A563" s="25" t="s">
        <v>291</v>
      </c>
      <c r="B563" s="20" t="s">
        <v>281</v>
      </c>
      <c r="C563" s="20" t="s">
        <v>230</v>
      </c>
      <c r="D563" s="20" t="s">
        <v>1044</v>
      </c>
      <c r="E563" s="20" t="s">
        <v>292</v>
      </c>
      <c r="F563" s="6">
        <f>'Пр.5 Рд,пр, ЦС,ВР 20'!F563</f>
        <v>0</v>
      </c>
      <c r="G563" s="6">
        <f t="shared" si="27"/>
        <v>0</v>
      </c>
    </row>
    <row r="564" spans="1:7" ht="47.25">
      <c r="A564" s="25" t="s">
        <v>299</v>
      </c>
      <c r="B564" s="20" t="s">
        <v>281</v>
      </c>
      <c r="C564" s="20" t="s">
        <v>230</v>
      </c>
      <c r="D564" s="20" t="s">
        <v>1045</v>
      </c>
      <c r="E564" s="20"/>
      <c r="F564" s="6">
        <f>'Пр.5 Рд,пр, ЦС,ВР 20'!F564</f>
        <v>224</v>
      </c>
      <c r="G564" s="6">
        <f t="shared" si="27"/>
        <v>224</v>
      </c>
    </row>
    <row r="565" spans="1:7" ht="47.25">
      <c r="A565" s="25" t="s">
        <v>289</v>
      </c>
      <c r="B565" s="20" t="s">
        <v>281</v>
      </c>
      <c r="C565" s="20" t="s">
        <v>230</v>
      </c>
      <c r="D565" s="20" t="s">
        <v>1045</v>
      </c>
      <c r="E565" s="20" t="s">
        <v>290</v>
      </c>
      <c r="F565" s="6">
        <f>'Пр.5 Рд,пр, ЦС,ВР 20'!F565</f>
        <v>224</v>
      </c>
      <c r="G565" s="6">
        <f t="shared" si="27"/>
        <v>224</v>
      </c>
    </row>
    <row r="566" spans="1:7" ht="15.75">
      <c r="A566" s="25" t="s">
        <v>291</v>
      </c>
      <c r="B566" s="20" t="s">
        <v>281</v>
      </c>
      <c r="C566" s="20" t="s">
        <v>230</v>
      </c>
      <c r="D566" s="20" t="s">
        <v>1045</v>
      </c>
      <c r="E566" s="20" t="s">
        <v>292</v>
      </c>
      <c r="F566" s="6">
        <f>'Пр.5 Рд,пр, ЦС,ВР 20'!F566</f>
        <v>224</v>
      </c>
      <c r="G566" s="6">
        <f t="shared" si="27"/>
        <v>224</v>
      </c>
    </row>
    <row r="567" spans="1:7" ht="47.25">
      <c r="A567" s="23" t="s">
        <v>1039</v>
      </c>
      <c r="B567" s="24" t="s">
        <v>281</v>
      </c>
      <c r="C567" s="24" t="s">
        <v>230</v>
      </c>
      <c r="D567" s="24" t="s">
        <v>1040</v>
      </c>
      <c r="E567" s="24"/>
      <c r="F567" s="4">
        <f>F568+F571</f>
        <v>4582.6</v>
      </c>
      <c r="G567" s="4">
        <f>G568+G571</f>
        <v>4582.6</v>
      </c>
    </row>
    <row r="568" spans="1:7" ht="53.25" customHeight="1">
      <c r="A568" s="307" t="s">
        <v>453</v>
      </c>
      <c r="B568" s="20" t="s">
        <v>281</v>
      </c>
      <c r="C568" s="20" t="s">
        <v>230</v>
      </c>
      <c r="D568" s="20" t="s">
        <v>1046</v>
      </c>
      <c r="E568" s="20"/>
      <c r="F568" s="6">
        <f>'Пр.5 Рд,пр, ЦС,ВР 20'!F568</f>
        <v>2914.0000000000005</v>
      </c>
      <c r="G568" s="6">
        <f t="shared" si="27"/>
        <v>2914.0000000000005</v>
      </c>
    </row>
    <row r="569" spans="1:7" ht="47.25">
      <c r="A569" s="25" t="s">
        <v>289</v>
      </c>
      <c r="B569" s="20" t="s">
        <v>281</v>
      </c>
      <c r="C569" s="20" t="s">
        <v>230</v>
      </c>
      <c r="D569" s="20" t="s">
        <v>1046</v>
      </c>
      <c r="E569" s="20" t="s">
        <v>290</v>
      </c>
      <c r="F569" s="6">
        <f>'Пр.5 Рд,пр, ЦС,ВР 20'!F569</f>
        <v>2914.0000000000005</v>
      </c>
      <c r="G569" s="6">
        <f t="shared" si="27"/>
        <v>2914.0000000000005</v>
      </c>
    </row>
    <row r="570" spans="1:7" ht="15.75">
      <c r="A570" s="25" t="s">
        <v>291</v>
      </c>
      <c r="B570" s="20" t="s">
        <v>281</v>
      </c>
      <c r="C570" s="20" t="s">
        <v>230</v>
      </c>
      <c r="D570" s="20" t="s">
        <v>1046</v>
      </c>
      <c r="E570" s="20" t="s">
        <v>292</v>
      </c>
      <c r="F570" s="6">
        <f>'Пр.5 Рд,пр, ЦС,ВР 20'!F570</f>
        <v>2914.0000000000005</v>
      </c>
      <c r="G570" s="6">
        <f t="shared" si="27"/>
        <v>2914.0000000000005</v>
      </c>
    </row>
    <row r="571" spans="1:7" ht="31.5">
      <c r="A571" s="25" t="s">
        <v>473</v>
      </c>
      <c r="B571" s="20" t="s">
        <v>281</v>
      </c>
      <c r="C571" s="20" t="s">
        <v>230</v>
      </c>
      <c r="D571" s="20" t="s">
        <v>1047</v>
      </c>
      <c r="E571" s="20"/>
      <c r="F571" s="6">
        <f>'Пр.5 Рд,пр, ЦС,ВР 20'!F571</f>
        <v>1668.6</v>
      </c>
      <c r="G571" s="6">
        <f t="shared" si="27"/>
        <v>1668.6</v>
      </c>
    </row>
    <row r="572" spans="1:7" ht="47.25">
      <c r="A572" s="25" t="s">
        <v>289</v>
      </c>
      <c r="B572" s="20" t="s">
        <v>281</v>
      </c>
      <c r="C572" s="20" t="s">
        <v>230</v>
      </c>
      <c r="D572" s="20" t="s">
        <v>1047</v>
      </c>
      <c r="E572" s="20" t="s">
        <v>290</v>
      </c>
      <c r="F572" s="6">
        <f>'Пр.5 Рд,пр, ЦС,ВР 20'!F572</f>
        <v>1668.6</v>
      </c>
      <c r="G572" s="6">
        <f t="shared" si="27"/>
        <v>1668.6</v>
      </c>
    </row>
    <row r="573" spans="1:7" ht="15.75">
      <c r="A573" s="25" t="s">
        <v>291</v>
      </c>
      <c r="B573" s="20" t="s">
        <v>281</v>
      </c>
      <c r="C573" s="20" t="s">
        <v>230</v>
      </c>
      <c r="D573" s="20" t="s">
        <v>1047</v>
      </c>
      <c r="E573" s="20" t="s">
        <v>292</v>
      </c>
      <c r="F573" s="6">
        <f>'Пр.5 Рд,пр, ЦС,ВР 20'!F573</f>
        <v>1668.6</v>
      </c>
      <c r="G573" s="6">
        <f t="shared" si="27"/>
        <v>1668.6</v>
      </c>
    </row>
    <row r="574" spans="1:7" ht="31.5">
      <c r="A574" s="23" t="s">
        <v>1041</v>
      </c>
      <c r="B574" s="24" t="s">
        <v>281</v>
      </c>
      <c r="C574" s="24" t="s">
        <v>230</v>
      </c>
      <c r="D574" s="24" t="s">
        <v>1048</v>
      </c>
      <c r="E574" s="24"/>
      <c r="F574" s="4">
        <f>F575+F578</f>
        <v>912.7</v>
      </c>
      <c r="G574" s="4">
        <f>G575+G578</f>
        <v>912.7</v>
      </c>
    </row>
    <row r="575" spans="1:7" ht="63">
      <c r="A575" s="25" t="s">
        <v>455</v>
      </c>
      <c r="B575" s="20" t="s">
        <v>281</v>
      </c>
      <c r="C575" s="20" t="s">
        <v>230</v>
      </c>
      <c r="D575" s="20" t="s">
        <v>1049</v>
      </c>
      <c r="E575" s="20"/>
      <c r="F575" s="6">
        <f>'Пр.5 Рд,пр, ЦС,ВР 20'!F575</f>
        <v>416</v>
      </c>
      <c r="G575" s="6">
        <f t="shared" si="27"/>
        <v>416</v>
      </c>
    </row>
    <row r="576" spans="1:7" ht="47.25">
      <c r="A576" s="25" t="s">
        <v>289</v>
      </c>
      <c r="B576" s="20" t="s">
        <v>281</v>
      </c>
      <c r="C576" s="20" t="s">
        <v>230</v>
      </c>
      <c r="D576" s="20" t="s">
        <v>1049</v>
      </c>
      <c r="E576" s="20" t="s">
        <v>290</v>
      </c>
      <c r="F576" s="6">
        <f>'Пр.5 Рд,пр, ЦС,ВР 20'!F576</f>
        <v>416</v>
      </c>
      <c r="G576" s="6">
        <f t="shared" si="27"/>
        <v>416</v>
      </c>
    </row>
    <row r="577" spans="1:7" ht="15.75">
      <c r="A577" s="25" t="s">
        <v>291</v>
      </c>
      <c r="B577" s="20" t="s">
        <v>281</v>
      </c>
      <c r="C577" s="20" t="s">
        <v>230</v>
      </c>
      <c r="D577" s="20" t="s">
        <v>1049</v>
      </c>
      <c r="E577" s="20" t="s">
        <v>292</v>
      </c>
      <c r="F577" s="6">
        <f>'Пр.5 Рд,пр, ЦС,ВР 20'!F577</f>
        <v>416</v>
      </c>
      <c r="G577" s="6">
        <f t="shared" si="27"/>
        <v>416</v>
      </c>
    </row>
    <row r="578" spans="1:7" ht="47.25">
      <c r="A578" s="25" t="s">
        <v>475</v>
      </c>
      <c r="B578" s="20" t="s">
        <v>281</v>
      </c>
      <c r="C578" s="20" t="s">
        <v>230</v>
      </c>
      <c r="D578" s="20" t="s">
        <v>1050</v>
      </c>
      <c r="E578" s="20"/>
      <c r="F578" s="6">
        <f>'Пр.5 Рд,пр, ЦС,ВР 20'!F578</f>
        <v>496.7</v>
      </c>
      <c r="G578" s="6">
        <f t="shared" si="27"/>
        <v>496.7</v>
      </c>
    </row>
    <row r="579" spans="1:7" ht="47.25">
      <c r="A579" s="387" t="s">
        <v>289</v>
      </c>
      <c r="B579" s="20" t="s">
        <v>281</v>
      </c>
      <c r="C579" s="20" t="s">
        <v>230</v>
      </c>
      <c r="D579" s="20" t="s">
        <v>1050</v>
      </c>
      <c r="E579" s="20" t="s">
        <v>290</v>
      </c>
      <c r="F579" s="6">
        <f>'Пр.5 Рд,пр, ЦС,ВР 20'!F579</f>
        <v>496.7</v>
      </c>
      <c r="G579" s="6">
        <f t="shared" si="27"/>
        <v>496.7</v>
      </c>
    </row>
    <row r="580" spans="1:7" ht="15.75">
      <c r="A580" s="25" t="s">
        <v>291</v>
      </c>
      <c r="B580" s="20" t="s">
        <v>281</v>
      </c>
      <c r="C580" s="20" t="s">
        <v>230</v>
      </c>
      <c r="D580" s="20" t="s">
        <v>1050</v>
      </c>
      <c r="E580" s="20" t="s">
        <v>292</v>
      </c>
      <c r="F580" s="6">
        <f>'Пр.5 Рд,пр, ЦС,ВР 20'!F580</f>
        <v>496.7</v>
      </c>
      <c r="G580" s="6">
        <f t="shared" si="27"/>
        <v>496.7</v>
      </c>
    </row>
    <row r="581" spans="1:7" ht="47.25">
      <c r="A581" s="319" t="s">
        <v>1085</v>
      </c>
      <c r="B581" s="24" t="s">
        <v>281</v>
      </c>
      <c r="C581" s="24" t="s">
        <v>230</v>
      </c>
      <c r="D581" s="24" t="s">
        <v>1051</v>
      </c>
      <c r="E581" s="24"/>
      <c r="F581" s="4">
        <f>F582+F585</f>
        <v>2634</v>
      </c>
      <c r="G581" s="4">
        <f>G582+G585</f>
        <v>2634</v>
      </c>
    </row>
    <row r="582" spans="1:7" ht="31.5" hidden="1">
      <c r="A582" s="25" t="s">
        <v>301</v>
      </c>
      <c r="B582" s="20" t="s">
        <v>281</v>
      </c>
      <c r="C582" s="20" t="s">
        <v>230</v>
      </c>
      <c r="D582" s="20" t="s">
        <v>1053</v>
      </c>
      <c r="E582" s="20"/>
      <c r="F582" s="6">
        <f>'Пр.5 Рд,пр, ЦС,ВР 20'!F582</f>
        <v>0</v>
      </c>
      <c r="G582" s="6">
        <f t="shared" si="27"/>
        <v>0</v>
      </c>
    </row>
    <row r="583" spans="1:7" ht="47.25" hidden="1">
      <c r="A583" s="25" t="s">
        <v>289</v>
      </c>
      <c r="B583" s="20" t="s">
        <v>281</v>
      </c>
      <c r="C583" s="20" t="s">
        <v>230</v>
      </c>
      <c r="D583" s="20" t="s">
        <v>1053</v>
      </c>
      <c r="E583" s="20" t="s">
        <v>290</v>
      </c>
      <c r="F583" s="6">
        <f>'Пр.5 Рд,пр, ЦС,ВР 20'!F583</f>
        <v>0</v>
      </c>
      <c r="G583" s="6">
        <f t="shared" si="27"/>
        <v>0</v>
      </c>
    </row>
    <row r="584" spans="1:7" ht="15.75" hidden="1">
      <c r="A584" s="25" t="s">
        <v>291</v>
      </c>
      <c r="B584" s="20" t="s">
        <v>281</v>
      </c>
      <c r="C584" s="20" t="s">
        <v>230</v>
      </c>
      <c r="D584" s="20" t="s">
        <v>1053</v>
      </c>
      <c r="E584" s="20" t="s">
        <v>292</v>
      </c>
      <c r="F584" s="6">
        <f>'Пр.5 Рд,пр, ЦС,ВР 20'!F584</f>
        <v>0</v>
      </c>
      <c r="G584" s="6">
        <f t="shared" si="27"/>
        <v>0</v>
      </c>
    </row>
    <row r="585" spans="1:7" ht="47.25">
      <c r="A585" s="63" t="s">
        <v>789</v>
      </c>
      <c r="B585" s="20" t="s">
        <v>281</v>
      </c>
      <c r="C585" s="20" t="s">
        <v>230</v>
      </c>
      <c r="D585" s="20" t="s">
        <v>1054</v>
      </c>
      <c r="E585" s="20"/>
      <c r="F585" s="6">
        <f>'Пр.5 Рд,пр, ЦС,ВР 20'!F585</f>
        <v>2634</v>
      </c>
      <c r="G585" s="6">
        <f t="shared" si="27"/>
        <v>2634</v>
      </c>
    </row>
    <row r="586" spans="1:7" ht="47.25">
      <c r="A586" s="30" t="s">
        <v>289</v>
      </c>
      <c r="B586" s="20" t="s">
        <v>281</v>
      </c>
      <c r="C586" s="20" t="s">
        <v>230</v>
      </c>
      <c r="D586" s="20" t="s">
        <v>1054</v>
      </c>
      <c r="E586" s="20" t="s">
        <v>290</v>
      </c>
      <c r="F586" s="6">
        <f>'Пр.5 Рд,пр, ЦС,ВР 20'!F586</f>
        <v>2634</v>
      </c>
      <c r="G586" s="6">
        <f t="shared" si="27"/>
        <v>2634</v>
      </c>
    </row>
    <row r="587" spans="1:7" ht="15.75">
      <c r="A587" s="208" t="s">
        <v>291</v>
      </c>
      <c r="B587" s="20" t="s">
        <v>281</v>
      </c>
      <c r="C587" s="20" t="s">
        <v>230</v>
      </c>
      <c r="D587" s="20" t="s">
        <v>1054</v>
      </c>
      <c r="E587" s="20" t="s">
        <v>292</v>
      </c>
      <c r="F587" s="6">
        <f>'Пр.5 Рд,пр, ЦС,ВР 20'!F587</f>
        <v>2634</v>
      </c>
      <c r="G587" s="6">
        <f t="shared" si="27"/>
        <v>2634</v>
      </c>
    </row>
    <row r="588" spans="1:7" ht="47.25">
      <c r="A588" s="317" t="s">
        <v>1056</v>
      </c>
      <c r="B588" s="24" t="s">
        <v>281</v>
      </c>
      <c r="C588" s="24" t="s">
        <v>230</v>
      </c>
      <c r="D588" s="24" t="s">
        <v>1052</v>
      </c>
      <c r="E588" s="24"/>
      <c r="F588" s="4">
        <f aca="true" t="shared" si="28" ref="F588:G588">F589</f>
        <v>622</v>
      </c>
      <c r="G588" s="4">
        <f t="shared" si="28"/>
        <v>622</v>
      </c>
    </row>
    <row r="589" spans="1:7" ht="63">
      <c r="A589" s="208" t="s">
        <v>878</v>
      </c>
      <c r="B589" s="20" t="s">
        <v>281</v>
      </c>
      <c r="C589" s="20" t="s">
        <v>230</v>
      </c>
      <c r="D589" s="20" t="s">
        <v>1055</v>
      </c>
      <c r="E589" s="20"/>
      <c r="F589" s="6">
        <f>'Пр.5 Рд,пр, ЦС,ВР 20'!F589</f>
        <v>622</v>
      </c>
      <c r="G589" s="6">
        <f t="shared" si="27"/>
        <v>622</v>
      </c>
    </row>
    <row r="590" spans="1:7" ht="47.25">
      <c r="A590" s="32" t="s">
        <v>289</v>
      </c>
      <c r="B590" s="20" t="s">
        <v>281</v>
      </c>
      <c r="C590" s="20" t="s">
        <v>230</v>
      </c>
      <c r="D590" s="20" t="s">
        <v>1055</v>
      </c>
      <c r="E590" s="20" t="s">
        <v>290</v>
      </c>
      <c r="F590" s="6">
        <f>'Пр.5 Рд,пр, ЦС,ВР 20'!F590</f>
        <v>622</v>
      </c>
      <c r="G590" s="6">
        <f t="shared" si="27"/>
        <v>622</v>
      </c>
    </row>
    <row r="591" spans="1:7" ht="15.75">
      <c r="A591" s="32" t="s">
        <v>291</v>
      </c>
      <c r="B591" s="20" t="s">
        <v>281</v>
      </c>
      <c r="C591" s="20" t="s">
        <v>230</v>
      </c>
      <c r="D591" s="20" t="s">
        <v>1055</v>
      </c>
      <c r="E591" s="20" t="s">
        <v>292</v>
      </c>
      <c r="F591" s="6">
        <f>'Пр.5 Рд,пр, ЦС,ВР 20'!F591</f>
        <v>622</v>
      </c>
      <c r="G591" s="6">
        <f t="shared" si="27"/>
        <v>622</v>
      </c>
    </row>
    <row r="592" spans="1:7" ht="78.75" hidden="1">
      <c r="A592" s="35" t="s">
        <v>807</v>
      </c>
      <c r="B592" s="24" t="s">
        <v>281</v>
      </c>
      <c r="C592" s="24" t="s">
        <v>230</v>
      </c>
      <c r="D592" s="24" t="s">
        <v>341</v>
      </c>
      <c r="E592" s="24"/>
      <c r="F592" s="4">
        <f aca="true" t="shared" si="29" ref="F592:G592">F593</f>
        <v>0</v>
      </c>
      <c r="G592" s="4">
        <f t="shared" si="29"/>
        <v>0</v>
      </c>
    </row>
    <row r="593" spans="1:7" ht="63" hidden="1">
      <c r="A593" s="35" t="s">
        <v>1201</v>
      </c>
      <c r="B593" s="24" t="s">
        <v>281</v>
      </c>
      <c r="C593" s="24" t="s">
        <v>230</v>
      </c>
      <c r="D593" s="24" t="s">
        <v>1033</v>
      </c>
      <c r="E593" s="24"/>
      <c r="F593" s="4">
        <f>F594</f>
        <v>0</v>
      </c>
      <c r="G593" s="4">
        <f>G594</f>
        <v>0</v>
      </c>
    </row>
    <row r="594" spans="1:7" ht="63" hidden="1">
      <c r="A594" s="32" t="s">
        <v>1170</v>
      </c>
      <c r="B594" s="20" t="s">
        <v>281</v>
      </c>
      <c r="C594" s="20" t="s">
        <v>230</v>
      </c>
      <c r="D594" s="20" t="s">
        <v>1034</v>
      </c>
      <c r="E594" s="20"/>
      <c r="F594" s="6">
        <f>'Пр.5 Рд,пр, ЦС,ВР 20'!F594</f>
        <v>0</v>
      </c>
      <c r="G594" s="6">
        <f aca="true" t="shared" si="30" ref="G594:G657">F594</f>
        <v>0</v>
      </c>
    </row>
    <row r="595" spans="1:7" ht="47.25" hidden="1">
      <c r="A595" s="32" t="s">
        <v>289</v>
      </c>
      <c r="B595" s="20" t="s">
        <v>281</v>
      </c>
      <c r="C595" s="20" t="s">
        <v>230</v>
      </c>
      <c r="D595" s="20" t="s">
        <v>1034</v>
      </c>
      <c r="E595" s="20" t="s">
        <v>290</v>
      </c>
      <c r="F595" s="6">
        <f>'Пр.5 Рд,пр, ЦС,ВР 20'!F595</f>
        <v>0</v>
      </c>
      <c r="G595" s="6">
        <f t="shared" si="30"/>
        <v>0</v>
      </c>
    </row>
    <row r="596" spans="1:7" ht="15.75" hidden="1">
      <c r="A596" s="32" t="s">
        <v>291</v>
      </c>
      <c r="B596" s="20" t="s">
        <v>281</v>
      </c>
      <c r="C596" s="20" t="s">
        <v>230</v>
      </c>
      <c r="D596" s="20" t="s">
        <v>1034</v>
      </c>
      <c r="E596" s="20" t="s">
        <v>292</v>
      </c>
      <c r="F596" s="6">
        <f>'Пр.5 Рд,пр, ЦС,ВР 20'!F596</f>
        <v>0</v>
      </c>
      <c r="G596" s="6">
        <f t="shared" si="30"/>
        <v>0</v>
      </c>
    </row>
    <row r="597" spans="1:7" ht="78.75">
      <c r="A597" s="42" t="s">
        <v>1188</v>
      </c>
      <c r="B597" s="24" t="s">
        <v>281</v>
      </c>
      <c r="C597" s="24" t="s">
        <v>230</v>
      </c>
      <c r="D597" s="24" t="s">
        <v>730</v>
      </c>
      <c r="E597" s="324"/>
      <c r="F597" s="4">
        <f aca="true" t="shared" si="31" ref="F597:G598">F598</f>
        <v>723.3</v>
      </c>
      <c r="G597" s="4">
        <f t="shared" si="31"/>
        <v>723.3</v>
      </c>
    </row>
    <row r="598" spans="1:7" ht="63">
      <c r="A598" s="42" t="s">
        <v>954</v>
      </c>
      <c r="B598" s="24" t="s">
        <v>281</v>
      </c>
      <c r="C598" s="24" t="s">
        <v>230</v>
      </c>
      <c r="D598" s="24" t="s">
        <v>952</v>
      </c>
      <c r="E598" s="324"/>
      <c r="F598" s="4">
        <f t="shared" si="31"/>
        <v>723.3</v>
      </c>
      <c r="G598" s="4">
        <f t="shared" si="31"/>
        <v>723.3</v>
      </c>
    </row>
    <row r="599" spans="1:7" ht="47.25">
      <c r="A599" s="107" t="s">
        <v>805</v>
      </c>
      <c r="B599" s="20" t="s">
        <v>281</v>
      </c>
      <c r="C599" s="20" t="s">
        <v>230</v>
      </c>
      <c r="D599" s="20" t="s">
        <v>1035</v>
      </c>
      <c r="E599" s="33"/>
      <c r="F599" s="6">
        <f>'Пр.5 Рд,пр, ЦС,ВР 20'!F599</f>
        <v>723.3</v>
      </c>
      <c r="G599" s="6">
        <f t="shared" si="30"/>
        <v>723.3</v>
      </c>
    </row>
    <row r="600" spans="1:7" ht="47.25">
      <c r="A600" s="30" t="s">
        <v>289</v>
      </c>
      <c r="B600" s="20" t="s">
        <v>281</v>
      </c>
      <c r="C600" s="20" t="s">
        <v>230</v>
      </c>
      <c r="D600" s="20" t="s">
        <v>1035</v>
      </c>
      <c r="E600" s="33" t="s">
        <v>290</v>
      </c>
      <c r="F600" s="6">
        <f>'Пр.5 Рд,пр, ЦС,ВР 20'!F600</f>
        <v>723.3</v>
      </c>
      <c r="G600" s="6">
        <f t="shared" si="30"/>
        <v>723.3</v>
      </c>
    </row>
    <row r="601" spans="1:7" ht="15.75">
      <c r="A601" s="208" t="s">
        <v>291</v>
      </c>
      <c r="B601" s="20" t="s">
        <v>281</v>
      </c>
      <c r="C601" s="20" t="s">
        <v>230</v>
      </c>
      <c r="D601" s="20" t="s">
        <v>1035</v>
      </c>
      <c r="E601" s="33" t="s">
        <v>292</v>
      </c>
      <c r="F601" s="6">
        <f>'Пр.5 Рд,пр, ЦС,ВР 20'!F601</f>
        <v>723.3</v>
      </c>
      <c r="G601" s="6">
        <f t="shared" si="30"/>
        <v>723.3</v>
      </c>
    </row>
    <row r="602" spans="1:7" ht="15.75">
      <c r="A602" s="42" t="s">
        <v>282</v>
      </c>
      <c r="B602" s="7" t="s">
        <v>281</v>
      </c>
      <c r="C602" s="7" t="s">
        <v>232</v>
      </c>
      <c r="D602" s="24"/>
      <c r="E602" s="7"/>
      <c r="F602" s="4">
        <f>F603+F628+F662</f>
        <v>52590.149999999994</v>
      </c>
      <c r="G602" s="4">
        <f>G603+G628+G662</f>
        <v>52590.149999999994</v>
      </c>
    </row>
    <row r="603" spans="1:7" ht="47.25">
      <c r="A603" s="23" t="s">
        <v>443</v>
      </c>
      <c r="B603" s="24" t="s">
        <v>281</v>
      </c>
      <c r="C603" s="24" t="s">
        <v>232</v>
      </c>
      <c r="D603" s="24" t="s">
        <v>423</v>
      </c>
      <c r="E603" s="24"/>
      <c r="F603" s="4">
        <f>F604+F619</f>
        <v>34846.399999999994</v>
      </c>
      <c r="G603" s="4">
        <f>G604+G619</f>
        <v>34846.399999999994</v>
      </c>
    </row>
    <row r="604" spans="1:7" ht="47.25">
      <c r="A604" s="23" t="s">
        <v>424</v>
      </c>
      <c r="B604" s="24" t="s">
        <v>281</v>
      </c>
      <c r="C604" s="24" t="s">
        <v>232</v>
      </c>
      <c r="D604" s="24" t="s">
        <v>425</v>
      </c>
      <c r="E604" s="24"/>
      <c r="F604" s="4">
        <f>F605+F609</f>
        <v>34157.399999999994</v>
      </c>
      <c r="G604" s="4">
        <f>G605+G609</f>
        <v>34157.399999999994</v>
      </c>
    </row>
    <row r="605" spans="1:7" ht="47.25">
      <c r="A605" s="23" t="s">
        <v>1036</v>
      </c>
      <c r="B605" s="24" t="s">
        <v>281</v>
      </c>
      <c r="C605" s="24" t="s">
        <v>232</v>
      </c>
      <c r="D605" s="24" t="s">
        <v>1014</v>
      </c>
      <c r="E605" s="24"/>
      <c r="F605" s="4">
        <f aca="true" t="shared" si="32" ref="F605:G605">F606</f>
        <v>32614.999999999996</v>
      </c>
      <c r="G605" s="4">
        <f t="shared" si="32"/>
        <v>32614.999999999996</v>
      </c>
    </row>
    <row r="606" spans="1:7" ht="47.25">
      <c r="A606" s="25" t="s">
        <v>287</v>
      </c>
      <c r="B606" s="20" t="s">
        <v>281</v>
      </c>
      <c r="C606" s="20" t="s">
        <v>232</v>
      </c>
      <c r="D606" s="20" t="s">
        <v>1059</v>
      </c>
      <c r="E606" s="20"/>
      <c r="F606" s="6">
        <f>'Пр.5 Рд,пр, ЦС,ВР 20'!F606</f>
        <v>32614.999999999996</v>
      </c>
      <c r="G606" s="6">
        <f t="shared" si="30"/>
        <v>32614.999999999996</v>
      </c>
    </row>
    <row r="607" spans="1:7" ht="47.25">
      <c r="A607" s="25" t="s">
        <v>289</v>
      </c>
      <c r="B607" s="20" t="s">
        <v>281</v>
      </c>
      <c r="C607" s="20" t="s">
        <v>232</v>
      </c>
      <c r="D607" s="20" t="s">
        <v>1059</v>
      </c>
      <c r="E607" s="20" t="s">
        <v>290</v>
      </c>
      <c r="F607" s="6">
        <f>'Пр.5 Рд,пр, ЦС,ВР 20'!F607</f>
        <v>32614.999999999996</v>
      </c>
      <c r="G607" s="6">
        <f t="shared" si="30"/>
        <v>32614.999999999996</v>
      </c>
    </row>
    <row r="608" spans="1:7" ht="15.75">
      <c r="A608" s="25" t="s">
        <v>291</v>
      </c>
      <c r="B608" s="20" t="s">
        <v>281</v>
      </c>
      <c r="C608" s="20" t="s">
        <v>232</v>
      </c>
      <c r="D608" s="20" t="s">
        <v>1059</v>
      </c>
      <c r="E608" s="20" t="s">
        <v>292</v>
      </c>
      <c r="F608" s="6">
        <f>'Пр.5 Рд,пр, ЦС,ВР 20'!F608</f>
        <v>32614.999999999996</v>
      </c>
      <c r="G608" s="6">
        <f t="shared" si="30"/>
        <v>32614.999999999996</v>
      </c>
    </row>
    <row r="609" spans="1:7" ht="63">
      <c r="A609" s="23" t="s">
        <v>976</v>
      </c>
      <c r="B609" s="24" t="s">
        <v>281</v>
      </c>
      <c r="C609" s="24" t="s">
        <v>232</v>
      </c>
      <c r="D609" s="24" t="s">
        <v>1029</v>
      </c>
      <c r="E609" s="24"/>
      <c r="F609" s="4">
        <f>F610+F613+F616</f>
        <v>1542.4</v>
      </c>
      <c r="G609" s="4">
        <f>G610+G613+G616</f>
        <v>1542.4</v>
      </c>
    </row>
    <row r="610" spans="1:7" ht="78.75">
      <c r="A610" s="32" t="s">
        <v>306</v>
      </c>
      <c r="B610" s="20" t="s">
        <v>281</v>
      </c>
      <c r="C610" s="20" t="s">
        <v>232</v>
      </c>
      <c r="D610" s="20" t="s">
        <v>1028</v>
      </c>
      <c r="E610" s="20"/>
      <c r="F610" s="6">
        <f>'Пр.5 Рд,пр, ЦС,ВР 20'!F610</f>
        <v>110</v>
      </c>
      <c r="G610" s="6">
        <f t="shared" si="30"/>
        <v>110</v>
      </c>
    </row>
    <row r="611" spans="1:7" ht="47.25">
      <c r="A611" s="25" t="s">
        <v>289</v>
      </c>
      <c r="B611" s="20" t="s">
        <v>281</v>
      </c>
      <c r="C611" s="20" t="s">
        <v>232</v>
      </c>
      <c r="D611" s="20" t="s">
        <v>1028</v>
      </c>
      <c r="E611" s="20" t="s">
        <v>290</v>
      </c>
      <c r="F611" s="6">
        <f>'Пр.5 Рд,пр, ЦС,ВР 20'!F611</f>
        <v>110</v>
      </c>
      <c r="G611" s="6">
        <f t="shared" si="30"/>
        <v>110</v>
      </c>
    </row>
    <row r="612" spans="1:7" ht="15.75">
      <c r="A612" s="25" t="s">
        <v>291</v>
      </c>
      <c r="B612" s="20" t="s">
        <v>281</v>
      </c>
      <c r="C612" s="20" t="s">
        <v>232</v>
      </c>
      <c r="D612" s="20" t="s">
        <v>1028</v>
      </c>
      <c r="E612" s="20" t="s">
        <v>292</v>
      </c>
      <c r="F612" s="6">
        <f>'Пр.5 Рд,пр, ЦС,ВР 20'!F612</f>
        <v>110</v>
      </c>
      <c r="G612" s="6">
        <f t="shared" si="30"/>
        <v>110</v>
      </c>
    </row>
    <row r="613" spans="1:7" ht="94.5">
      <c r="A613" s="32" t="s">
        <v>308</v>
      </c>
      <c r="B613" s="20" t="s">
        <v>281</v>
      </c>
      <c r="C613" s="20" t="s">
        <v>232</v>
      </c>
      <c r="D613" s="20" t="s">
        <v>1031</v>
      </c>
      <c r="E613" s="20"/>
      <c r="F613" s="6">
        <f>'Пр.5 Рд,пр, ЦС,ВР 20'!F613</f>
        <v>592.1</v>
      </c>
      <c r="G613" s="6">
        <f t="shared" si="30"/>
        <v>592.1</v>
      </c>
    </row>
    <row r="614" spans="1:7" ht="47.25">
      <c r="A614" s="25" t="s">
        <v>289</v>
      </c>
      <c r="B614" s="20" t="s">
        <v>281</v>
      </c>
      <c r="C614" s="20" t="s">
        <v>232</v>
      </c>
      <c r="D614" s="20" t="s">
        <v>1031</v>
      </c>
      <c r="E614" s="20" t="s">
        <v>290</v>
      </c>
      <c r="F614" s="6">
        <f>'Пр.5 Рд,пр, ЦС,ВР 20'!F614</f>
        <v>592.1</v>
      </c>
      <c r="G614" s="6">
        <f t="shared" si="30"/>
        <v>592.1</v>
      </c>
    </row>
    <row r="615" spans="1:7" ht="15.75">
      <c r="A615" s="25" t="s">
        <v>291</v>
      </c>
      <c r="B615" s="20" t="s">
        <v>281</v>
      </c>
      <c r="C615" s="20" t="s">
        <v>232</v>
      </c>
      <c r="D615" s="20" t="s">
        <v>1031</v>
      </c>
      <c r="E615" s="20" t="s">
        <v>292</v>
      </c>
      <c r="F615" s="6">
        <f>'Пр.5 Рд,пр, ЦС,ВР 20'!F615</f>
        <v>592.1</v>
      </c>
      <c r="G615" s="6">
        <f t="shared" si="30"/>
        <v>592.1</v>
      </c>
    </row>
    <row r="616" spans="1:7" ht="126">
      <c r="A616" s="32" t="s">
        <v>310</v>
      </c>
      <c r="B616" s="20" t="s">
        <v>281</v>
      </c>
      <c r="C616" s="20" t="s">
        <v>232</v>
      </c>
      <c r="D616" s="20" t="s">
        <v>1032</v>
      </c>
      <c r="E616" s="20"/>
      <c r="F616" s="6">
        <f>'Пр.5 Рд,пр, ЦС,ВР 20'!F616</f>
        <v>840.3</v>
      </c>
      <c r="G616" s="6">
        <f t="shared" si="30"/>
        <v>840.3</v>
      </c>
    </row>
    <row r="617" spans="1:7" ht="47.25">
      <c r="A617" s="25" t="s">
        <v>289</v>
      </c>
      <c r="B617" s="20" t="s">
        <v>281</v>
      </c>
      <c r="C617" s="20" t="s">
        <v>232</v>
      </c>
      <c r="D617" s="20" t="s">
        <v>1032</v>
      </c>
      <c r="E617" s="20" t="s">
        <v>290</v>
      </c>
      <c r="F617" s="6">
        <f>'Пр.5 Рд,пр, ЦС,ВР 20'!F617</f>
        <v>840.3</v>
      </c>
      <c r="G617" s="6">
        <f t="shared" si="30"/>
        <v>840.3</v>
      </c>
    </row>
    <row r="618" spans="1:7" ht="15.75">
      <c r="A618" s="25" t="s">
        <v>291</v>
      </c>
      <c r="B618" s="20" t="s">
        <v>281</v>
      </c>
      <c r="C618" s="20" t="s">
        <v>232</v>
      </c>
      <c r="D618" s="20" t="s">
        <v>1032</v>
      </c>
      <c r="E618" s="20" t="s">
        <v>292</v>
      </c>
      <c r="F618" s="6">
        <f>'Пр.5 Рд,пр, ЦС,ВР 20'!F618</f>
        <v>840.3</v>
      </c>
      <c r="G618" s="6">
        <f t="shared" si="30"/>
        <v>840.3</v>
      </c>
    </row>
    <row r="619" spans="1:7" ht="47.25">
      <c r="A619" s="35" t="s">
        <v>723</v>
      </c>
      <c r="B619" s="24" t="s">
        <v>281</v>
      </c>
      <c r="C619" s="24" t="s">
        <v>232</v>
      </c>
      <c r="D619" s="24" t="s">
        <v>464</v>
      </c>
      <c r="E619" s="24"/>
      <c r="F619" s="4">
        <f>F620+F624</f>
        <v>689</v>
      </c>
      <c r="G619" s="4">
        <f>G620+G624</f>
        <v>689</v>
      </c>
    </row>
    <row r="620" spans="1:7" ht="47.25" hidden="1">
      <c r="A620" s="23" t="s">
        <v>1060</v>
      </c>
      <c r="B620" s="24" t="s">
        <v>281</v>
      </c>
      <c r="C620" s="24" t="s">
        <v>232</v>
      </c>
      <c r="D620" s="24" t="s">
        <v>1250</v>
      </c>
      <c r="E620" s="24"/>
      <c r="F620" s="4">
        <f>F621</f>
        <v>0</v>
      </c>
      <c r="G620" s="4">
        <f>G621</f>
        <v>0</v>
      </c>
    </row>
    <row r="621" spans="1:7" ht="31.5" hidden="1">
      <c r="A621" s="46" t="s">
        <v>791</v>
      </c>
      <c r="B621" s="20" t="s">
        <v>281</v>
      </c>
      <c r="C621" s="20" t="s">
        <v>232</v>
      </c>
      <c r="D621" s="20" t="s">
        <v>1251</v>
      </c>
      <c r="E621" s="20"/>
      <c r="F621" s="6">
        <f>'Пр.5 Рд,пр, ЦС,ВР 20'!F621</f>
        <v>0</v>
      </c>
      <c r="G621" s="6">
        <f t="shared" si="30"/>
        <v>0</v>
      </c>
    </row>
    <row r="622" spans="1:7" ht="47.25" hidden="1">
      <c r="A622" s="32" t="s">
        <v>289</v>
      </c>
      <c r="B622" s="20" t="s">
        <v>281</v>
      </c>
      <c r="C622" s="20" t="s">
        <v>232</v>
      </c>
      <c r="D622" s="20" t="s">
        <v>1251</v>
      </c>
      <c r="E622" s="20" t="s">
        <v>290</v>
      </c>
      <c r="F622" s="6">
        <f>'Пр.5 Рд,пр, ЦС,ВР 20'!F622</f>
        <v>0</v>
      </c>
      <c r="G622" s="6">
        <f t="shared" si="30"/>
        <v>0</v>
      </c>
    </row>
    <row r="623" spans="1:7" ht="15.75" hidden="1">
      <c r="A623" s="32" t="s">
        <v>291</v>
      </c>
      <c r="B623" s="20" t="s">
        <v>281</v>
      </c>
      <c r="C623" s="20" t="s">
        <v>232</v>
      </c>
      <c r="D623" s="20" t="s">
        <v>1251</v>
      </c>
      <c r="E623" s="20" t="s">
        <v>292</v>
      </c>
      <c r="F623" s="6">
        <f>'Пр.5 Рд,пр, ЦС,ВР 20'!F623</f>
        <v>0</v>
      </c>
      <c r="G623" s="6">
        <f t="shared" si="30"/>
        <v>0</v>
      </c>
    </row>
    <row r="624" spans="1:7" ht="47.25">
      <c r="A624" s="319" t="s">
        <v>1085</v>
      </c>
      <c r="B624" s="24" t="s">
        <v>281</v>
      </c>
      <c r="C624" s="24" t="s">
        <v>232</v>
      </c>
      <c r="D624" s="24" t="s">
        <v>1061</v>
      </c>
      <c r="E624" s="24"/>
      <c r="F624" s="4">
        <f>F625</f>
        <v>689</v>
      </c>
      <c r="G624" s="4">
        <f>G625</f>
        <v>689</v>
      </c>
    </row>
    <row r="625" spans="1:7" ht="47.25">
      <c r="A625" s="46" t="s">
        <v>789</v>
      </c>
      <c r="B625" s="20" t="s">
        <v>281</v>
      </c>
      <c r="C625" s="20" t="s">
        <v>232</v>
      </c>
      <c r="D625" s="20" t="s">
        <v>1062</v>
      </c>
      <c r="E625" s="20"/>
      <c r="F625" s="6">
        <f>'Пр.5 Рд,пр, ЦС,ВР 20'!F625</f>
        <v>689</v>
      </c>
      <c r="G625" s="6">
        <f t="shared" si="30"/>
        <v>689</v>
      </c>
    </row>
    <row r="626" spans="1:7" ht="47.25">
      <c r="A626" s="25" t="s">
        <v>289</v>
      </c>
      <c r="B626" s="20" t="s">
        <v>281</v>
      </c>
      <c r="C626" s="20" t="s">
        <v>232</v>
      </c>
      <c r="D626" s="20" t="s">
        <v>1062</v>
      </c>
      <c r="E626" s="20" t="s">
        <v>290</v>
      </c>
      <c r="F626" s="6">
        <f>'Пр.5 Рд,пр, ЦС,ВР 20'!F626</f>
        <v>689</v>
      </c>
      <c r="G626" s="6">
        <f t="shared" si="30"/>
        <v>689</v>
      </c>
    </row>
    <row r="627" spans="1:7" ht="15.75">
      <c r="A627" s="32" t="s">
        <v>291</v>
      </c>
      <c r="B627" s="20" t="s">
        <v>281</v>
      </c>
      <c r="C627" s="20" t="s">
        <v>232</v>
      </c>
      <c r="D627" s="20" t="s">
        <v>1062</v>
      </c>
      <c r="E627" s="20" t="s">
        <v>292</v>
      </c>
      <c r="F627" s="6">
        <f>'Пр.5 Рд,пр, ЦС,ВР 20'!F627</f>
        <v>689</v>
      </c>
      <c r="G627" s="6">
        <f t="shared" si="30"/>
        <v>689</v>
      </c>
    </row>
    <row r="628" spans="1:7" ht="47.25">
      <c r="A628" s="23" t="s">
        <v>283</v>
      </c>
      <c r="B628" s="24" t="s">
        <v>281</v>
      </c>
      <c r="C628" s="24" t="s">
        <v>232</v>
      </c>
      <c r="D628" s="24" t="s">
        <v>284</v>
      </c>
      <c r="E628" s="24"/>
      <c r="F628" s="4">
        <f>F629</f>
        <v>17222.05</v>
      </c>
      <c r="G628" s="4">
        <f>G629</f>
        <v>17222.05</v>
      </c>
    </row>
    <row r="629" spans="1:7" ht="63">
      <c r="A629" s="23" t="s">
        <v>285</v>
      </c>
      <c r="B629" s="24" t="s">
        <v>281</v>
      </c>
      <c r="C629" s="24" t="s">
        <v>232</v>
      </c>
      <c r="D629" s="24" t="s">
        <v>286</v>
      </c>
      <c r="E629" s="24"/>
      <c r="F629" s="4">
        <f>F630+F638+F642+F648+F652</f>
        <v>17222.05</v>
      </c>
      <c r="G629" s="4">
        <f>G630+G638+G642+G648+G652</f>
        <v>17222.05</v>
      </c>
    </row>
    <row r="630" spans="1:7" ht="47.25">
      <c r="A630" s="23" t="s">
        <v>946</v>
      </c>
      <c r="B630" s="24" t="s">
        <v>281</v>
      </c>
      <c r="C630" s="24" t="s">
        <v>232</v>
      </c>
      <c r="D630" s="24" t="s">
        <v>947</v>
      </c>
      <c r="E630" s="24"/>
      <c r="F630" s="4">
        <f>F631</f>
        <v>15639.65</v>
      </c>
      <c r="G630" s="4">
        <f>G631</f>
        <v>15639.65</v>
      </c>
    </row>
    <row r="631" spans="1:7" ht="31.5">
      <c r="A631" s="25" t="s">
        <v>835</v>
      </c>
      <c r="B631" s="20" t="s">
        <v>281</v>
      </c>
      <c r="C631" s="20" t="s">
        <v>232</v>
      </c>
      <c r="D631" s="20" t="s">
        <v>945</v>
      </c>
      <c r="E631" s="20"/>
      <c r="F631" s="6">
        <f>'Пр.5 Рд,пр, ЦС,ВР 20'!F631</f>
        <v>15639.65</v>
      </c>
      <c r="G631" s="6">
        <f t="shared" si="30"/>
        <v>15639.65</v>
      </c>
    </row>
    <row r="632" spans="1:7" ht="94.5">
      <c r="A632" s="25" t="s">
        <v>144</v>
      </c>
      <c r="B632" s="20" t="s">
        <v>281</v>
      </c>
      <c r="C632" s="20" t="s">
        <v>232</v>
      </c>
      <c r="D632" s="20" t="s">
        <v>945</v>
      </c>
      <c r="E632" s="20" t="s">
        <v>145</v>
      </c>
      <c r="F632" s="6">
        <f>'Пр.5 Рд,пр, ЦС,ВР 20'!F632</f>
        <v>13361.25</v>
      </c>
      <c r="G632" s="6">
        <f t="shared" si="30"/>
        <v>13361.25</v>
      </c>
    </row>
    <row r="633" spans="1:7" ht="31.5">
      <c r="A633" s="47" t="s">
        <v>359</v>
      </c>
      <c r="B633" s="20" t="s">
        <v>281</v>
      </c>
      <c r="C633" s="20" t="s">
        <v>232</v>
      </c>
      <c r="D633" s="20" t="s">
        <v>945</v>
      </c>
      <c r="E633" s="20" t="s">
        <v>226</v>
      </c>
      <c r="F633" s="6">
        <f>'Пр.5 Рд,пр, ЦС,ВР 20'!F633</f>
        <v>13361.25</v>
      </c>
      <c r="G633" s="6">
        <f t="shared" si="30"/>
        <v>13361.25</v>
      </c>
    </row>
    <row r="634" spans="1:7" ht="31.5">
      <c r="A634" s="25" t="s">
        <v>148</v>
      </c>
      <c r="B634" s="20" t="s">
        <v>281</v>
      </c>
      <c r="C634" s="20" t="s">
        <v>232</v>
      </c>
      <c r="D634" s="20" t="s">
        <v>945</v>
      </c>
      <c r="E634" s="20" t="s">
        <v>149</v>
      </c>
      <c r="F634" s="6">
        <f>'Пр.5 Рд,пр, ЦС,ВР 20'!F634</f>
        <v>2200</v>
      </c>
      <c r="G634" s="6">
        <f t="shared" si="30"/>
        <v>2200</v>
      </c>
    </row>
    <row r="635" spans="1:7" ht="47.25">
      <c r="A635" s="25" t="s">
        <v>150</v>
      </c>
      <c r="B635" s="20" t="s">
        <v>281</v>
      </c>
      <c r="C635" s="20" t="s">
        <v>232</v>
      </c>
      <c r="D635" s="20" t="s">
        <v>945</v>
      </c>
      <c r="E635" s="20" t="s">
        <v>151</v>
      </c>
      <c r="F635" s="6">
        <f>'Пр.5 Рд,пр, ЦС,ВР 20'!F635</f>
        <v>2200</v>
      </c>
      <c r="G635" s="6">
        <f t="shared" si="30"/>
        <v>2200</v>
      </c>
    </row>
    <row r="636" spans="1:7" ht="15.75">
      <c r="A636" s="25" t="s">
        <v>152</v>
      </c>
      <c r="B636" s="20" t="s">
        <v>281</v>
      </c>
      <c r="C636" s="20" t="s">
        <v>232</v>
      </c>
      <c r="D636" s="20" t="s">
        <v>945</v>
      </c>
      <c r="E636" s="20" t="s">
        <v>162</v>
      </c>
      <c r="F636" s="6">
        <f>'Пр.5 Рд,пр, ЦС,ВР 20'!F636</f>
        <v>78.4</v>
      </c>
      <c r="G636" s="6">
        <f t="shared" si="30"/>
        <v>78.4</v>
      </c>
    </row>
    <row r="637" spans="1:7" ht="15.75">
      <c r="A637" s="25" t="s">
        <v>729</v>
      </c>
      <c r="B637" s="20" t="s">
        <v>281</v>
      </c>
      <c r="C637" s="20" t="s">
        <v>232</v>
      </c>
      <c r="D637" s="20" t="s">
        <v>945</v>
      </c>
      <c r="E637" s="20" t="s">
        <v>155</v>
      </c>
      <c r="F637" s="6">
        <f>'Пр.5 Рд,пр, ЦС,ВР 20'!F637</f>
        <v>78.4</v>
      </c>
      <c r="G637" s="6">
        <f t="shared" si="30"/>
        <v>78.4</v>
      </c>
    </row>
    <row r="638" spans="1:7" ht="47.25">
      <c r="A638" s="316" t="s">
        <v>1200</v>
      </c>
      <c r="B638" s="24" t="s">
        <v>281</v>
      </c>
      <c r="C638" s="24" t="s">
        <v>232</v>
      </c>
      <c r="D638" s="24" t="s">
        <v>949</v>
      </c>
      <c r="E638" s="24"/>
      <c r="F638" s="4">
        <f>F639</f>
        <v>45</v>
      </c>
      <c r="G638" s="4">
        <f>G639</f>
        <v>45</v>
      </c>
    </row>
    <row r="639" spans="1:7" ht="31.5">
      <c r="A639" s="234" t="s">
        <v>834</v>
      </c>
      <c r="B639" s="20" t="s">
        <v>281</v>
      </c>
      <c r="C639" s="20" t="s">
        <v>232</v>
      </c>
      <c r="D639" s="20" t="s">
        <v>948</v>
      </c>
      <c r="E639" s="20"/>
      <c r="F639" s="6">
        <f>'Пр.5 Рд,пр, ЦС,ВР 20'!F639</f>
        <v>45</v>
      </c>
      <c r="G639" s="6">
        <f t="shared" si="30"/>
        <v>45</v>
      </c>
    </row>
    <row r="640" spans="1:7" ht="31.5">
      <c r="A640" s="25" t="s">
        <v>265</v>
      </c>
      <c r="B640" s="20" t="s">
        <v>281</v>
      </c>
      <c r="C640" s="20" t="s">
        <v>232</v>
      </c>
      <c r="D640" s="20" t="s">
        <v>948</v>
      </c>
      <c r="E640" s="20" t="s">
        <v>266</v>
      </c>
      <c r="F640" s="6">
        <f>'Пр.5 Рд,пр, ЦС,ВР 20'!F640</f>
        <v>45</v>
      </c>
      <c r="G640" s="6">
        <f t="shared" si="30"/>
        <v>45</v>
      </c>
    </row>
    <row r="641" spans="1:7" ht="15.75">
      <c r="A641" s="25" t="s">
        <v>869</v>
      </c>
      <c r="B641" s="20" t="s">
        <v>281</v>
      </c>
      <c r="C641" s="20" t="s">
        <v>232</v>
      </c>
      <c r="D641" s="20" t="s">
        <v>948</v>
      </c>
      <c r="E641" s="20" t="s">
        <v>868</v>
      </c>
      <c r="F641" s="6">
        <f>'Пр.5 Рд,пр, ЦС,ВР 20'!F641</f>
        <v>45</v>
      </c>
      <c r="G641" s="6">
        <f t="shared" si="30"/>
        <v>45</v>
      </c>
    </row>
    <row r="642" spans="1:7" ht="47.25">
      <c r="A642" s="322" t="s">
        <v>1177</v>
      </c>
      <c r="B642" s="24" t="s">
        <v>281</v>
      </c>
      <c r="C642" s="24" t="s">
        <v>232</v>
      </c>
      <c r="D642" s="24" t="s">
        <v>950</v>
      </c>
      <c r="E642" s="24"/>
      <c r="F642" s="4">
        <f>F643</f>
        <v>250.00000000000003</v>
      </c>
      <c r="G642" s="4">
        <f>G643</f>
        <v>250.00000000000003</v>
      </c>
    </row>
    <row r="643" spans="1:7" ht="47.25">
      <c r="A643" s="32" t="s">
        <v>864</v>
      </c>
      <c r="B643" s="20" t="s">
        <v>281</v>
      </c>
      <c r="C643" s="20" t="s">
        <v>232</v>
      </c>
      <c r="D643" s="20" t="s">
        <v>951</v>
      </c>
      <c r="E643" s="20"/>
      <c r="F643" s="6">
        <f>'Пр.5 Рд,пр, ЦС,ВР 20'!F643</f>
        <v>250.00000000000003</v>
      </c>
      <c r="G643" s="6">
        <f t="shared" si="30"/>
        <v>250.00000000000003</v>
      </c>
    </row>
    <row r="644" spans="1:7" ht="94.5">
      <c r="A644" s="25" t="s">
        <v>144</v>
      </c>
      <c r="B644" s="20" t="s">
        <v>281</v>
      </c>
      <c r="C644" s="20" t="s">
        <v>232</v>
      </c>
      <c r="D644" s="20" t="s">
        <v>951</v>
      </c>
      <c r="E644" s="20" t="s">
        <v>145</v>
      </c>
      <c r="F644" s="6">
        <f>'Пр.5 Рд,пр, ЦС,ВР 20'!F644</f>
        <v>250.00000000000003</v>
      </c>
      <c r="G644" s="6">
        <f t="shared" si="30"/>
        <v>250.00000000000003</v>
      </c>
    </row>
    <row r="645" spans="1:7" ht="31.5">
      <c r="A645" s="47" t="s">
        <v>359</v>
      </c>
      <c r="B645" s="20" t="s">
        <v>281</v>
      </c>
      <c r="C645" s="20" t="s">
        <v>232</v>
      </c>
      <c r="D645" s="20" t="s">
        <v>951</v>
      </c>
      <c r="E645" s="20" t="s">
        <v>226</v>
      </c>
      <c r="F645" s="6">
        <f>'Пр.5 Рд,пр, ЦС,ВР 20'!F645</f>
        <v>250.00000000000003</v>
      </c>
      <c r="G645" s="6">
        <f t="shared" si="30"/>
        <v>250.00000000000003</v>
      </c>
    </row>
    <row r="646" spans="1:7" ht="31.5" hidden="1">
      <c r="A646" s="25" t="s">
        <v>148</v>
      </c>
      <c r="B646" s="20" t="s">
        <v>281</v>
      </c>
      <c r="C646" s="20" t="s">
        <v>232</v>
      </c>
      <c r="D646" s="20" t="s">
        <v>951</v>
      </c>
      <c r="E646" s="20" t="s">
        <v>149</v>
      </c>
      <c r="F646" s="6">
        <f>'Пр.5 Рд,пр, ЦС,ВР 20'!F646</f>
        <v>0</v>
      </c>
      <c r="G646" s="6">
        <f t="shared" si="30"/>
        <v>0</v>
      </c>
    </row>
    <row r="647" spans="1:7" ht="47.25" hidden="1">
      <c r="A647" s="25" t="s">
        <v>150</v>
      </c>
      <c r="B647" s="20" t="s">
        <v>281</v>
      </c>
      <c r="C647" s="20" t="s">
        <v>232</v>
      </c>
      <c r="D647" s="20" t="s">
        <v>951</v>
      </c>
      <c r="E647" s="20" t="s">
        <v>151</v>
      </c>
      <c r="F647" s="6">
        <f>'Пр.5 Рд,пр, ЦС,ВР 20'!F647</f>
        <v>0</v>
      </c>
      <c r="G647" s="6">
        <f t="shared" si="30"/>
        <v>0</v>
      </c>
    </row>
    <row r="648" spans="1:7" ht="47.25">
      <c r="A648" s="23" t="s">
        <v>1084</v>
      </c>
      <c r="B648" s="24" t="s">
        <v>281</v>
      </c>
      <c r="C648" s="24" t="s">
        <v>232</v>
      </c>
      <c r="D648" s="24" t="s">
        <v>956</v>
      </c>
      <c r="E648" s="24"/>
      <c r="F648" s="4">
        <f>F649</f>
        <v>340</v>
      </c>
      <c r="G648" s="4">
        <f>G649</f>
        <v>340</v>
      </c>
    </row>
    <row r="649" spans="1:7" ht="47.25">
      <c r="A649" s="25" t="s">
        <v>889</v>
      </c>
      <c r="B649" s="20" t="s">
        <v>281</v>
      </c>
      <c r="C649" s="20" t="s">
        <v>232</v>
      </c>
      <c r="D649" s="20" t="s">
        <v>1280</v>
      </c>
      <c r="E649" s="20"/>
      <c r="F649" s="6">
        <f>'Пр.5 Рд,пр, ЦС,ВР 20'!F649</f>
        <v>340</v>
      </c>
      <c r="G649" s="6">
        <f t="shared" si="30"/>
        <v>340</v>
      </c>
    </row>
    <row r="650" spans="1:7" ht="94.5">
      <c r="A650" s="25" t="s">
        <v>144</v>
      </c>
      <c r="B650" s="20" t="s">
        <v>281</v>
      </c>
      <c r="C650" s="20" t="s">
        <v>232</v>
      </c>
      <c r="D650" s="20" t="s">
        <v>1280</v>
      </c>
      <c r="E650" s="20" t="s">
        <v>145</v>
      </c>
      <c r="F650" s="6">
        <f>'Пр.5 Рд,пр, ЦС,ВР 20'!F650</f>
        <v>340</v>
      </c>
      <c r="G650" s="6">
        <f t="shared" si="30"/>
        <v>340</v>
      </c>
    </row>
    <row r="651" spans="1:7" ht="47.25">
      <c r="A651" s="25" t="s">
        <v>146</v>
      </c>
      <c r="B651" s="20" t="s">
        <v>281</v>
      </c>
      <c r="C651" s="20" t="s">
        <v>232</v>
      </c>
      <c r="D651" s="20" t="s">
        <v>1280</v>
      </c>
      <c r="E651" s="20" t="s">
        <v>226</v>
      </c>
      <c r="F651" s="6">
        <f>'Пр.5 Рд,пр, ЦС,ВР 20'!F651</f>
        <v>340</v>
      </c>
      <c r="G651" s="6">
        <f t="shared" si="30"/>
        <v>340</v>
      </c>
    </row>
    <row r="652" spans="1:7" ht="63">
      <c r="A652" s="23" t="s">
        <v>976</v>
      </c>
      <c r="B652" s="24" t="s">
        <v>281</v>
      </c>
      <c r="C652" s="24" t="s">
        <v>232</v>
      </c>
      <c r="D652" s="24" t="s">
        <v>1281</v>
      </c>
      <c r="E652" s="24"/>
      <c r="F652" s="4">
        <f>F653+F656+F659</f>
        <v>947.4000000000001</v>
      </c>
      <c r="G652" s="4">
        <f>G653+G656+G659</f>
        <v>947.4000000000001</v>
      </c>
    </row>
    <row r="653" spans="1:7" ht="78.75">
      <c r="A653" s="32" t="s">
        <v>306</v>
      </c>
      <c r="B653" s="20" t="s">
        <v>281</v>
      </c>
      <c r="C653" s="20" t="s">
        <v>232</v>
      </c>
      <c r="D653" s="20" t="s">
        <v>1282</v>
      </c>
      <c r="E653" s="20"/>
      <c r="F653" s="6">
        <f>'Пр.5 Рд,пр, ЦС,ВР 20'!F653</f>
        <v>65.5</v>
      </c>
      <c r="G653" s="6">
        <f t="shared" si="30"/>
        <v>65.5</v>
      </c>
    </row>
    <row r="654" spans="1:7" ht="94.5">
      <c r="A654" s="25" t="s">
        <v>144</v>
      </c>
      <c r="B654" s="20" t="s">
        <v>281</v>
      </c>
      <c r="C654" s="20" t="s">
        <v>232</v>
      </c>
      <c r="D654" s="20" t="s">
        <v>1282</v>
      </c>
      <c r="E654" s="20" t="s">
        <v>145</v>
      </c>
      <c r="F654" s="6">
        <f>'Пр.5 Рд,пр, ЦС,ВР 20'!F654</f>
        <v>65.5</v>
      </c>
      <c r="G654" s="6">
        <f t="shared" si="30"/>
        <v>65.5</v>
      </c>
    </row>
    <row r="655" spans="1:7" ht="31.5">
      <c r="A655" s="47" t="s">
        <v>359</v>
      </c>
      <c r="B655" s="20" t="s">
        <v>281</v>
      </c>
      <c r="C655" s="20" t="s">
        <v>232</v>
      </c>
      <c r="D655" s="20" t="s">
        <v>1282</v>
      </c>
      <c r="E655" s="20" t="s">
        <v>226</v>
      </c>
      <c r="F655" s="6">
        <f>'Пр.5 Рд,пр, ЦС,ВР 20'!F655</f>
        <v>65.5</v>
      </c>
      <c r="G655" s="6">
        <f t="shared" si="30"/>
        <v>65.5</v>
      </c>
    </row>
    <row r="656" spans="1:7" ht="94.5">
      <c r="A656" s="32" t="s">
        <v>308</v>
      </c>
      <c r="B656" s="20" t="s">
        <v>281</v>
      </c>
      <c r="C656" s="20" t="s">
        <v>232</v>
      </c>
      <c r="D656" s="20" t="s">
        <v>1283</v>
      </c>
      <c r="E656" s="20"/>
      <c r="F656" s="6">
        <f>'Пр.5 Рд,пр, ЦС,ВР 20'!F656</f>
        <v>321.50000000000006</v>
      </c>
      <c r="G656" s="6">
        <f t="shared" si="30"/>
        <v>321.50000000000006</v>
      </c>
    </row>
    <row r="657" spans="1:7" ht="94.5">
      <c r="A657" s="25" t="s">
        <v>144</v>
      </c>
      <c r="B657" s="20" t="s">
        <v>281</v>
      </c>
      <c r="C657" s="20" t="s">
        <v>232</v>
      </c>
      <c r="D657" s="20" t="s">
        <v>1283</v>
      </c>
      <c r="E657" s="20" t="s">
        <v>145</v>
      </c>
      <c r="F657" s="6">
        <f>'Пр.5 Рд,пр, ЦС,ВР 20'!F657</f>
        <v>321.50000000000006</v>
      </c>
      <c r="G657" s="6">
        <f t="shared" si="30"/>
        <v>321.50000000000006</v>
      </c>
    </row>
    <row r="658" spans="1:7" ht="31.5">
      <c r="A658" s="47" t="s">
        <v>359</v>
      </c>
      <c r="B658" s="20" t="s">
        <v>281</v>
      </c>
      <c r="C658" s="20" t="s">
        <v>232</v>
      </c>
      <c r="D658" s="20" t="s">
        <v>1283</v>
      </c>
      <c r="E658" s="20" t="s">
        <v>226</v>
      </c>
      <c r="F658" s="6">
        <f>'Пр.5 Рд,пр, ЦС,ВР 20'!F658</f>
        <v>321.50000000000006</v>
      </c>
      <c r="G658" s="6">
        <f aca="true" t="shared" si="33" ref="G658:G721">F658</f>
        <v>321.50000000000006</v>
      </c>
    </row>
    <row r="659" spans="1:7" ht="126">
      <c r="A659" s="32" t="s">
        <v>310</v>
      </c>
      <c r="B659" s="20" t="s">
        <v>281</v>
      </c>
      <c r="C659" s="20" t="s">
        <v>232</v>
      </c>
      <c r="D659" s="20" t="s">
        <v>1284</v>
      </c>
      <c r="E659" s="20"/>
      <c r="F659" s="6">
        <f>'Пр.5 Рд,пр, ЦС,ВР 20'!F659</f>
        <v>560.4</v>
      </c>
      <c r="G659" s="6">
        <f t="shared" si="33"/>
        <v>560.4</v>
      </c>
    </row>
    <row r="660" spans="1:7" ht="94.5">
      <c r="A660" s="25" t="s">
        <v>144</v>
      </c>
      <c r="B660" s="20" t="s">
        <v>281</v>
      </c>
      <c r="C660" s="20" t="s">
        <v>232</v>
      </c>
      <c r="D660" s="20" t="s">
        <v>1284</v>
      </c>
      <c r="E660" s="20" t="s">
        <v>145</v>
      </c>
      <c r="F660" s="6">
        <f>'Пр.5 Рд,пр, ЦС,ВР 20'!F660</f>
        <v>560.4</v>
      </c>
      <c r="G660" s="6">
        <f t="shared" si="33"/>
        <v>560.4</v>
      </c>
    </row>
    <row r="661" spans="1:7" ht="31.5">
      <c r="A661" s="47" t="s">
        <v>359</v>
      </c>
      <c r="B661" s="20" t="s">
        <v>281</v>
      </c>
      <c r="C661" s="20" t="s">
        <v>232</v>
      </c>
      <c r="D661" s="20" t="s">
        <v>1284</v>
      </c>
      <c r="E661" s="20" t="s">
        <v>226</v>
      </c>
      <c r="F661" s="6">
        <f>'Пр.5 Рд,пр, ЦС,ВР 20'!F661</f>
        <v>560.4</v>
      </c>
      <c r="G661" s="6">
        <f t="shared" si="33"/>
        <v>560.4</v>
      </c>
    </row>
    <row r="662" spans="1:7" ht="78.75">
      <c r="A662" s="42" t="s">
        <v>732</v>
      </c>
      <c r="B662" s="24" t="s">
        <v>281</v>
      </c>
      <c r="C662" s="24" t="s">
        <v>232</v>
      </c>
      <c r="D662" s="24" t="s">
        <v>730</v>
      </c>
      <c r="E662" s="24"/>
      <c r="F662" s="4">
        <f>F663</f>
        <v>521.7</v>
      </c>
      <c r="G662" s="4">
        <f>G663</f>
        <v>521.7</v>
      </c>
    </row>
    <row r="663" spans="1:7" ht="63">
      <c r="A663" s="42" t="s">
        <v>954</v>
      </c>
      <c r="B663" s="24" t="s">
        <v>281</v>
      </c>
      <c r="C663" s="24" t="s">
        <v>232</v>
      </c>
      <c r="D663" s="24" t="s">
        <v>952</v>
      </c>
      <c r="E663" s="24"/>
      <c r="F663" s="4">
        <f>F664+F667</f>
        <v>521.7</v>
      </c>
      <c r="G663" s="4">
        <f>G664+G667</f>
        <v>521.7</v>
      </c>
    </row>
    <row r="664" spans="1:7" ht="47.25">
      <c r="A664" s="107" t="s">
        <v>1166</v>
      </c>
      <c r="B664" s="20" t="s">
        <v>281</v>
      </c>
      <c r="C664" s="20" t="s">
        <v>232</v>
      </c>
      <c r="D664" s="20" t="s">
        <v>953</v>
      </c>
      <c r="E664" s="33"/>
      <c r="F664" s="6">
        <f>'Пр.5 Рд,пр, ЦС,ВР 20'!F664</f>
        <v>221</v>
      </c>
      <c r="G664" s="6">
        <f t="shared" si="33"/>
        <v>221</v>
      </c>
    </row>
    <row r="665" spans="1:7" ht="31.5">
      <c r="A665" s="25" t="s">
        <v>148</v>
      </c>
      <c r="B665" s="20" t="s">
        <v>281</v>
      </c>
      <c r="C665" s="20" t="s">
        <v>232</v>
      </c>
      <c r="D665" s="20" t="s">
        <v>953</v>
      </c>
      <c r="E665" s="33" t="s">
        <v>149</v>
      </c>
      <c r="F665" s="6">
        <f>'Пр.5 Рд,пр, ЦС,ВР 20'!F665</f>
        <v>221</v>
      </c>
      <c r="G665" s="6">
        <f t="shared" si="33"/>
        <v>221</v>
      </c>
    </row>
    <row r="666" spans="1:7" ht="47.25">
      <c r="A666" s="25" t="s">
        <v>150</v>
      </c>
      <c r="B666" s="20" t="s">
        <v>281</v>
      </c>
      <c r="C666" s="20" t="s">
        <v>232</v>
      </c>
      <c r="D666" s="20" t="s">
        <v>953</v>
      </c>
      <c r="E666" s="33" t="s">
        <v>151</v>
      </c>
      <c r="F666" s="6">
        <f>'Пр.5 Рд,пр, ЦС,ВР 20'!F666</f>
        <v>221</v>
      </c>
      <c r="G666" s="6">
        <f t="shared" si="33"/>
        <v>221</v>
      </c>
    </row>
    <row r="667" spans="1:7" ht="47.25">
      <c r="A667" s="107" t="s">
        <v>805</v>
      </c>
      <c r="B667" s="20" t="s">
        <v>281</v>
      </c>
      <c r="C667" s="20" t="s">
        <v>232</v>
      </c>
      <c r="D667" s="20" t="s">
        <v>1035</v>
      </c>
      <c r="E667" s="33"/>
      <c r="F667" s="6">
        <f>'Пр.5 Рд,пр, ЦС,ВР 20'!F667</f>
        <v>300.7</v>
      </c>
      <c r="G667" s="6">
        <f t="shared" si="33"/>
        <v>300.7</v>
      </c>
    </row>
    <row r="668" spans="1:7" ht="47.25">
      <c r="A668" s="30" t="s">
        <v>289</v>
      </c>
      <c r="B668" s="20" t="s">
        <v>281</v>
      </c>
      <c r="C668" s="20" t="s">
        <v>232</v>
      </c>
      <c r="D668" s="20" t="s">
        <v>1035</v>
      </c>
      <c r="E668" s="33" t="s">
        <v>290</v>
      </c>
      <c r="F668" s="6">
        <f>'Пр.5 Рд,пр, ЦС,ВР 20'!F668</f>
        <v>300.7</v>
      </c>
      <c r="G668" s="6">
        <f t="shared" si="33"/>
        <v>300.7</v>
      </c>
    </row>
    <row r="669" spans="1:7" ht="15.75">
      <c r="A669" s="208" t="s">
        <v>291</v>
      </c>
      <c r="B669" s="20" t="s">
        <v>281</v>
      </c>
      <c r="C669" s="20" t="s">
        <v>232</v>
      </c>
      <c r="D669" s="20" t="s">
        <v>1035</v>
      </c>
      <c r="E669" s="33" t="s">
        <v>292</v>
      </c>
      <c r="F669" s="6">
        <f>'Пр.5 Рд,пр, ЦС,ВР 20'!F669</f>
        <v>300.7</v>
      </c>
      <c r="G669" s="6">
        <f t="shared" si="33"/>
        <v>300.7</v>
      </c>
    </row>
    <row r="670" spans="1:7" ht="31.5">
      <c r="A670" s="23" t="s">
        <v>483</v>
      </c>
      <c r="B670" s="24" t="s">
        <v>281</v>
      </c>
      <c r="C670" s="24" t="s">
        <v>281</v>
      </c>
      <c r="D670" s="24"/>
      <c r="E670" s="324"/>
      <c r="F670" s="4">
        <f>F671+F690</f>
        <v>7871.3</v>
      </c>
      <c r="G670" s="4">
        <f>G671+G690</f>
        <v>7871.3</v>
      </c>
    </row>
    <row r="671" spans="1:7" ht="63">
      <c r="A671" s="23" t="s">
        <v>360</v>
      </c>
      <c r="B671" s="24" t="s">
        <v>281</v>
      </c>
      <c r="C671" s="24" t="s">
        <v>281</v>
      </c>
      <c r="D671" s="24" t="s">
        <v>361</v>
      </c>
      <c r="E671" s="24"/>
      <c r="F671" s="4">
        <f>F672</f>
        <v>1035</v>
      </c>
      <c r="G671" s="4">
        <f>G672</f>
        <v>1035</v>
      </c>
    </row>
    <row r="672" spans="1:7" ht="31.5">
      <c r="A672" s="23" t="s">
        <v>362</v>
      </c>
      <c r="B672" s="24" t="s">
        <v>281</v>
      </c>
      <c r="C672" s="24" t="s">
        <v>281</v>
      </c>
      <c r="D672" s="24" t="s">
        <v>363</v>
      </c>
      <c r="E672" s="24"/>
      <c r="F672" s="4">
        <f>F673+F680+F686</f>
        <v>1035</v>
      </c>
      <c r="G672" s="4">
        <f>G673+G680+G686</f>
        <v>1035</v>
      </c>
    </row>
    <row r="673" spans="1:7" ht="63">
      <c r="A673" s="311" t="s">
        <v>1213</v>
      </c>
      <c r="B673" s="24" t="s">
        <v>281</v>
      </c>
      <c r="C673" s="24" t="s">
        <v>281</v>
      </c>
      <c r="D673" s="24" t="s">
        <v>957</v>
      </c>
      <c r="E673" s="24"/>
      <c r="F673" s="4">
        <f>F674+F677</f>
        <v>30</v>
      </c>
      <c r="G673" s="4">
        <f>G674+G677</f>
        <v>30</v>
      </c>
    </row>
    <row r="674" spans="1:7" ht="31.5">
      <c r="A674" s="107" t="s">
        <v>1219</v>
      </c>
      <c r="B674" s="20" t="s">
        <v>281</v>
      </c>
      <c r="C674" s="20" t="s">
        <v>281</v>
      </c>
      <c r="D674" s="20" t="s">
        <v>958</v>
      </c>
      <c r="E674" s="20"/>
      <c r="F674" s="6">
        <f>'Пр.5 Рд,пр, ЦС,ВР 20'!F674</f>
        <v>30</v>
      </c>
      <c r="G674" s="6">
        <f t="shared" si="33"/>
        <v>30</v>
      </c>
    </row>
    <row r="675" spans="1:7" ht="94.5">
      <c r="A675" s="25" t="s">
        <v>144</v>
      </c>
      <c r="B675" s="20" t="s">
        <v>281</v>
      </c>
      <c r="C675" s="20" t="s">
        <v>281</v>
      </c>
      <c r="D675" s="20" t="s">
        <v>958</v>
      </c>
      <c r="E675" s="20" t="s">
        <v>145</v>
      </c>
      <c r="F675" s="6">
        <f>'Пр.5 Рд,пр, ЦС,ВР 20'!F675</f>
        <v>30</v>
      </c>
      <c r="G675" s="6">
        <f t="shared" si="33"/>
        <v>30</v>
      </c>
    </row>
    <row r="676" spans="1:7" ht="31.5">
      <c r="A676" s="25" t="s">
        <v>359</v>
      </c>
      <c r="B676" s="20" t="s">
        <v>281</v>
      </c>
      <c r="C676" s="20" t="s">
        <v>281</v>
      </c>
      <c r="D676" s="20" t="s">
        <v>958</v>
      </c>
      <c r="E676" s="20" t="s">
        <v>226</v>
      </c>
      <c r="F676" s="6">
        <f>'Пр.5 Рд,пр, ЦС,ВР 20'!F676</f>
        <v>30</v>
      </c>
      <c r="G676" s="6">
        <f t="shared" si="33"/>
        <v>30</v>
      </c>
    </row>
    <row r="677" spans="1:7" ht="31.5" hidden="1">
      <c r="A677" s="25" t="s">
        <v>1214</v>
      </c>
      <c r="B677" s="20" t="s">
        <v>281</v>
      </c>
      <c r="C677" s="20" t="s">
        <v>281</v>
      </c>
      <c r="D677" s="20" t="s">
        <v>1238</v>
      </c>
      <c r="E677" s="20"/>
      <c r="F677" s="6">
        <f>'Пр.5 Рд,пр, ЦС,ВР 20'!F677</f>
        <v>0</v>
      </c>
      <c r="G677" s="6">
        <f t="shared" si="33"/>
        <v>0</v>
      </c>
    </row>
    <row r="678" spans="1:7" ht="31.5" hidden="1">
      <c r="A678" s="25" t="s">
        <v>148</v>
      </c>
      <c r="B678" s="20" t="s">
        <v>281</v>
      </c>
      <c r="C678" s="20" t="s">
        <v>281</v>
      </c>
      <c r="D678" s="20" t="s">
        <v>1238</v>
      </c>
      <c r="E678" s="20" t="s">
        <v>149</v>
      </c>
      <c r="F678" s="6">
        <f>'Пр.5 Рд,пр, ЦС,ВР 20'!F678</f>
        <v>0</v>
      </c>
      <c r="G678" s="6">
        <f t="shared" si="33"/>
        <v>0</v>
      </c>
    </row>
    <row r="679" spans="1:7" ht="47.25" hidden="1">
      <c r="A679" s="25" t="s">
        <v>150</v>
      </c>
      <c r="B679" s="20" t="s">
        <v>281</v>
      </c>
      <c r="C679" s="20" t="s">
        <v>281</v>
      </c>
      <c r="D679" s="20" t="s">
        <v>1238</v>
      </c>
      <c r="E679" s="20" t="s">
        <v>151</v>
      </c>
      <c r="F679" s="6">
        <f>'Пр.5 Рд,пр, ЦС,ВР 20'!F679</f>
        <v>0</v>
      </c>
      <c r="G679" s="6">
        <f t="shared" si="33"/>
        <v>0</v>
      </c>
    </row>
    <row r="680" spans="1:7" ht="78.75">
      <c r="A680" s="23" t="s">
        <v>1215</v>
      </c>
      <c r="B680" s="24" t="s">
        <v>281</v>
      </c>
      <c r="C680" s="24" t="s">
        <v>281</v>
      </c>
      <c r="D680" s="24" t="s">
        <v>959</v>
      </c>
      <c r="E680" s="24"/>
      <c r="F680" s="4">
        <f>F681</f>
        <v>955</v>
      </c>
      <c r="G680" s="4">
        <f>G681</f>
        <v>955</v>
      </c>
    </row>
    <row r="681" spans="1:7" ht="31.5">
      <c r="A681" s="25" t="s">
        <v>1216</v>
      </c>
      <c r="B681" s="20" t="s">
        <v>281</v>
      </c>
      <c r="C681" s="20" t="s">
        <v>281</v>
      </c>
      <c r="D681" s="20" t="s">
        <v>977</v>
      </c>
      <c r="E681" s="20"/>
      <c r="F681" s="6">
        <f>'Пр.5 Рд,пр, ЦС,ВР 20'!F681</f>
        <v>955</v>
      </c>
      <c r="G681" s="6">
        <f t="shared" si="33"/>
        <v>955</v>
      </c>
    </row>
    <row r="682" spans="1:7" ht="94.5">
      <c r="A682" s="25" t="s">
        <v>144</v>
      </c>
      <c r="B682" s="20" t="s">
        <v>281</v>
      </c>
      <c r="C682" s="20" t="s">
        <v>281</v>
      </c>
      <c r="D682" s="20" t="s">
        <v>977</v>
      </c>
      <c r="E682" s="20" t="s">
        <v>145</v>
      </c>
      <c r="F682" s="6">
        <f>'Пр.5 Рд,пр, ЦС,ВР 20'!F682</f>
        <v>40</v>
      </c>
      <c r="G682" s="6">
        <f t="shared" si="33"/>
        <v>40</v>
      </c>
    </row>
    <row r="683" spans="1:7" ht="31.5">
      <c r="A683" s="25" t="s">
        <v>359</v>
      </c>
      <c r="B683" s="20" t="s">
        <v>281</v>
      </c>
      <c r="C683" s="20" t="s">
        <v>281</v>
      </c>
      <c r="D683" s="20" t="s">
        <v>977</v>
      </c>
      <c r="E683" s="20" t="s">
        <v>226</v>
      </c>
      <c r="F683" s="6">
        <f>'Пр.5 Рд,пр, ЦС,ВР 20'!F683</f>
        <v>40</v>
      </c>
      <c r="G683" s="6">
        <f t="shared" si="33"/>
        <v>40</v>
      </c>
    </row>
    <row r="684" spans="1:7" ht="31.5">
      <c r="A684" s="25" t="s">
        <v>148</v>
      </c>
      <c r="B684" s="20" t="s">
        <v>281</v>
      </c>
      <c r="C684" s="20" t="s">
        <v>281</v>
      </c>
      <c r="D684" s="20" t="s">
        <v>977</v>
      </c>
      <c r="E684" s="20" t="s">
        <v>149</v>
      </c>
      <c r="F684" s="6">
        <f>'Пр.5 Рд,пр, ЦС,ВР 20'!F684</f>
        <v>915</v>
      </c>
      <c r="G684" s="6">
        <f t="shared" si="33"/>
        <v>915</v>
      </c>
    </row>
    <row r="685" spans="1:7" ht="47.25">
      <c r="A685" s="25" t="s">
        <v>150</v>
      </c>
      <c r="B685" s="20" t="s">
        <v>281</v>
      </c>
      <c r="C685" s="20" t="s">
        <v>281</v>
      </c>
      <c r="D685" s="20" t="s">
        <v>977</v>
      </c>
      <c r="E685" s="20" t="s">
        <v>151</v>
      </c>
      <c r="F685" s="6">
        <f>'Пр.5 Рд,пр, ЦС,ВР 20'!F685</f>
        <v>915</v>
      </c>
      <c r="G685" s="6">
        <f t="shared" si="33"/>
        <v>915</v>
      </c>
    </row>
    <row r="686" spans="1:7" ht="47.25">
      <c r="A686" s="23" t="s">
        <v>1221</v>
      </c>
      <c r="B686" s="24" t="s">
        <v>281</v>
      </c>
      <c r="C686" s="24" t="s">
        <v>281</v>
      </c>
      <c r="D686" s="24" t="s">
        <v>1217</v>
      </c>
      <c r="E686" s="24"/>
      <c r="F686" s="4">
        <f>F687</f>
        <v>50</v>
      </c>
      <c r="G686" s="4">
        <f>G687</f>
        <v>50</v>
      </c>
    </row>
    <row r="687" spans="1:7" ht="63">
      <c r="A687" s="352" t="s">
        <v>1218</v>
      </c>
      <c r="B687" s="20" t="s">
        <v>281</v>
      </c>
      <c r="C687" s="20" t="s">
        <v>281</v>
      </c>
      <c r="D687" s="20" t="s">
        <v>1239</v>
      </c>
      <c r="E687" s="20"/>
      <c r="F687" s="6">
        <f>'Пр.5 Рд,пр, ЦС,ВР 20'!F687</f>
        <v>50</v>
      </c>
      <c r="G687" s="6">
        <f t="shared" si="33"/>
        <v>50</v>
      </c>
    </row>
    <row r="688" spans="1:7" ht="31.5">
      <c r="A688" s="25" t="s">
        <v>265</v>
      </c>
      <c r="B688" s="20" t="s">
        <v>281</v>
      </c>
      <c r="C688" s="20" t="s">
        <v>281</v>
      </c>
      <c r="D688" s="20" t="s">
        <v>1239</v>
      </c>
      <c r="E688" s="20" t="s">
        <v>266</v>
      </c>
      <c r="F688" s="6">
        <f>'Пр.5 Рд,пр, ЦС,ВР 20'!F688</f>
        <v>50</v>
      </c>
      <c r="G688" s="6">
        <f t="shared" si="33"/>
        <v>50</v>
      </c>
    </row>
    <row r="689" spans="1:7" ht="31.5">
      <c r="A689" s="25" t="s">
        <v>365</v>
      </c>
      <c r="B689" s="20" t="s">
        <v>281</v>
      </c>
      <c r="C689" s="20" t="s">
        <v>281</v>
      </c>
      <c r="D689" s="20" t="s">
        <v>1239</v>
      </c>
      <c r="E689" s="20" t="s">
        <v>366</v>
      </c>
      <c r="F689" s="6">
        <f>'Пр.5 Рд,пр, ЦС,ВР 20'!F689</f>
        <v>50</v>
      </c>
      <c r="G689" s="6">
        <f t="shared" si="33"/>
        <v>50</v>
      </c>
    </row>
    <row r="690" spans="1:7" ht="47.25">
      <c r="A690" s="23" t="s">
        <v>443</v>
      </c>
      <c r="B690" s="24" t="s">
        <v>281</v>
      </c>
      <c r="C690" s="24" t="s">
        <v>281</v>
      </c>
      <c r="D690" s="24" t="s">
        <v>423</v>
      </c>
      <c r="E690" s="24"/>
      <c r="F690" s="4">
        <f>F691</f>
        <v>6836.3</v>
      </c>
      <c r="G690" s="4">
        <f>G691</f>
        <v>6836.3</v>
      </c>
    </row>
    <row r="691" spans="1:7" ht="47.25">
      <c r="A691" s="23" t="s">
        <v>484</v>
      </c>
      <c r="B691" s="24" t="s">
        <v>281</v>
      </c>
      <c r="C691" s="24" t="s">
        <v>485</v>
      </c>
      <c r="D691" s="24" t="s">
        <v>486</v>
      </c>
      <c r="E691" s="24"/>
      <c r="F691" s="4">
        <f>F692</f>
        <v>6836.3</v>
      </c>
      <c r="G691" s="4">
        <f>G692</f>
        <v>6836.3</v>
      </c>
    </row>
    <row r="692" spans="1:7" ht="31.5">
      <c r="A692" s="23" t="s">
        <v>1064</v>
      </c>
      <c r="B692" s="24" t="s">
        <v>281</v>
      </c>
      <c r="C692" s="24" t="s">
        <v>281</v>
      </c>
      <c r="D692" s="24" t="s">
        <v>1065</v>
      </c>
      <c r="E692" s="24"/>
      <c r="F692" s="4">
        <f>F693+F696</f>
        <v>6836.3</v>
      </c>
      <c r="G692" s="4">
        <f>G693+G696</f>
        <v>6836.3</v>
      </c>
    </row>
    <row r="693" spans="1:7" ht="47.25">
      <c r="A693" s="32" t="s">
        <v>1252</v>
      </c>
      <c r="B693" s="20" t="s">
        <v>281</v>
      </c>
      <c r="C693" s="20" t="s">
        <v>281</v>
      </c>
      <c r="D693" s="20" t="s">
        <v>1066</v>
      </c>
      <c r="E693" s="20"/>
      <c r="F693" s="6">
        <f>'Пр.5 Рд,пр, ЦС,ВР 20'!F693</f>
        <v>3584</v>
      </c>
      <c r="G693" s="6">
        <f t="shared" si="33"/>
        <v>3584</v>
      </c>
    </row>
    <row r="694" spans="1:7" ht="47.25">
      <c r="A694" s="25" t="s">
        <v>289</v>
      </c>
      <c r="B694" s="20" t="s">
        <v>281</v>
      </c>
      <c r="C694" s="20" t="s">
        <v>281</v>
      </c>
      <c r="D694" s="20" t="s">
        <v>1066</v>
      </c>
      <c r="E694" s="20" t="s">
        <v>290</v>
      </c>
      <c r="F694" s="6">
        <f>'Пр.5 Рд,пр, ЦС,ВР 20'!F694</f>
        <v>3584</v>
      </c>
      <c r="G694" s="6">
        <f t="shared" si="33"/>
        <v>3584</v>
      </c>
    </row>
    <row r="695" spans="1:7" ht="15.75">
      <c r="A695" s="25" t="s">
        <v>291</v>
      </c>
      <c r="B695" s="20" t="s">
        <v>281</v>
      </c>
      <c r="C695" s="20" t="s">
        <v>281</v>
      </c>
      <c r="D695" s="20" t="s">
        <v>1066</v>
      </c>
      <c r="E695" s="20" t="s">
        <v>292</v>
      </c>
      <c r="F695" s="6">
        <f>'Пр.5 Рд,пр, ЦС,ВР 20'!F695</f>
        <v>3584</v>
      </c>
      <c r="G695" s="6">
        <f t="shared" si="33"/>
        <v>3584</v>
      </c>
    </row>
    <row r="696" spans="1:7" ht="31.5">
      <c r="A696" s="32" t="s">
        <v>491</v>
      </c>
      <c r="B696" s="20" t="s">
        <v>281</v>
      </c>
      <c r="C696" s="20" t="s">
        <v>281</v>
      </c>
      <c r="D696" s="20" t="s">
        <v>1067</v>
      </c>
      <c r="E696" s="20"/>
      <c r="F696" s="6">
        <f>'Пр.5 Рд,пр, ЦС,ВР 20'!F696</f>
        <v>3252.3</v>
      </c>
      <c r="G696" s="6">
        <f t="shared" si="33"/>
        <v>3252.3</v>
      </c>
    </row>
    <row r="697" spans="1:7" ht="47.25">
      <c r="A697" s="25" t="s">
        <v>289</v>
      </c>
      <c r="B697" s="20" t="s">
        <v>281</v>
      </c>
      <c r="C697" s="20" t="s">
        <v>281</v>
      </c>
      <c r="D697" s="20" t="s">
        <v>1067</v>
      </c>
      <c r="E697" s="20" t="s">
        <v>290</v>
      </c>
      <c r="F697" s="6">
        <f>'Пр.5 Рд,пр, ЦС,ВР 20'!F697</f>
        <v>3252.3</v>
      </c>
      <c r="G697" s="6">
        <f t="shared" si="33"/>
        <v>3252.3</v>
      </c>
    </row>
    <row r="698" spans="1:7" ht="15.75">
      <c r="A698" s="25" t="s">
        <v>291</v>
      </c>
      <c r="B698" s="20" t="s">
        <v>281</v>
      </c>
      <c r="C698" s="20" t="s">
        <v>281</v>
      </c>
      <c r="D698" s="20" t="s">
        <v>1067</v>
      </c>
      <c r="E698" s="20" t="s">
        <v>292</v>
      </c>
      <c r="F698" s="6">
        <f>'Пр.5 Рд,пр, ЦС,ВР 20'!F698</f>
        <v>3252.3</v>
      </c>
      <c r="G698" s="6">
        <f t="shared" si="33"/>
        <v>3252.3</v>
      </c>
    </row>
    <row r="699" spans="1:7" ht="15.75">
      <c r="A699" s="23" t="s">
        <v>312</v>
      </c>
      <c r="B699" s="24" t="s">
        <v>281</v>
      </c>
      <c r="C699" s="24" t="s">
        <v>236</v>
      </c>
      <c r="D699" s="24"/>
      <c r="E699" s="24"/>
      <c r="F699" s="4">
        <f>F700+F710</f>
        <v>20468.931</v>
      </c>
      <c r="G699" s="4">
        <f>G700+G710</f>
        <v>20468.931</v>
      </c>
    </row>
    <row r="700" spans="1:7" ht="31.5">
      <c r="A700" s="23" t="s">
        <v>995</v>
      </c>
      <c r="B700" s="24" t="s">
        <v>281</v>
      </c>
      <c r="C700" s="24" t="s">
        <v>236</v>
      </c>
      <c r="D700" s="24" t="s">
        <v>909</v>
      </c>
      <c r="E700" s="24"/>
      <c r="F700" s="4">
        <f>F701</f>
        <v>5806.718</v>
      </c>
      <c r="G700" s="4">
        <f>G701</f>
        <v>5806.718</v>
      </c>
    </row>
    <row r="701" spans="1:7" ht="15.75">
      <c r="A701" s="23" t="s">
        <v>996</v>
      </c>
      <c r="B701" s="24" t="s">
        <v>281</v>
      </c>
      <c r="C701" s="24" t="s">
        <v>236</v>
      </c>
      <c r="D701" s="24" t="s">
        <v>910</v>
      </c>
      <c r="E701" s="24"/>
      <c r="F701" s="4">
        <f>F702+F707</f>
        <v>5806.718</v>
      </c>
      <c r="G701" s="4">
        <f>G702+G707</f>
        <v>5806.718</v>
      </c>
    </row>
    <row r="702" spans="1:7" ht="31.5">
      <c r="A702" s="25" t="s">
        <v>972</v>
      </c>
      <c r="B702" s="20" t="s">
        <v>281</v>
      </c>
      <c r="C702" s="20" t="s">
        <v>236</v>
      </c>
      <c r="D702" s="20" t="s">
        <v>911</v>
      </c>
      <c r="E702" s="20"/>
      <c r="F702" s="6">
        <f>'Пр.5 Рд,пр, ЦС,ВР 20'!F702</f>
        <v>5706.718</v>
      </c>
      <c r="G702" s="6">
        <f t="shared" si="33"/>
        <v>5706.718</v>
      </c>
    </row>
    <row r="703" spans="1:7" ht="94.5">
      <c r="A703" s="25" t="s">
        <v>144</v>
      </c>
      <c r="B703" s="20" t="s">
        <v>281</v>
      </c>
      <c r="C703" s="20" t="s">
        <v>236</v>
      </c>
      <c r="D703" s="20" t="s">
        <v>911</v>
      </c>
      <c r="E703" s="20" t="s">
        <v>145</v>
      </c>
      <c r="F703" s="6">
        <f>'Пр.5 Рд,пр, ЦС,ВР 20'!F703</f>
        <v>5450.718</v>
      </c>
      <c r="G703" s="6">
        <f t="shared" si="33"/>
        <v>5450.718</v>
      </c>
    </row>
    <row r="704" spans="1:7" ht="47.25">
      <c r="A704" s="25" t="s">
        <v>146</v>
      </c>
      <c r="B704" s="20" t="s">
        <v>281</v>
      </c>
      <c r="C704" s="20" t="s">
        <v>236</v>
      </c>
      <c r="D704" s="20" t="s">
        <v>911</v>
      </c>
      <c r="E704" s="20" t="s">
        <v>147</v>
      </c>
      <c r="F704" s="6">
        <f>'Пр.5 Рд,пр, ЦС,ВР 20'!F704</f>
        <v>5450.718</v>
      </c>
      <c r="G704" s="6">
        <f t="shared" si="33"/>
        <v>5450.718</v>
      </c>
    </row>
    <row r="705" spans="1:7" ht="31.5">
      <c r="A705" s="25" t="s">
        <v>148</v>
      </c>
      <c r="B705" s="20" t="s">
        <v>281</v>
      </c>
      <c r="C705" s="20" t="s">
        <v>236</v>
      </c>
      <c r="D705" s="20" t="s">
        <v>911</v>
      </c>
      <c r="E705" s="20" t="s">
        <v>149</v>
      </c>
      <c r="F705" s="6">
        <f>'Пр.5 Рд,пр, ЦС,ВР 20'!F705</f>
        <v>256</v>
      </c>
      <c r="G705" s="6">
        <f t="shared" si="33"/>
        <v>256</v>
      </c>
    </row>
    <row r="706" spans="1:7" ht="47.25">
      <c r="A706" s="25" t="s">
        <v>150</v>
      </c>
      <c r="B706" s="20" t="s">
        <v>281</v>
      </c>
      <c r="C706" s="20" t="s">
        <v>236</v>
      </c>
      <c r="D706" s="20" t="s">
        <v>911</v>
      </c>
      <c r="E706" s="20" t="s">
        <v>151</v>
      </c>
      <c r="F706" s="6">
        <f>'Пр.5 Рд,пр, ЦС,ВР 20'!F706</f>
        <v>256</v>
      </c>
      <c r="G706" s="6">
        <f t="shared" si="33"/>
        <v>256</v>
      </c>
    </row>
    <row r="707" spans="1:7" ht="47.25">
      <c r="A707" s="25" t="s">
        <v>889</v>
      </c>
      <c r="B707" s="20" t="s">
        <v>281</v>
      </c>
      <c r="C707" s="20" t="s">
        <v>236</v>
      </c>
      <c r="D707" s="20" t="s">
        <v>913</v>
      </c>
      <c r="E707" s="20"/>
      <c r="F707" s="6">
        <f>'Пр.5 Рд,пр, ЦС,ВР 20'!F707</f>
        <v>100</v>
      </c>
      <c r="G707" s="6">
        <f t="shared" si="33"/>
        <v>100</v>
      </c>
    </row>
    <row r="708" spans="1:7" ht="94.5">
      <c r="A708" s="25" t="s">
        <v>144</v>
      </c>
      <c r="B708" s="20" t="s">
        <v>281</v>
      </c>
      <c r="C708" s="20" t="s">
        <v>236</v>
      </c>
      <c r="D708" s="20" t="s">
        <v>913</v>
      </c>
      <c r="E708" s="20" t="s">
        <v>145</v>
      </c>
      <c r="F708" s="6">
        <f>'Пр.5 Рд,пр, ЦС,ВР 20'!F708</f>
        <v>100</v>
      </c>
      <c r="G708" s="6">
        <f t="shared" si="33"/>
        <v>100</v>
      </c>
    </row>
    <row r="709" spans="1:7" ht="47.25">
      <c r="A709" s="25" t="s">
        <v>146</v>
      </c>
      <c r="B709" s="20" t="s">
        <v>281</v>
      </c>
      <c r="C709" s="20" t="s">
        <v>236</v>
      </c>
      <c r="D709" s="20" t="s">
        <v>913</v>
      </c>
      <c r="E709" s="20" t="s">
        <v>147</v>
      </c>
      <c r="F709" s="6">
        <f>'Пр.5 Рд,пр, ЦС,ВР 20'!F709</f>
        <v>100</v>
      </c>
      <c r="G709" s="6">
        <f t="shared" si="33"/>
        <v>100</v>
      </c>
    </row>
    <row r="710" spans="1:7" ht="15.75">
      <c r="A710" s="23" t="s">
        <v>158</v>
      </c>
      <c r="B710" s="24" t="s">
        <v>281</v>
      </c>
      <c r="C710" s="24" t="s">
        <v>236</v>
      </c>
      <c r="D710" s="24" t="s">
        <v>917</v>
      </c>
      <c r="E710" s="24"/>
      <c r="F710" s="4">
        <f>F711+F715</f>
        <v>14662.213</v>
      </c>
      <c r="G710" s="4">
        <f>G711+G715</f>
        <v>14662.213</v>
      </c>
    </row>
    <row r="711" spans="1:7" ht="31.5">
      <c r="A711" s="23" t="s">
        <v>921</v>
      </c>
      <c r="B711" s="24" t="s">
        <v>281</v>
      </c>
      <c r="C711" s="24" t="s">
        <v>236</v>
      </c>
      <c r="D711" s="24" t="s">
        <v>916</v>
      </c>
      <c r="E711" s="24"/>
      <c r="F711" s="4">
        <f>F712</f>
        <v>300</v>
      </c>
      <c r="G711" s="4">
        <f>G712</f>
        <v>300</v>
      </c>
    </row>
    <row r="712" spans="1:7" ht="31.5">
      <c r="A712" s="25" t="s">
        <v>495</v>
      </c>
      <c r="B712" s="20" t="s">
        <v>281</v>
      </c>
      <c r="C712" s="20" t="s">
        <v>236</v>
      </c>
      <c r="D712" s="20" t="s">
        <v>1068</v>
      </c>
      <c r="E712" s="20"/>
      <c r="F712" s="6">
        <f>'Пр.5 Рд,пр, ЦС,ВР 20'!F712</f>
        <v>300</v>
      </c>
      <c r="G712" s="6">
        <f t="shared" si="33"/>
        <v>300</v>
      </c>
    </row>
    <row r="713" spans="1:7" ht="31.5">
      <c r="A713" s="25" t="s">
        <v>148</v>
      </c>
      <c r="B713" s="20" t="s">
        <v>281</v>
      </c>
      <c r="C713" s="20" t="s">
        <v>236</v>
      </c>
      <c r="D713" s="20" t="s">
        <v>1068</v>
      </c>
      <c r="E713" s="20" t="s">
        <v>149</v>
      </c>
      <c r="F713" s="6">
        <f>'Пр.5 Рд,пр, ЦС,ВР 20'!F713</f>
        <v>300</v>
      </c>
      <c r="G713" s="6">
        <f t="shared" si="33"/>
        <v>300</v>
      </c>
    </row>
    <row r="714" spans="1:7" ht="47.25">
      <c r="A714" s="25" t="s">
        <v>150</v>
      </c>
      <c r="B714" s="20" t="s">
        <v>281</v>
      </c>
      <c r="C714" s="20" t="s">
        <v>236</v>
      </c>
      <c r="D714" s="20" t="s">
        <v>1068</v>
      </c>
      <c r="E714" s="20" t="s">
        <v>151</v>
      </c>
      <c r="F714" s="6">
        <f>'Пр.5 Рд,пр, ЦС,ВР 20'!F714</f>
        <v>300</v>
      </c>
      <c r="G714" s="6">
        <f t="shared" si="33"/>
        <v>300</v>
      </c>
    </row>
    <row r="715" spans="1:7" ht="47.25">
      <c r="A715" s="23" t="s">
        <v>1009</v>
      </c>
      <c r="B715" s="24" t="s">
        <v>281</v>
      </c>
      <c r="C715" s="24" t="s">
        <v>236</v>
      </c>
      <c r="D715" s="24" t="s">
        <v>992</v>
      </c>
      <c r="E715" s="24"/>
      <c r="F715" s="4">
        <f>F716+F723</f>
        <v>14362.213</v>
      </c>
      <c r="G715" s="4">
        <f>G716+G723</f>
        <v>14362.213</v>
      </c>
    </row>
    <row r="716" spans="1:7" ht="31.5">
      <c r="A716" s="25" t="s">
        <v>979</v>
      </c>
      <c r="B716" s="20" t="s">
        <v>281</v>
      </c>
      <c r="C716" s="20" t="s">
        <v>236</v>
      </c>
      <c r="D716" s="20" t="s">
        <v>993</v>
      </c>
      <c r="E716" s="20"/>
      <c r="F716" s="6">
        <f>'Пр.5 Рд,пр, ЦС,ВР 20'!F716</f>
        <v>14032.213</v>
      </c>
      <c r="G716" s="6">
        <f t="shared" si="33"/>
        <v>14032.213</v>
      </c>
    </row>
    <row r="717" spans="1:7" ht="94.5">
      <c r="A717" s="25" t="s">
        <v>144</v>
      </c>
      <c r="B717" s="20" t="s">
        <v>281</v>
      </c>
      <c r="C717" s="20" t="s">
        <v>236</v>
      </c>
      <c r="D717" s="20" t="s">
        <v>993</v>
      </c>
      <c r="E717" s="20" t="s">
        <v>145</v>
      </c>
      <c r="F717" s="6">
        <f>'Пр.5 Рд,пр, ЦС,ВР 20'!F717</f>
        <v>12715.213</v>
      </c>
      <c r="G717" s="6">
        <f t="shared" si="33"/>
        <v>12715.213</v>
      </c>
    </row>
    <row r="718" spans="1:7" ht="31.5">
      <c r="A718" s="25" t="s">
        <v>359</v>
      </c>
      <c r="B718" s="20" t="s">
        <v>281</v>
      </c>
      <c r="C718" s="20" t="s">
        <v>236</v>
      </c>
      <c r="D718" s="20" t="s">
        <v>993</v>
      </c>
      <c r="E718" s="20" t="s">
        <v>226</v>
      </c>
      <c r="F718" s="6">
        <f>'Пр.5 Рд,пр, ЦС,ВР 20'!F718</f>
        <v>12715.213</v>
      </c>
      <c r="G718" s="6">
        <f t="shared" si="33"/>
        <v>12715.213</v>
      </c>
    </row>
    <row r="719" spans="1:7" ht="31.5">
      <c r="A719" s="25" t="s">
        <v>148</v>
      </c>
      <c r="B719" s="20" t="s">
        <v>281</v>
      </c>
      <c r="C719" s="20" t="s">
        <v>236</v>
      </c>
      <c r="D719" s="20" t="s">
        <v>993</v>
      </c>
      <c r="E719" s="20" t="s">
        <v>149</v>
      </c>
      <c r="F719" s="6">
        <f>'Пр.5 Рд,пр, ЦС,ВР 20'!F719</f>
        <v>1302</v>
      </c>
      <c r="G719" s="6">
        <f t="shared" si="33"/>
        <v>1302</v>
      </c>
    </row>
    <row r="720" spans="1:7" ht="47.25">
      <c r="A720" s="25" t="s">
        <v>150</v>
      </c>
      <c r="B720" s="20" t="s">
        <v>281</v>
      </c>
      <c r="C720" s="20" t="s">
        <v>236</v>
      </c>
      <c r="D720" s="20" t="s">
        <v>993</v>
      </c>
      <c r="E720" s="20" t="s">
        <v>151</v>
      </c>
      <c r="F720" s="6">
        <f>'Пр.5 Рд,пр, ЦС,ВР 20'!F720</f>
        <v>1302</v>
      </c>
      <c r="G720" s="6">
        <f t="shared" si="33"/>
        <v>1302</v>
      </c>
    </row>
    <row r="721" spans="1:7" ht="15.75">
      <c r="A721" s="25" t="s">
        <v>152</v>
      </c>
      <c r="B721" s="20" t="s">
        <v>281</v>
      </c>
      <c r="C721" s="20" t="s">
        <v>236</v>
      </c>
      <c r="D721" s="20" t="s">
        <v>993</v>
      </c>
      <c r="E721" s="20" t="s">
        <v>162</v>
      </c>
      <c r="F721" s="6">
        <f>'Пр.5 Рд,пр, ЦС,ВР 20'!F721</f>
        <v>15</v>
      </c>
      <c r="G721" s="6">
        <f t="shared" si="33"/>
        <v>15</v>
      </c>
    </row>
    <row r="722" spans="1:7" ht="31.5">
      <c r="A722" s="25" t="s">
        <v>585</v>
      </c>
      <c r="B722" s="20" t="s">
        <v>281</v>
      </c>
      <c r="C722" s="20" t="s">
        <v>236</v>
      </c>
      <c r="D722" s="20" t="s">
        <v>993</v>
      </c>
      <c r="E722" s="20" t="s">
        <v>155</v>
      </c>
      <c r="F722" s="6">
        <f>'Пр.5 Рд,пр, ЦС,ВР 20'!F722</f>
        <v>15</v>
      </c>
      <c r="G722" s="6">
        <f aca="true" t="shared" si="34" ref="G722:G782">F722</f>
        <v>15</v>
      </c>
    </row>
    <row r="723" spans="1:7" ht="47.25">
      <c r="A723" s="25" t="s">
        <v>889</v>
      </c>
      <c r="B723" s="20" t="s">
        <v>281</v>
      </c>
      <c r="C723" s="20" t="s">
        <v>236</v>
      </c>
      <c r="D723" s="20" t="s">
        <v>994</v>
      </c>
      <c r="E723" s="20"/>
      <c r="F723" s="6">
        <f>'Пр.5 Рд,пр, ЦС,ВР 20'!F723</f>
        <v>330</v>
      </c>
      <c r="G723" s="6">
        <f t="shared" si="34"/>
        <v>330</v>
      </c>
    </row>
    <row r="724" spans="1:7" ht="94.5">
      <c r="A724" s="25" t="s">
        <v>144</v>
      </c>
      <c r="B724" s="20" t="s">
        <v>281</v>
      </c>
      <c r="C724" s="20" t="s">
        <v>236</v>
      </c>
      <c r="D724" s="20" t="s">
        <v>994</v>
      </c>
      <c r="E724" s="20" t="s">
        <v>145</v>
      </c>
      <c r="F724" s="6">
        <f>'Пр.5 Рд,пр, ЦС,ВР 20'!F724</f>
        <v>330</v>
      </c>
      <c r="G724" s="6">
        <f t="shared" si="34"/>
        <v>330</v>
      </c>
    </row>
    <row r="725" spans="1:7" ht="47.25">
      <c r="A725" s="25" t="s">
        <v>146</v>
      </c>
      <c r="B725" s="20" t="s">
        <v>281</v>
      </c>
      <c r="C725" s="20" t="s">
        <v>236</v>
      </c>
      <c r="D725" s="20" t="s">
        <v>994</v>
      </c>
      <c r="E725" s="20" t="s">
        <v>147</v>
      </c>
      <c r="F725" s="6">
        <f>'Пр.5 Рд,пр, ЦС,ВР 20'!F725</f>
        <v>330</v>
      </c>
      <c r="G725" s="6">
        <f t="shared" si="34"/>
        <v>330</v>
      </c>
    </row>
    <row r="726" spans="1:7" ht="15.75">
      <c r="A726" s="42" t="s">
        <v>315</v>
      </c>
      <c r="B726" s="7" t="s">
        <v>316</v>
      </c>
      <c r="C726" s="7"/>
      <c r="D726" s="7"/>
      <c r="E726" s="7"/>
      <c r="F726" s="4">
        <f>F727+F793</f>
        <v>68480.954</v>
      </c>
      <c r="G726" s="4">
        <f>G727+G793</f>
        <v>68480.954</v>
      </c>
    </row>
    <row r="727" spans="1:7" ht="15.75">
      <c r="A727" s="42" t="s">
        <v>317</v>
      </c>
      <c r="B727" s="7" t="s">
        <v>316</v>
      </c>
      <c r="C727" s="7" t="s">
        <v>135</v>
      </c>
      <c r="D727" s="7"/>
      <c r="E727" s="7"/>
      <c r="F727" s="4">
        <f>F728+F783+F788</f>
        <v>48690.81999999999</v>
      </c>
      <c r="G727" s="4">
        <f>G728+G783+G788</f>
        <v>48690.81999999999</v>
      </c>
    </row>
    <row r="728" spans="1:7" ht="47.25">
      <c r="A728" s="23" t="s">
        <v>283</v>
      </c>
      <c r="B728" s="24" t="s">
        <v>316</v>
      </c>
      <c r="C728" s="24" t="s">
        <v>135</v>
      </c>
      <c r="D728" s="24" t="s">
        <v>284</v>
      </c>
      <c r="E728" s="24"/>
      <c r="F728" s="4">
        <f>F729+F752</f>
        <v>47897.619999999995</v>
      </c>
      <c r="G728" s="4">
        <f>G729+G752</f>
        <v>47897.619999999995</v>
      </c>
    </row>
    <row r="729" spans="1:7" ht="63">
      <c r="A729" s="23" t="s">
        <v>318</v>
      </c>
      <c r="B729" s="24" t="s">
        <v>316</v>
      </c>
      <c r="C729" s="24" t="s">
        <v>135</v>
      </c>
      <c r="D729" s="24" t="s">
        <v>319</v>
      </c>
      <c r="E729" s="24"/>
      <c r="F729" s="4">
        <f>F730+F738+F744+F748</f>
        <v>26022.3</v>
      </c>
      <c r="G729" s="4">
        <f>G730+G738+G744+G748</f>
        <v>26022.3</v>
      </c>
    </row>
    <row r="730" spans="1:7" ht="47.25">
      <c r="A730" s="23" t="s">
        <v>961</v>
      </c>
      <c r="B730" s="24" t="s">
        <v>316</v>
      </c>
      <c r="C730" s="24" t="s">
        <v>135</v>
      </c>
      <c r="D730" s="24" t="s">
        <v>962</v>
      </c>
      <c r="E730" s="24"/>
      <c r="F730" s="4">
        <f>F731</f>
        <v>24514</v>
      </c>
      <c r="G730" s="4">
        <f>G731</f>
        <v>24514</v>
      </c>
    </row>
    <row r="731" spans="1:7" ht="31.5">
      <c r="A731" s="25" t="s">
        <v>835</v>
      </c>
      <c r="B731" s="20" t="s">
        <v>316</v>
      </c>
      <c r="C731" s="20" t="s">
        <v>135</v>
      </c>
      <c r="D731" s="20" t="s">
        <v>960</v>
      </c>
      <c r="E731" s="20"/>
      <c r="F731" s="6">
        <f>'Пр.5 Рд,пр, ЦС,ВР 20'!F731</f>
        <v>24514</v>
      </c>
      <c r="G731" s="6">
        <f t="shared" si="34"/>
        <v>24514</v>
      </c>
    </row>
    <row r="732" spans="1:7" ht="94.5">
      <c r="A732" s="25" t="s">
        <v>144</v>
      </c>
      <c r="B732" s="20" t="s">
        <v>316</v>
      </c>
      <c r="C732" s="20" t="s">
        <v>135</v>
      </c>
      <c r="D732" s="20" t="s">
        <v>960</v>
      </c>
      <c r="E732" s="20" t="s">
        <v>145</v>
      </c>
      <c r="F732" s="6">
        <f>'Пр.5 Рд,пр, ЦС,ВР 20'!F732</f>
        <v>18725</v>
      </c>
      <c r="G732" s="6">
        <f t="shared" si="34"/>
        <v>18725</v>
      </c>
    </row>
    <row r="733" spans="1:7" ht="31.5">
      <c r="A733" s="25" t="s">
        <v>225</v>
      </c>
      <c r="B733" s="20" t="s">
        <v>316</v>
      </c>
      <c r="C733" s="20" t="s">
        <v>135</v>
      </c>
      <c r="D733" s="20" t="s">
        <v>960</v>
      </c>
      <c r="E733" s="20" t="s">
        <v>226</v>
      </c>
      <c r="F733" s="6">
        <f>'Пр.5 Рд,пр, ЦС,ВР 20'!F733</f>
        <v>18725</v>
      </c>
      <c r="G733" s="6">
        <f t="shared" si="34"/>
        <v>18725</v>
      </c>
    </row>
    <row r="734" spans="1:7" ht="31.5">
      <c r="A734" s="25" t="s">
        <v>148</v>
      </c>
      <c r="B734" s="20" t="s">
        <v>316</v>
      </c>
      <c r="C734" s="20" t="s">
        <v>135</v>
      </c>
      <c r="D734" s="20" t="s">
        <v>960</v>
      </c>
      <c r="E734" s="20" t="s">
        <v>149</v>
      </c>
      <c r="F734" s="6">
        <f>'Пр.5 Рд,пр, ЦС,ВР 20'!F734</f>
        <v>5681</v>
      </c>
      <c r="G734" s="6">
        <f t="shared" si="34"/>
        <v>5681</v>
      </c>
    </row>
    <row r="735" spans="1:7" ht="47.25">
      <c r="A735" s="25" t="s">
        <v>150</v>
      </c>
      <c r="B735" s="20" t="s">
        <v>316</v>
      </c>
      <c r="C735" s="20" t="s">
        <v>135</v>
      </c>
      <c r="D735" s="20" t="s">
        <v>960</v>
      </c>
      <c r="E735" s="20" t="s">
        <v>151</v>
      </c>
      <c r="F735" s="6">
        <f>'Пр.5 Рд,пр, ЦС,ВР 20'!F735</f>
        <v>5681</v>
      </c>
      <c r="G735" s="6">
        <f t="shared" si="34"/>
        <v>5681</v>
      </c>
    </row>
    <row r="736" spans="1:7" ht="15.75">
      <c r="A736" s="25" t="s">
        <v>152</v>
      </c>
      <c r="B736" s="20" t="s">
        <v>316</v>
      </c>
      <c r="C736" s="20" t="s">
        <v>135</v>
      </c>
      <c r="D736" s="20" t="s">
        <v>960</v>
      </c>
      <c r="E736" s="20" t="s">
        <v>162</v>
      </c>
      <c r="F736" s="6">
        <f>'Пр.5 Рд,пр, ЦС,ВР 20'!F736</f>
        <v>108</v>
      </c>
      <c r="G736" s="6">
        <f t="shared" si="34"/>
        <v>108</v>
      </c>
    </row>
    <row r="737" spans="1:7" ht="31.5">
      <c r="A737" s="25" t="s">
        <v>585</v>
      </c>
      <c r="B737" s="20" t="s">
        <v>316</v>
      </c>
      <c r="C737" s="20" t="s">
        <v>135</v>
      </c>
      <c r="D737" s="20" t="s">
        <v>960</v>
      </c>
      <c r="E737" s="20" t="s">
        <v>155</v>
      </c>
      <c r="F737" s="6">
        <f>'Пр.5 Рд,пр, ЦС,ВР 20'!F737</f>
        <v>108</v>
      </c>
      <c r="G737" s="6">
        <f t="shared" si="34"/>
        <v>108</v>
      </c>
    </row>
    <row r="738" spans="1:7" ht="47.25">
      <c r="A738" s="317" t="s">
        <v>975</v>
      </c>
      <c r="B738" s="24" t="s">
        <v>316</v>
      </c>
      <c r="C738" s="24" t="s">
        <v>135</v>
      </c>
      <c r="D738" s="24" t="s">
        <v>963</v>
      </c>
      <c r="E738" s="24"/>
      <c r="F738" s="4">
        <f>F739</f>
        <v>250</v>
      </c>
      <c r="G738" s="4">
        <f>G739</f>
        <v>250</v>
      </c>
    </row>
    <row r="739" spans="1:7" ht="47.25">
      <c r="A739" s="32" t="s">
        <v>864</v>
      </c>
      <c r="B739" s="20" t="s">
        <v>316</v>
      </c>
      <c r="C739" s="20" t="s">
        <v>135</v>
      </c>
      <c r="D739" s="20" t="s">
        <v>964</v>
      </c>
      <c r="E739" s="20"/>
      <c r="F739" s="6">
        <f>'Пр.5 Рд,пр, ЦС,ВР 20'!F739</f>
        <v>250</v>
      </c>
      <c r="G739" s="6">
        <f t="shared" si="34"/>
        <v>250</v>
      </c>
    </row>
    <row r="740" spans="1:7" ht="94.5" hidden="1">
      <c r="A740" s="25" t="s">
        <v>144</v>
      </c>
      <c r="B740" s="20" t="s">
        <v>316</v>
      </c>
      <c r="C740" s="20" t="s">
        <v>135</v>
      </c>
      <c r="D740" s="20" t="s">
        <v>964</v>
      </c>
      <c r="E740" s="20" t="s">
        <v>145</v>
      </c>
      <c r="F740" s="6">
        <f>'Пр.5 Рд,пр, ЦС,ВР 20'!F740</f>
        <v>0</v>
      </c>
      <c r="G740" s="6">
        <f t="shared" si="34"/>
        <v>0</v>
      </c>
    </row>
    <row r="741" spans="1:7" ht="31.5" hidden="1">
      <c r="A741" s="25" t="s">
        <v>225</v>
      </c>
      <c r="B741" s="20" t="s">
        <v>316</v>
      </c>
      <c r="C741" s="20" t="s">
        <v>135</v>
      </c>
      <c r="D741" s="20" t="s">
        <v>964</v>
      </c>
      <c r="E741" s="20" t="s">
        <v>226</v>
      </c>
      <c r="F741" s="6">
        <f>'Пр.5 Рд,пр, ЦС,ВР 20'!F741</f>
        <v>0</v>
      </c>
      <c r="G741" s="6">
        <f t="shared" si="34"/>
        <v>0</v>
      </c>
    </row>
    <row r="742" spans="1:7" ht="31.5">
      <c r="A742" s="25" t="s">
        <v>148</v>
      </c>
      <c r="B742" s="20" t="s">
        <v>316</v>
      </c>
      <c r="C742" s="20" t="s">
        <v>135</v>
      </c>
      <c r="D742" s="20" t="s">
        <v>964</v>
      </c>
      <c r="E742" s="20" t="s">
        <v>149</v>
      </c>
      <c r="F742" s="6">
        <f>'Пр.5 Рд,пр, ЦС,ВР 20'!F742</f>
        <v>250</v>
      </c>
      <c r="G742" s="6">
        <f t="shared" si="34"/>
        <v>250</v>
      </c>
    </row>
    <row r="743" spans="1:7" ht="47.25">
      <c r="A743" s="25" t="s">
        <v>150</v>
      </c>
      <c r="B743" s="20" t="s">
        <v>316</v>
      </c>
      <c r="C743" s="20" t="s">
        <v>135</v>
      </c>
      <c r="D743" s="20" t="s">
        <v>964</v>
      </c>
      <c r="E743" s="20" t="s">
        <v>151</v>
      </c>
      <c r="F743" s="6">
        <f>'Пр.5 Рд,пр, ЦС,ВР 20'!F743</f>
        <v>250</v>
      </c>
      <c r="G743" s="6">
        <f t="shared" si="34"/>
        <v>250</v>
      </c>
    </row>
    <row r="744" spans="1:7" ht="47.25">
      <c r="A744" s="23" t="s">
        <v>1084</v>
      </c>
      <c r="B744" s="24" t="s">
        <v>316</v>
      </c>
      <c r="C744" s="24" t="s">
        <v>135</v>
      </c>
      <c r="D744" s="24" t="s">
        <v>1173</v>
      </c>
      <c r="E744" s="24"/>
      <c r="F744" s="4">
        <f>F745</f>
        <v>585</v>
      </c>
      <c r="G744" s="4">
        <f>G745</f>
        <v>585</v>
      </c>
    </row>
    <row r="745" spans="1:7" ht="47.25">
      <c r="A745" s="25" t="s">
        <v>889</v>
      </c>
      <c r="B745" s="20" t="s">
        <v>316</v>
      </c>
      <c r="C745" s="20" t="s">
        <v>135</v>
      </c>
      <c r="D745" s="20" t="s">
        <v>1174</v>
      </c>
      <c r="E745" s="20"/>
      <c r="F745" s="6">
        <f>'Пр.5 Рд,пр, ЦС,ВР 20'!F745</f>
        <v>585</v>
      </c>
      <c r="G745" s="6">
        <f t="shared" si="34"/>
        <v>585</v>
      </c>
    </row>
    <row r="746" spans="1:7" ht="94.5">
      <c r="A746" s="25" t="s">
        <v>144</v>
      </c>
      <c r="B746" s="20" t="s">
        <v>316</v>
      </c>
      <c r="C746" s="20" t="s">
        <v>135</v>
      </c>
      <c r="D746" s="20" t="s">
        <v>1174</v>
      </c>
      <c r="E746" s="20" t="s">
        <v>145</v>
      </c>
      <c r="F746" s="6">
        <f>'Пр.5 Рд,пр, ЦС,ВР 20'!F746</f>
        <v>585</v>
      </c>
      <c r="G746" s="6">
        <f t="shared" si="34"/>
        <v>585</v>
      </c>
    </row>
    <row r="747" spans="1:7" ht="47.25">
      <c r="A747" s="25" t="s">
        <v>146</v>
      </c>
      <c r="B747" s="20" t="s">
        <v>316</v>
      </c>
      <c r="C747" s="20" t="s">
        <v>135</v>
      </c>
      <c r="D747" s="20" t="s">
        <v>1174</v>
      </c>
      <c r="E747" s="20" t="s">
        <v>226</v>
      </c>
      <c r="F747" s="6">
        <f>'Пр.5 Рд,пр, ЦС,ВР 20'!F747</f>
        <v>585</v>
      </c>
      <c r="G747" s="6">
        <f t="shared" si="34"/>
        <v>585</v>
      </c>
    </row>
    <row r="748" spans="1:7" ht="63">
      <c r="A748" s="318" t="s">
        <v>976</v>
      </c>
      <c r="B748" s="24" t="s">
        <v>316</v>
      </c>
      <c r="C748" s="24" t="s">
        <v>135</v>
      </c>
      <c r="D748" s="24" t="s">
        <v>1175</v>
      </c>
      <c r="E748" s="24"/>
      <c r="F748" s="4">
        <f>F749</f>
        <v>673.3</v>
      </c>
      <c r="G748" s="4">
        <f>G749</f>
        <v>673.3</v>
      </c>
    </row>
    <row r="749" spans="1:7" ht="126">
      <c r="A749" s="32" t="s">
        <v>310</v>
      </c>
      <c r="B749" s="20" t="s">
        <v>316</v>
      </c>
      <c r="C749" s="20" t="s">
        <v>135</v>
      </c>
      <c r="D749" s="20" t="s">
        <v>1176</v>
      </c>
      <c r="E749" s="20"/>
      <c r="F749" s="6">
        <f>'Пр.5 Рд,пр, ЦС,ВР 20'!F749</f>
        <v>673.3</v>
      </c>
      <c r="G749" s="6">
        <f t="shared" si="34"/>
        <v>673.3</v>
      </c>
    </row>
    <row r="750" spans="1:7" ht="94.5">
      <c r="A750" s="25" t="s">
        <v>144</v>
      </c>
      <c r="B750" s="20" t="s">
        <v>316</v>
      </c>
      <c r="C750" s="20" t="s">
        <v>135</v>
      </c>
      <c r="D750" s="20" t="s">
        <v>1176</v>
      </c>
      <c r="E750" s="20" t="s">
        <v>145</v>
      </c>
      <c r="F750" s="6">
        <f>'Пр.5 Рд,пр, ЦС,ВР 20'!F750</f>
        <v>673.3</v>
      </c>
      <c r="G750" s="6">
        <f t="shared" si="34"/>
        <v>673.3</v>
      </c>
    </row>
    <row r="751" spans="1:7" ht="31.5">
      <c r="A751" s="25" t="s">
        <v>225</v>
      </c>
      <c r="B751" s="20" t="s">
        <v>316</v>
      </c>
      <c r="C751" s="20" t="s">
        <v>135</v>
      </c>
      <c r="D751" s="20" t="s">
        <v>1176</v>
      </c>
      <c r="E751" s="20" t="s">
        <v>226</v>
      </c>
      <c r="F751" s="6">
        <f>'Пр.5 Рд,пр, ЦС,ВР 20'!F751</f>
        <v>673.3</v>
      </c>
      <c r="G751" s="6">
        <f t="shared" si="34"/>
        <v>673.3</v>
      </c>
    </row>
    <row r="752" spans="1:7" ht="47.25">
      <c r="A752" s="23" t="s">
        <v>329</v>
      </c>
      <c r="B752" s="24" t="s">
        <v>316</v>
      </c>
      <c r="C752" s="24" t="s">
        <v>135</v>
      </c>
      <c r="D752" s="24" t="s">
        <v>330</v>
      </c>
      <c r="E752" s="24"/>
      <c r="F752" s="4">
        <f>F753+F761+F765+F769+F776</f>
        <v>21875.32</v>
      </c>
      <c r="G752" s="4">
        <f>G753+G761+G765+G769+G776</f>
        <v>21875.32</v>
      </c>
    </row>
    <row r="753" spans="1:7" ht="47.25">
      <c r="A753" s="23" t="s">
        <v>961</v>
      </c>
      <c r="B753" s="24" t="s">
        <v>316</v>
      </c>
      <c r="C753" s="24" t="s">
        <v>135</v>
      </c>
      <c r="D753" s="24" t="s">
        <v>965</v>
      </c>
      <c r="E753" s="24"/>
      <c r="F753" s="4">
        <f>F754</f>
        <v>19822.02</v>
      </c>
      <c r="G753" s="4">
        <f>G754</f>
        <v>19822.02</v>
      </c>
    </row>
    <row r="754" spans="1:7" ht="31.5">
      <c r="A754" s="25" t="s">
        <v>835</v>
      </c>
      <c r="B754" s="20" t="s">
        <v>316</v>
      </c>
      <c r="C754" s="20" t="s">
        <v>135</v>
      </c>
      <c r="D754" s="20" t="s">
        <v>966</v>
      </c>
      <c r="E754" s="20"/>
      <c r="F754" s="6">
        <f>'Пр.5 Рд,пр, ЦС,ВР 20'!F754</f>
        <v>19822.02</v>
      </c>
      <c r="G754" s="6">
        <f t="shared" si="34"/>
        <v>19822.02</v>
      </c>
    </row>
    <row r="755" spans="1:7" ht="94.5">
      <c r="A755" s="25" t="s">
        <v>144</v>
      </c>
      <c r="B755" s="20" t="s">
        <v>316</v>
      </c>
      <c r="C755" s="20" t="s">
        <v>135</v>
      </c>
      <c r="D755" s="20" t="s">
        <v>966</v>
      </c>
      <c r="E755" s="20" t="s">
        <v>145</v>
      </c>
      <c r="F755" s="6">
        <f>'Пр.5 Рд,пр, ЦС,ВР 20'!F755</f>
        <v>15928.02</v>
      </c>
      <c r="G755" s="6">
        <f t="shared" si="34"/>
        <v>15928.02</v>
      </c>
    </row>
    <row r="756" spans="1:7" ht="31.5">
      <c r="A756" s="25" t="s">
        <v>225</v>
      </c>
      <c r="B756" s="20" t="s">
        <v>316</v>
      </c>
      <c r="C756" s="20" t="s">
        <v>135</v>
      </c>
      <c r="D756" s="20" t="s">
        <v>966</v>
      </c>
      <c r="E756" s="20" t="s">
        <v>226</v>
      </c>
      <c r="F756" s="6">
        <f>'Пр.5 Рд,пр, ЦС,ВР 20'!F756</f>
        <v>15928.02</v>
      </c>
      <c r="G756" s="6">
        <f t="shared" si="34"/>
        <v>15928.02</v>
      </c>
    </row>
    <row r="757" spans="1:7" ht="31.5">
      <c r="A757" s="25" t="s">
        <v>148</v>
      </c>
      <c r="B757" s="20" t="s">
        <v>316</v>
      </c>
      <c r="C757" s="20" t="s">
        <v>135</v>
      </c>
      <c r="D757" s="20" t="s">
        <v>966</v>
      </c>
      <c r="E757" s="20" t="s">
        <v>149</v>
      </c>
      <c r="F757" s="6">
        <f>'Пр.5 Рд,пр, ЦС,ВР 20'!F757</f>
        <v>3858</v>
      </c>
      <c r="G757" s="6">
        <f t="shared" si="34"/>
        <v>3858</v>
      </c>
    </row>
    <row r="758" spans="1:7" ht="47.25">
      <c r="A758" s="25" t="s">
        <v>150</v>
      </c>
      <c r="B758" s="20" t="s">
        <v>316</v>
      </c>
      <c r="C758" s="20" t="s">
        <v>135</v>
      </c>
      <c r="D758" s="20" t="s">
        <v>966</v>
      </c>
      <c r="E758" s="20" t="s">
        <v>151</v>
      </c>
      <c r="F758" s="6">
        <f>'Пр.5 Рд,пр, ЦС,ВР 20'!F758</f>
        <v>3858</v>
      </c>
      <c r="G758" s="6">
        <f t="shared" si="34"/>
        <v>3858</v>
      </c>
    </row>
    <row r="759" spans="1:7" ht="15.75">
      <c r="A759" s="25" t="s">
        <v>152</v>
      </c>
      <c r="B759" s="20" t="s">
        <v>316</v>
      </c>
      <c r="C759" s="20" t="s">
        <v>135</v>
      </c>
      <c r="D759" s="20" t="s">
        <v>966</v>
      </c>
      <c r="E759" s="20" t="s">
        <v>162</v>
      </c>
      <c r="F759" s="6">
        <f>'Пр.5 Рд,пр, ЦС,ВР 20'!F759</f>
        <v>36</v>
      </c>
      <c r="G759" s="6">
        <f t="shared" si="34"/>
        <v>36</v>
      </c>
    </row>
    <row r="760" spans="1:7" ht="31.5">
      <c r="A760" s="25" t="s">
        <v>585</v>
      </c>
      <c r="B760" s="20" t="s">
        <v>316</v>
      </c>
      <c r="C760" s="20" t="s">
        <v>135</v>
      </c>
      <c r="D760" s="20" t="s">
        <v>966</v>
      </c>
      <c r="E760" s="20" t="s">
        <v>155</v>
      </c>
      <c r="F760" s="6">
        <f>'Пр.5 Рд,пр, ЦС,ВР 20'!F760</f>
        <v>36</v>
      </c>
      <c r="G760" s="6">
        <f t="shared" si="34"/>
        <v>36</v>
      </c>
    </row>
    <row r="761" spans="1:7" ht="47.25">
      <c r="A761" s="23" t="s">
        <v>978</v>
      </c>
      <c r="B761" s="24" t="s">
        <v>316</v>
      </c>
      <c r="C761" s="24" t="s">
        <v>135</v>
      </c>
      <c r="D761" s="24" t="s">
        <v>967</v>
      </c>
      <c r="E761" s="24"/>
      <c r="F761" s="4">
        <f>F762</f>
        <v>200</v>
      </c>
      <c r="G761" s="4">
        <f>G762</f>
        <v>200</v>
      </c>
    </row>
    <row r="762" spans="1:7" ht="31.5">
      <c r="A762" s="25" t="s">
        <v>870</v>
      </c>
      <c r="B762" s="20" t="s">
        <v>316</v>
      </c>
      <c r="C762" s="20" t="s">
        <v>135</v>
      </c>
      <c r="D762" s="20" t="s">
        <v>968</v>
      </c>
      <c r="E762" s="20"/>
      <c r="F762" s="6">
        <f>'Пр.5 Рд,пр, ЦС,ВР 20'!F762</f>
        <v>200</v>
      </c>
      <c r="G762" s="6">
        <f t="shared" si="34"/>
        <v>200</v>
      </c>
    </row>
    <row r="763" spans="1:7" ht="31.5">
      <c r="A763" s="25" t="s">
        <v>148</v>
      </c>
      <c r="B763" s="20" t="s">
        <v>316</v>
      </c>
      <c r="C763" s="20" t="s">
        <v>135</v>
      </c>
      <c r="D763" s="20" t="s">
        <v>968</v>
      </c>
      <c r="E763" s="20" t="s">
        <v>149</v>
      </c>
      <c r="F763" s="6">
        <f>'Пр.5 Рд,пр, ЦС,ВР 20'!F763</f>
        <v>200</v>
      </c>
      <c r="G763" s="6">
        <f t="shared" si="34"/>
        <v>200</v>
      </c>
    </row>
    <row r="764" spans="1:7" ht="47.25">
      <c r="A764" s="25" t="s">
        <v>150</v>
      </c>
      <c r="B764" s="20" t="s">
        <v>316</v>
      </c>
      <c r="C764" s="20" t="s">
        <v>135</v>
      </c>
      <c r="D764" s="20" t="s">
        <v>968</v>
      </c>
      <c r="E764" s="20" t="s">
        <v>151</v>
      </c>
      <c r="F764" s="6">
        <f>'Пр.5 Рд,пр, ЦС,ВР 20'!F764</f>
        <v>200</v>
      </c>
      <c r="G764" s="6">
        <f t="shared" si="34"/>
        <v>200</v>
      </c>
    </row>
    <row r="765" spans="1:7" ht="47.25">
      <c r="A765" s="23" t="s">
        <v>1084</v>
      </c>
      <c r="B765" s="24" t="s">
        <v>316</v>
      </c>
      <c r="C765" s="24" t="s">
        <v>135</v>
      </c>
      <c r="D765" s="24" t="s">
        <v>969</v>
      </c>
      <c r="E765" s="24"/>
      <c r="F765" s="4">
        <f>F766</f>
        <v>507</v>
      </c>
      <c r="G765" s="4">
        <f>G766</f>
        <v>507</v>
      </c>
    </row>
    <row r="766" spans="1:7" ht="47.25">
      <c r="A766" s="25" t="s">
        <v>889</v>
      </c>
      <c r="B766" s="20" t="s">
        <v>316</v>
      </c>
      <c r="C766" s="20" t="s">
        <v>135</v>
      </c>
      <c r="D766" s="20" t="s">
        <v>1269</v>
      </c>
      <c r="E766" s="20"/>
      <c r="F766" s="6">
        <f>'Пр.5 Рд,пр, ЦС,ВР 20'!F766</f>
        <v>507</v>
      </c>
      <c r="G766" s="6">
        <f t="shared" si="34"/>
        <v>507</v>
      </c>
    </row>
    <row r="767" spans="1:7" ht="94.5">
      <c r="A767" s="25" t="s">
        <v>144</v>
      </c>
      <c r="B767" s="20" t="s">
        <v>316</v>
      </c>
      <c r="C767" s="20" t="s">
        <v>135</v>
      </c>
      <c r="D767" s="20" t="s">
        <v>1269</v>
      </c>
      <c r="E767" s="20" t="s">
        <v>145</v>
      </c>
      <c r="F767" s="6">
        <f>'Пр.5 Рд,пр, ЦС,ВР 20'!F767</f>
        <v>507</v>
      </c>
      <c r="G767" s="6">
        <f t="shared" si="34"/>
        <v>507</v>
      </c>
    </row>
    <row r="768" spans="1:7" ht="47.25">
      <c r="A768" s="25" t="s">
        <v>146</v>
      </c>
      <c r="B768" s="20" t="s">
        <v>316</v>
      </c>
      <c r="C768" s="20" t="s">
        <v>135</v>
      </c>
      <c r="D768" s="20" t="s">
        <v>1269</v>
      </c>
      <c r="E768" s="20" t="s">
        <v>226</v>
      </c>
      <c r="F768" s="6">
        <f>'Пр.5 Рд,пр, ЦС,ВР 20'!F768</f>
        <v>507</v>
      </c>
      <c r="G768" s="6">
        <f t="shared" si="34"/>
        <v>507</v>
      </c>
    </row>
    <row r="769" spans="1:7" ht="31.5">
      <c r="A769" s="23" t="s">
        <v>1172</v>
      </c>
      <c r="B769" s="24" t="s">
        <v>316</v>
      </c>
      <c r="C769" s="24" t="s">
        <v>135</v>
      </c>
      <c r="D769" s="24" t="s">
        <v>970</v>
      </c>
      <c r="E769" s="24"/>
      <c r="F769" s="4">
        <f>F770+F773</f>
        <v>72.6</v>
      </c>
      <c r="G769" s="4">
        <f>G770+G773</f>
        <v>72.6</v>
      </c>
    </row>
    <row r="770" spans="1:7" ht="31.5">
      <c r="A770" s="25" t="s">
        <v>346</v>
      </c>
      <c r="B770" s="20" t="s">
        <v>316</v>
      </c>
      <c r="C770" s="20" t="s">
        <v>135</v>
      </c>
      <c r="D770" s="20" t="s">
        <v>1270</v>
      </c>
      <c r="E770" s="20"/>
      <c r="F770" s="6">
        <f>'Пр.5 Рд,пр, ЦС,ВР 20'!F770</f>
        <v>3.5</v>
      </c>
      <c r="G770" s="6">
        <f t="shared" si="34"/>
        <v>3.5</v>
      </c>
    </row>
    <row r="771" spans="1:7" ht="31.5">
      <c r="A771" s="25" t="s">
        <v>148</v>
      </c>
      <c r="B771" s="20" t="s">
        <v>316</v>
      </c>
      <c r="C771" s="20" t="s">
        <v>135</v>
      </c>
      <c r="D771" s="20" t="s">
        <v>1270</v>
      </c>
      <c r="E771" s="20" t="s">
        <v>149</v>
      </c>
      <c r="F771" s="6">
        <f>'Пр.5 Рд,пр, ЦС,ВР 20'!F771</f>
        <v>3.5</v>
      </c>
      <c r="G771" s="6">
        <f t="shared" si="34"/>
        <v>3.5</v>
      </c>
    </row>
    <row r="772" spans="1:7" ht="47.25">
      <c r="A772" s="25" t="s">
        <v>150</v>
      </c>
      <c r="B772" s="20" t="s">
        <v>316</v>
      </c>
      <c r="C772" s="20" t="s">
        <v>135</v>
      </c>
      <c r="D772" s="20" t="s">
        <v>1270</v>
      </c>
      <c r="E772" s="20" t="s">
        <v>151</v>
      </c>
      <c r="F772" s="6">
        <f>'Пр.5 Рд,пр, ЦС,ВР 20'!F772</f>
        <v>3.5</v>
      </c>
      <c r="G772" s="6">
        <f t="shared" si="34"/>
        <v>3.5</v>
      </c>
    </row>
    <row r="773" spans="1:7" ht="31.5">
      <c r="A773" s="25" t="s">
        <v>346</v>
      </c>
      <c r="B773" s="20" t="s">
        <v>316</v>
      </c>
      <c r="C773" s="20" t="s">
        <v>135</v>
      </c>
      <c r="D773" s="20" t="s">
        <v>1271</v>
      </c>
      <c r="E773" s="20"/>
      <c r="F773" s="6">
        <f>'Пр.5 Рд,пр, ЦС,ВР 20'!F773</f>
        <v>69.1</v>
      </c>
      <c r="G773" s="6">
        <f t="shared" si="34"/>
        <v>69.1</v>
      </c>
    </row>
    <row r="774" spans="1:7" ht="31.5">
      <c r="A774" s="25" t="s">
        <v>148</v>
      </c>
      <c r="B774" s="20" t="s">
        <v>316</v>
      </c>
      <c r="C774" s="20" t="s">
        <v>135</v>
      </c>
      <c r="D774" s="20" t="s">
        <v>1271</v>
      </c>
      <c r="E774" s="20" t="s">
        <v>149</v>
      </c>
      <c r="F774" s="6">
        <f>'Пр.5 Рд,пр, ЦС,ВР 20'!F774</f>
        <v>69.1</v>
      </c>
      <c r="G774" s="6">
        <f t="shared" si="34"/>
        <v>69.1</v>
      </c>
    </row>
    <row r="775" spans="1:7" ht="47.25">
      <c r="A775" s="25" t="s">
        <v>150</v>
      </c>
      <c r="B775" s="20" t="s">
        <v>316</v>
      </c>
      <c r="C775" s="20" t="s">
        <v>135</v>
      </c>
      <c r="D775" s="20" t="s">
        <v>1271</v>
      </c>
      <c r="E775" s="39">
        <v>240</v>
      </c>
      <c r="F775" s="6">
        <f>'Пр.5 Рд,пр, ЦС,ВР 20'!F775</f>
        <v>69.1</v>
      </c>
      <c r="G775" s="6">
        <f t="shared" si="34"/>
        <v>69.1</v>
      </c>
    </row>
    <row r="776" spans="1:7" ht="63">
      <c r="A776" s="318" t="s">
        <v>976</v>
      </c>
      <c r="B776" s="24" t="s">
        <v>316</v>
      </c>
      <c r="C776" s="24" t="s">
        <v>135</v>
      </c>
      <c r="D776" s="24" t="s">
        <v>1272</v>
      </c>
      <c r="E776" s="24"/>
      <c r="F776" s="61">
        <f>F777+F780</f>
        <v>1273.7</v>
      </c>
      <c r="G776" s="61">
        <f>G777+G780</f>
        <v>1273.7</v>
      </c>
    </row>
    <row r="777" spans="1:7" ht="94.5">
      <c r="A777" s="25" t="s">
        <v>348</v>
      </c>
      <c r="B777" s="20" t="s">
        <v>316</v>
      </c>
      <c r="C777" s="20" t="s">
        <v>135</v>
      </c>
      <c r="D777" s="20" t="s">
        <v>1273</v>
      </c>
      <c r="E777" s="20"/>
      <c r="F777" s="6">
        <f>'Пр.5 Рд,пр, ЦС,ВР 20'!F777</f>
        <v>273.7</v>
      </c>
      <c r="G777" s="6">
        <f t="shared" si="34"/>
        <v>273.7</v>
      </c>
    </row>
    <row r="778" spans="1:7" ht="94.5">
      <c r="A778" s="25" t="s">
        <v>144</v>
      </c>
      <c r="B778" s="20" t="s">
        <v>316</v>
      </c>
      <c r="C778" s="20" t="s">
        <v>135</v>
      </c>
      <c r="D778" s="20" t="s">
        <v>1273</v>
      </c>
      <c r="E778" s="20" t="s">
        <v>145</v>
      </c>
      <c r="F778" s="6">
        <f>'Пр.5 Рд,пр, ЦС,ВР 20'!F778</f>
        <v>273.7</v>
      </c>
      <c r="G778" s="6">
        <f t="shared" si="34"/>
        <v>273.7</v>
      </c>
    </row>
    <row r="779" spans="1:7" ht="31.5">
      <c r="A779" s="25" t="s">
        <v>225</v>
      </c>
      <c r="B779" s="20" t="s">
        <v>316</v>
      </c>
      <c r="C779" s="20" t="s">
        <v>135</v>
      </c>
      <c r="D779" s="20" t="s">
        <v>1273</v>
      </c>
      <c r="E779" s="20" t="s">
        <v>226</v>
      </c>
      <c r="F779" s="6">
        <f>'Пр.5 Рд,пр, ЦС,ВР 20'!F779</f>
        <v>273.7</v>
      </c>
      <c r="G779" s="6">
        <f t="shared" si="34"/>
        <v>273.7</v>
      </c>
    </row>
    <row r="780" spans="1:7" ht="126">
      <c r="A780" s="32" t="s">
        <v>310</v>
      </c>
      <c r="B780" s="20" t="s">
        <v>316</v>
      </c>
      <c r="C780" s="20" t="s">
        <v>135</v>
      </c>
      <c r="D780" s="20" t="s">
        <v>1274</v>
      </c>
      <c r="E780" s="20"/>
      <c r="F780" s="6">
        <f>'Пр.5 Рд,пр, ЦС,ВР 20'!F780</f>
        <v>1000</v>
      </c>
      <c r="G780" s="6">
        <f t="shared" si="34"/>
        <v>1000</v>
      </c>
    </row>
    <row r="781" spans="1:7" ht="94.5">
      <c r="A781" s="25" t="s">
        <v>144</v>
      </c>
      <c r="B781" s="20" t="s">
        <v>316</v>
      </c>
      <c r="C781" s="20" t="s">
        <v>135</v>
      </c>
      <c r="D781" s="20" t="s">
        <v>1274</v>
      </c>
      <c r="E781" s="20" t="s">
        <v>145</v>
      </c>
      <c r="F781" s="6">
        <f>'Пр.5 Рд,пр, ЦС,ВР 20'!F781</f>
        <v>1000</v>
      </c>
      <c r="G781" s="6">
        <f t="shared" si="34"/>
        <v>1000</v>
      </c>
    </row>
    <row r="782" spans="1:7" ht="31.5">
      <c r="A782" s="25" t="s">
        <v>225</v>
      </c>
      <c r="B782" s="20" t="s">
        <v>316</v>
      </c>
      <c r="C782" s="20" t="s">
        <v>135</v>
      </c>
      <c r="D782" s="20" t="s">
        <v>1274</v>
      </c>
      <c r="E782" s="20" t="s">
        <v>226</v>
      </c>
      <c r="F782" s="6">
        <f>'Пр.5 Рд,пр, ЦС,ВР 20'!F782</f>
        <v>1000</v>
      </c>
      <c r="G782" s="6">
        <f t="shared" si="34"/>
        <v>1000</v>
      </c>
    </row>
    <row r="783" spans="1:7" ht="78.75" hidden="1">
      <c r="A783" s="35" t="s">
        <v>807</v>
      </c>
      <c r="B783" s="24" t="s">
        <v>316</v>
      </c>
      <c r="C783" s="24" t="s">
        <v>135</v>
      </c>
      <c r="D783" s="24" t="s">
        <v>341</v>
      </c>
      <c r="E783" s="24"/>
      <c r="F783" s="61">
        <f aca="true" t="shared" si="35" ref="F783:G786">F784</f>
        <v>0</v>
      </c>
      <c r="G783" s="61">
        <f t="shared" si="35"/>
        <v>0</v>
      </c>
    </row>
    <row r="784" spans="1:7" ht="63" hidden="1">
      <c r="A784" s="35" t="s">
        <v>1202</v>
      </c>
      <c r="B784" s="24" t="s">
        <v>316</v>
      </c>
      <c r="C784" s="24" t="s">
        <v>135</v>
      </c>
      <c r="D784" s="24" t="s">
        <v>1033</v>
      </c>
      <c r="E784" s="24"/>
      <c r="F784" s="4">
        <f t="shared" si="35"/>
        <v>0</v>
      </c>
      <c r="G784" s="4">
        <f t="shared" si="35"/>
        <v>0</v>
      </c>
    </row>
    <row r="785" spans="1:7" ht="63" hidden="1">
      <c r="A785" s="32" t="s">
        <v>1289</v>
      </c>
      <c r="B785" s="20" t="s">
        <v>316</v>
      </c>
      <c r="C785" s="20" t="s">
        <v>135</v>
      </c>
      <c r="D785" s="20" t="s">
        <v>1204</v>
      </c>
      <c r="E785" s="20"/>
      <c r="F785" s="6">
        <f t="shared" si="35"/>
        <v>0</v>
      </c>
      <c r="G785" s="6">
        <f t="shared" si="35"/>
        <v>0</v>
      </c>
    </row>
    <row r="786" spans="1:7" ht="31.5" hidden="1">
      <c r="A786" s="25" t="s">
        <v>148</v>
      </c>
      <c r="B786" s="20" t="s">
        <v>316</v>
      </c>
      <c r="C786" s="20" t="s">
        <v>135</v>
      </c>
      <c r="D786" s="20" t="s">
        <v>1204</v>
      </c>
      <c r="E786" s="20" t="s">
        <v>149</v>
      </c>
      <c r="F786" s="6">
        <f t="shared" si="35"/>
        <v>0</v>
      </c>
      <c r="G786" s="6">
        <f t="shared" si="35"/>
        <v>0</v>
      </c>
    </row>
    <row r="787" spans="1:7" ht="47.25" hidden="1">
      <c r="A787" s="25" t="s">
        <v>150</v>
      </c>
      <c r="B787" s="20" t="s">
        <v>316</v>
      </c>
      <c r="C787" s="20" t="s">
        <v>135</v>
      </c>
      <c r="D787" s="20" t="s">
        <v>1204</v>
      </c>
      <c r="E787" s="20" t="s">
        <v>151</v>
      </c>
      <c r="F787" s="6">
        <f>'пр.6.1.ведом.21-22'!G383</f>
        <v>0</v>
      </c>
      <c r="G787" s="6">
        <f>'пр.6.1.ведом.21-22'!H383</f>
        <v>0</v>
      </c>
    </row>
    <row r="788" spans="1:7" ht="78.75">
      <c r="A788" s="42" t="s">
        <v>1188</v>
      </c>
      <c r="B788" s="24" t="s">
        <v>316</v>
      </c>
      <c r="C788" s="24" t="s">
        <v>135</v>
      </c>
      <c r="D788" s="24" t="s">
        <v>730</v>
      </c>
      <c r="E788" s="324"/>
      <c r="F788" s="4">
        <f aca="true" t="shared" si="36" ref="F788:G788">F789</f>
        <v>793.2</v>
      </c>
      <c r="G788" s="4">
        <f t="shared" si="36"/>
        <v>793.2</v>
      </c>
    </row>
    <row r="789" spans="1:7" ht="63">
      <c r="A789" s="42" t="s">
        <v>954</v>
      </c>
      <c r="B789" s="24" t="s">
        <v>316</v>
      </c>
      <c r="C789" s="24" t="s">
        <v>135</v>
      </c>
      <c r="D789" s="24" t="s">
        <v>952</v>
      </c>
      <c r="E789" s="324"/>
      <c r="F789" s="4">
        <f>F790</f>
        <v>793.2</v>
      </c>
      <c r="G789" s="4">
        <f>G790</f>
        <v>793.2</v>
      </c>
    </row>
    <row r="790" spans="1:7" ht="47.25">
      <c r="A790" s="107" t="s">
        <v>1198</v>
      </c>
      <c r="B790" s="20" t="s">
        <v>316</v>
      </c>
      <c r="C790" s="20" t="s">
        <v>135</v>
      </c>
      <c r="D790" s="20" t="s">
        <v>953</v>
      </c>
      <c r="E790" s="33"/>
      <c r="F790" s="6">
        <f>'Пр.5 Рд,пр, ЦС,ВР 20'!F790</f>
        <v>793.2</v>
      </c>
      <c r="G790" s="6">
        <f aca="true" t="shared" si="37" ref="G790:G845">F790</f>
        <v>793.2</v>
      </c>
    </row>
    <row r="791" spans="1:7" ht="31.5">
      <c r="A791" s="25" t="s">
        <v>148</v>
      </c>
      <c r="B791" s="20" t="s">
        <v>316</v>
      </c>
      <c r="C791" s="20" t="s">
        <v>135</v>
      </c>
      <c r="D791" s="20" t="s">
        <v>953</v>
      </c>
      <c r="E791" s="33" t="s">
        <v>149</v>
      </c>
      <c r="F791" s="6">
        <f>'Пр.5 Рд,пр, ЦС,ВР 20'!F791</f>
        <v>793.2</v>
      </c>
      <c r="G791" s="6">
        <f t="shared" si="37"/>
        <v>793.2</v>
      </c>
    </row>
    <row r="792" spans="1:7" ht="47.25">
      <c r="A792" s="25" t="s">
        <v>150</v>
      </c>
      <c r="B792" s="20" t="s">
        <v>316</v>
      </c>
      <c r="C792" s="20" t="s">
        <v>135</v>
      </c>
      <c r="D792" s="20" t="s">
        <v>953</v>
      </c>
      <c r="E792" s="33" t="s">
        <v>151</v>
      </c>
      <c r="F792" s="6">
        <f>'Пр.5 Рд,пр, ЦС,ВР 20'!F792</f>
        <v>793.2</v>
      </c>
      <c r="G792" s="6">
        <f t="shared" si="37"/>
        <v>793.2</v>
      </c>
    </row>
    <row r="793" spans="1:7" ht="31.5">
      <c r="A793" s="23" t="s">
        <v>350</v>
      </c>
      <c r="B793" s="24" t="s">
        <v>316</v>
      </c>
      <c r="C793" s="24" t="s">
        <v>167</v>
      </c>
      <c r="D793" s="24"/>
      <c r="E793" s="33"/>
      <c r="F793" s="4">
        <f>F794+F804+F816</f>
        <v>19790.134</v>
      </c>
      <c r="G793" s="4">
        <f>G794+G804+G816</f>
        <v>19790.134</v>
      </c>
    </row>
    <row r="794" spans="1:7" ht="31.5">
      <c r="A794" s="23" t="s">
        <v>995</v>
      </c>
      <c r="B794" s="24" t="s">
        <v>316</v>
      </c>
      <c r="C794" s="24" t="s">
        <v>167</v>
      </c>
      <c r="D794" s="24" t="s">
        <v>909</v>
      </c>
      <c r="E794" s="33"/>
      <c r="F794" s="4">
        <f>F795</f>
        <v>7489.590999999999</v>
      </c>
      <c r="G794" s="4">
        <f>G795</f>
        <v>7489.590999999999</v>
      </c>
    </row>
    <row r="795" spans="1:7" ht="15.75">
      <c r="A795" s="23" t="s">
        <v>996</v>
      </c>
      <c r="B795" s="24" t="s">
        <v>316</v>
      </c>
      <c r="C795" s="24" t="s">
        <v>167</v>
      </c>
      <c r="D795" s="24" t="s">
        <v>910</v>
      </c>
      <c r="E795" s="33"/>
      <c r="F795" s="4">
        <f>F796+F801</f>
        <v>7489.590999999999</v>
      </c>
      <c r="G795" s="4">
        <f>G796+G801</f>
        <v>7489.590999999999</v>
      </c>
    </row>
    <row r="796" spans="1:7" ht="31.5">
      <c r="A796" s="25" t="s">
        <v>972</v>
      </c>
      <c r="B796" s="20" t="s">
        <v>316</v>
      </c>
      <c r="C796" s="20" t="s">
        <v>167</v>
      </c>
      <c r="D796" s="20" t="s">
        <v>911</v>
      </c>
      <c r="E796" s="33"/>
      <c r="F796" s="6">
        <f>'Пр.5 Рд,пр, ЦС,ВР 20'!F796</f>
        <v>7339.590999999999</v>
      </c>
      <c r="G796" s="6">
        <f t="shared" si="37"/>
        <v>7339.590999999999</v>
      </c>
    </row>
    <row r="797" spans="1:7" ht="94.5">
      <c r="A797" s="25" t="s">
        <v>144</v>
      </c>
      <c r="B797" s="20" t="s">
        <v>316</v>
      </c>
      <c r="C797" s="20" t="s">
        <v>167</v>
      </c>
      <c r="D797" s="20" t="s">
        <v>911</v>
      </c>
      <c r="E797" s="33" t="s">
        <v>145</v>
      </c>
      <c r="F797" s="6">
        <f>'Пр.5 Рд,пр, ЦС,ВР 20'!F797</f>
        <v>7339.590999999999</v>
      </c>
      <c r="G797" s="6">
        <f t="shared" si="37"/>
        <v>7339.590999999999</v>
      </c>
    </row>
    <row r="798" spans="1:7" ht="47.25">
      <c r="A798" s="25" t="s">
        <v>146</v>
      </c>
      <c r="B798" s="20" t="s">
        <v>316</v>
      </c>
      <c r="C798" s="20" t="s">
        <v>167</v>
      </c>
      <c r="D798" s="20" t="s">
        <v>911</v>
      </c>
      <c r="E798" s="41" t="s">
        <v>147</v>
      </c>
      <c r="F798" s="6">
        <f>'Пр.5 Рд,пр, ЦС,ВР 20'!F798</f>
        <v>7339.590999999999</v>
      </c>
      <c r="G798" s="6">
        <f t="shared" si="37"/>
        <v>7339.590999999999</v>
      </c>
    </row>
    <row r="799" spans="1:7" ht="31.5" hidden="1">
      <c r="A799" s="25" t="s">
        <v>148</v>
      </c>
      <c r="B799" s="20" t="s">
        <v>316</v>
      </c>
      <c r="C799" s="20" t="s">
        <v>167</v>
      </c>
      <c r="D799" s="20" t="s">
        <v>911</v>
      </c>
      <c r="E799" s="41" t="s">
        <v>149</v>
      </c>
      <c r="F799" s="6">
        <f>'Пр.5 Рд,пр, ЦС,ВР 20'!F799</f>
        <v>0</v>
      </c>
      <c r="G799" s="6">
        <f t="shared" si="37"/>
        <v>0</v>
      </c>
    </row>
    <row r="800" spans="1:7" ht="47.25" hidden="1">
      <c r="A800" s="25" t="s">
        <v>150</v>
      </c>
      <c r="B800" s="20" t="s">
        <v>316</v>
      </c>
      <c r="C800" s="20" t="s">
        <v>167</v>
      </c>
      <c r="D800" s="20" t="s">
        <v>911</v>
      </c>
      <c r="E800" s="41" t="s">
        <v>151</v>
      </c>
      <c r="F800" s="6">
        <f>'Пр.5 Рд,пр, ЦС,ВР 20'!F800</f>
        <v>0</v>
      </c>
      <c r="G800" s="6">
        <f t="shared" si="37"/>
        <v>0</v>
      </c>
    </row>
    <row r="801" spans="1:7" ht="47.25">
      <c r="A801" s="25" t="s">
        <v>889</v>
      </c>
      <c r="B801" s="20" t="s">
        <v>316</v>
      </c>
      <c r="C801" s="20" t="s">
        <v>167</v>
      </c>
      <c r="D801" s="20" t="s">
        <v>913</v>
      </c>
      <c r="E801" s="41"/>
      <c r="F801" s="6">
        <f>'Пр.5 Рд,пр, ЦС,ВР 20'!F801</f>
        <v>150</v>
      </c>
      <c r="G801" s="6">
        <f t="shared" si="37"/>
        <v>150</v>
      </c>
    </row>
    <row r="802" spans="1:7" ht="94.5">
      <c r="A802" s="25" t="s">
        <v>144</v>
      </c>
      <c r="B802" s="20" t="s">
        <v>316</v>
      </c>
      <c r="C802" s="20" t="s">
        <v>167</v>
      </c>
      <c r="D802" s="20" t="s">
        <v>913</v>
      </c>
      <c r="E802" s="41" t="s">
        <v>145</v>
      </c>
      <c r="F802" s="6">
        <f>'Пр.5 Рд,пр, ЦС,ВР 20'!F802</f>
        <v>150</v>
      </c>
      <c r="G802" s="6">
        <f t="shared" si="37"/>
        <v>150</v>
      </c>
    </row>
    <row r="803" spans="1:7" ht="47.25">
      <c r="A803" s="25" t="s">
        <v>146</v>
      </c>
      <c r="B803" s="20" t="s">
        <v>316</v>
      </c>
      <c r="C803" s="20" t="s">
        <v>167</v>
      </c>
      <c r="D803" s="20" t="s">
        <v>913</v>
      </c>
      <c r="E803" s="41" t="s">
        <v>147</v>
      </c>
      <c r="F803" s="6">
        <f>'Пр.5 Рд,пр, ЦС,ВР 20'!F803</f>
        <v>150</v>
      </c>
      <c r="G803" s="6">
        <f t="shared" si="37"/>
        <v>150</v>
      </c>
    </row>
    <row r="804" spans="1:7" ht="15.75">
      <c r="A804" s="23" t="s">
        <v>1006</v>
      </c>
      <c r="B804" s="24" t="s">
        <v>316</v>
      </c>
      <c r="C804" s="24" t="s">
        <v>167</v>
      </c>
      <c r="D804" s="24" t="s">
        <v>917</v>
      </c>
      <c r="E804" s="41"/>
      <c r="F804" s="4">
        <f aca="true" t="shared" si="38" ref="F804:G804">F805</f>
        <v>12040.543</v>
      </c>
      <c r="G804" s="4">
        <f t="shared" si="38"/>
        <v>12040.543</v>
      </c>
    </row>
    <row r="805" spans="1:7" ht="47.25">
      <c r="A805" s="23" t="s">
        <v>1009</v>
      </c>
      <c r="B805" s="24" t="s">
        <v>316</v>
      </c>
      <c r="C805" s="24" t="s">
        <v>167</v>
      </c>
      <c r="D805" s="24" t="s">
        <v>992</v>
      </c>
      <c r="E805" s="41"/>
      <c r="F805" s="4">
        <f>F806+F813</f>
        <v>12040.543</v>
      </c>
      <c r="G805" s="4">
        <f>G806+G813</f>
        <v>12040.543</v>
      </c>
    </row>
    <row r="806" spans="1:7" ht="31.5">
      <c r="A806" s="25" t="s">
        <v>979</v>
      </c>
      <c r="B806" s="20" t="s">
        <v>316</v>
      </c>
      <c r="C806" s="20" t="s">
        <v>167</v>
      </c>
      <c r="D806" s="20" t="s">
        <v>993</v>
      </c>
      <c r="E806" s="41"/>
      <c r="F806" s="6">
        <f>'Пр.5 Рд,пр, ЦС,ВР 20'!F806</f>
        <v>11860.543</v>
      </c>
      <c r="G806" s="6">
        <f t="shared" si="37"/>
        <v>11860.543</v>
      </c>
    </row>
    <row r="807" spans="1:7" ht="94.5">
      <c r="A807" s="25" t="s">
        <v>144</v>
      </c>
      <c r="B807" s="20" t="s">
        <v>316</v>
      </c>
      <c r="C807" s="20" t="s">
        <v>167</v>
      </c>
      <c r="D807" s="20" t="s">
        <v>993</v>
      </c>
      <c r="E807" s="41" t="s">
        <v>145</v>
      </c>
      <c r="F807" s="6">
        <f>'Пр.5 Рд,пр, ЦС,ВР 20'!F807</f>
        <v>9909.543</v>
      </c>
      <c r="G807" s="6">
        <f t="shared" si="37"/>
        <v>9909.543</v>
      </c>
    </row>
    <row r="808" spans="1:7" ht="31.5">
      <c r="A808" s="25" t="s">
        <v>359</v>
      </c>
      <c r="B808" s="20" t="s">
        <v>316</v>
      </c>
      <c r="C808" s="20" t="s">
        <v>167</v>
      </c>
      <c r="D808" s="20" t="s">
        <v>993</v>
      </c>
      <c r="E808" s="41" t="s">
        <v>226</v>
      </c>
      <c r="F808" s="6">
        <f>'Пр.5 Рд,пр, ЦС,ВР 20'!F808</f>
        <v>9909.543</v>
      </c>
      <c r="G808" s="6">
        <f t="shared" si="37"/>
        <v>9909.543</v>
      </c>
    </row>
    <row r="809" spans="1:7" ht="31.5">
      <c r="A809" s="25" t="s">
        <v>148</v>
      </c>
      <c r="B809" s="20" t="s">
        <v>316</v>
      </c>
      <c r="C809" s="20" t="s">
        <v>167</v>
      </c>
      <c r="D809" s="20" t="s">
        <v>993</v>
      </c>
      <c r="E809" s="41" t="s">
        <v>149</v>
      </c>
      <c r="F809" s="6">
        <f>'Пр.5 Рд,пр, ЦС,ВР 20'!F809</f>
        <v>1937</v>
      </c>
      <c r="G809" s="6">
        <f t="shared" si="37"/>
        <v>1937</v>
      </c>
    </row>
    <row r="810" spans="1:7" ht="47.25">
      <c r="A810" s="25" t="s">
        <v>150</v>
      </c>
      <c r="B810" s="20" t="s">
        <v>316</v>
      </c>
      <c r="C810" s="20" t="s">
        <v>167</v>
      </c>
      <c r="D810" s="20" t="s">
        <v>993</v>
      </c>
      <c r="E810" s="41" t="s">
        <v>151</v>
      </c>
      <c r="F810" s="6">
        <f>'Пр.5 Рд,пр, ЦС,ВР 20'!F810</f>
        <v>1937</v>
      </c>
      <c r="G810" s="6">
        <f t="shared" si="37"/>
        <v>1937</v>
      </c>
    </row>
    <row r="811" spans="1:7" ht="15.75">
      <c r="A811" s="25" t="s">
        <v>152</v>
      </c>
      <c r="B811" s="20" t="s">
        <v>316</v>
      </c>
      <c r="C811" s="20" t="s">
        <v>167</v>
      </c>
      <c r="D811" s="20" t="s">
        <v>993</v>
      </c>
      <c r="E811" s="41" t="s">
        <v>162</v>
      </c>
      <c r="F811" s="6">
        <f>'Пр.5 Рд,пр, ЦС,ВР 20'!F811</f>
        <v>14</v>
      </c>
      <c r="G811" s="6">
        <f t="shared" si="37"/>
        <v>14</v>
      </c>
    </row>
    <row r="812" spans="1:7" ht="31.5">
      <c r="A812" s="25" t="s">
        <v>585</v>
      </c>
      <c r="B812" s="20" t="s">
        <v>316</v>
      </c>
      <c r="C812" s="20" t="s">
        <v>167</v>
      </c>
      <c r="D812" s="20" t="s">
        <v>993</v>
      </c>
      <c r="E812" s="41" t="s">
        <v>155</v>
      </c>
      <c r="F812" s="6">
        <f>'Пр.5 Рд,пр, ЦС,ВР 20'!F812</f>
        <v>14</v>
      </c>
      <c r="G812" s="6">
        <f t="shared" si="37"/>
        <v>14</v>
      </c>
    </row>
    <row r="813" spans="1:7" ht="47.25">
      <c r="A813" s="25" t="s">
        <v>889</v>
      </c>
      <c r="B813" s="20" t="s">
        <v>316</v>
      </c>
      <c r="C813" s="20" t="s">
        <v>167</v>
      </c>
      <c r="D813" s="20" t="s">
        <v>994</v>
      </c>
      <c r="E813" s="41"/>
      <c r="F813" s="6">
        <f>'Пр.5 Рд,пр, ЦС,ВР 20'!F813</f>
        <v>180</v>
      </c>
      <c r="G813" s="6">
        <f t="shared" si="37"/>
        <v>180</v>
      </c>
    </row>
    <row r="814" spans="1:7" ht="94.5">
      <c r="A814" s="25" t="s">
        <v>144</v>
      </c>
      <c r="B814" s="20" t="s">
        <v>316</v>
      </c>
      <c r="C814" s="20" t="s">
        <v>167</v>
      </c>
      <c r="D814" s="20" t="s">
        <v>994</v>
      </c>
      <c r="E814" s="41" t="s">
        <v>145</v>
      </c>
      <c r="F814" s="6">
        <f>'Пр.5 Рд,пр, ЦС,ВР 20'!F814</f>
        <v>180</v>
      </c>
      <c r="G814" s="6">
        <f t="shared" si="37"/>
        <v>180</v>
      </c>
    </row>
    <row r="815" spans="1:7" ht="47.25">
      <c r="A815" s="25" t="s">
        <v>146</v>
      </c>
      <c r="B815" s="20" t="s">
        <v>316</v>
      </c>
      <c r="C815" s="20" t="s">
        <v>167</v>
      </c>
      <c r="D815" s="20" t="s">
        <v>994</v>
      </c>
      <c r="E815" s="41" t="s">
        <v>226</v>
      </c>
      <c r="F815" s="6">
        <f>'Пр.5 Рд,пр, ЦС,ВР 20'!F815</f>
        <v>180</v>
      </c>
      <c r="G815" s="6">
        <f t="shared" si="37"/>
        <v>180</v>
      </c>
    </row>
    <row r="816" spans="1:7" ht="51" customHeight="1">
      <c r="A816" s="23" t="s">
        <v>360</v>
      </c>
      <c r="B816" s="24" t="s">
        <v>316</v>
      </c>
      <c r="C816" s="24" t="s">
        <v>167</v>
      </c>
      <c r="D816" s="24" t="s">
        <v>361</v>
      </c>
      <c r="E816" s="41"/>
      <c r="F816" s="4">
        <f aca="true" t="shared" si="39" ref="F816:G818">F817</f>
        <v>260</v>
      </c>
      <c r="G816" s="4">
        <f t="shared" si="39"/>
        <v>260</v>
      </c>
    </row>
    <row r="817" spans="1:7" ht="78.75">
      <c r="A817" s="23" t="s">
        <v>381</v>
      </c>
      <c r="B817" s="24" t="s">
        <v>316</v>
      </c>
      <c r="C817" s="24" t="s">
        <v>167</v>
      </c>
      <c r="D817" s="24" t="s">
        <v>382</v>
      </c>
      <c r="E817" s="41"/>
      <c r="F817" s="4">
        <f t="shared" si="39"/>
        <v>260</v>
      </c>
      <c r="G817" s="4">
        <f t="shared" si="39"/>
        <v>260</v>
      </c>
    </row>
    <row r="818" spans="1:7" ht="31.5">
      <c r="A818" s="23" t="s">
        <v>1155</v>
      </c>
      <c r="B818" s="24" t="s">
        <v>316</v>
      </c>
      <c r="C818" s="24" t="s">
        <v>167</v>
      </c>
      <c r="D818" s="24" t="s">
        <v>971</v>
      </c>
      <c r="E818" s="41"/>
      <c r="F818" s="4">
        <f t="shared" si="39"/>
        <v>260</v>
      </c>
      <c r="G818" s="4">
        <f t="shared" si="39"/>
        <v>260</v>
      </c>
    </row>
    <row r="819" spans="1:7" ht="31.5">
      <c r="A819" s="25" t="s">
        <v>1154</v>
      </c>
      <c r="B819" s="20" t="s">
        <v>316</v>
      </c>
      <c r="C819" s="20" t="s">
        <v>167</v>
      </c>
      <c r="D819" s="20" t="s">
        <v>1240</v>
      </c>
      <c r="E819" s="41"/>
      <c r="F819" s="6">
        <f>'Пр.5 Рд,пр, ЦС,ВР 20'!F819</f>
        <v>260</v>
      </c>
      <c r="G819" s="6">
        <f t="shared" si="37"/>
        <v>260</v>
      </c>
    </row>
    <row r="820" spans="1:7" ht="31.5">
      <c r="A820" s="25" t="s">
        <v>148</v>
      </c>
      <c r="B820" s="20" t="s">
        <v>316</v>
      </c>
      <c r="C820" s="20" t="s">
        <v>167</v>
      </c>
      <c r="D820" s="20" t="s">
        <v>1240</v>
      </c>
      <c r="E820" s="41"/>
      <c r="F820" s="6">
        <f>'Пр.5 Рд,пр, ЦС,ВР 20'!F820</f>
        <v>260</v>
      </c>
      <c r="G820" s="6">
        <f t="shared" si="37"/>
        <v>260</v>
      </c>
    </row>
    <row r="821" spans="1:7" ht="47.25">
      <c r="A821" s="25" t="s">
        <v>150</v>
      </c>
      <c r="B821" s="20" t="s">
        <v>316</v>
      </c>
      <c r="C821" s="20" t="s">
        <v>167</v>
      </c>
      <c r="D821" s="20" t="s">
        <v>1240</v>
      </c>
      <c r="E821" s="41"/>
      <c r="F821" s="6">
        <f>'Пр.5 Рд,пр, ЦС,ВР 20'!F821</f>
        <v>260</v>
      </c>
      <c r="G821" s="6">
        <f t="shared" si="37"/>
        <v>260</v>
      </c>
    </row>
    <row r="822" spans="1:7" ht="15.75">
      <c r="A822" s="23" t="s">
        <v>260</v>
      </c>
      <c r="B822" s="24" t="s">
        <v>261</v>
      </c>
      <c r="C822" s="24"/>
      <c r="D822" s="24"/>
      <c r="E822" s="24"/>
      <c r="F822" s="4">
        <f>F823+F829+F862</f>
        <v>15036.9</v>
      </c>
      <c r="G822" s="4">
        <f>G823+G829+G862</f>
        <v>15036.9</v>
      </c>
    </row>
    <row r="823" spans="1:7" ht="15.75">
      <c r="A823" s="23" t="s">
        <v>262</v>
      </c>
      <c r="B823" s="24" t="s">
        <v>261</v>
      </c>
      <c r="C823" s="24" t="s">
        <v>135</v>
      </c>
      <c r="D823" s="24"/>
      <c r="E823" s="24"/>
      <c r="F823" s="4">
        <f aca="true" t="shared" si="40" ref="F823:G825">F824</f>
        <v>9456</v>
      </c>
      <c r="G823" s="4">
        <f t="shared" si="40"/>
        <v>9456</v>
      </c>
    </row>
    <row r="824" spans="1:7" ht="15.75">
      <c r="A824" s="23" t="s">
        <v>158</v>
      </c>
      <c r="B824" s="24" t="s">
        <v>261</v>
      </c>
      <c r="C824" s="24" t="s">
        <v>135</v>
      </c>
      <c r="D824" s="24" t="s">
        <v>917</v>
      </c>
      <c r="E824" s="24"/>
      <c r="F824" s="4">
        <f t="shared" si="40"/>
        <v>9456</v>
      </c>
      <c r="G824" s="4">
        <f t="shared" si="40"/>
        <v>9456</v>
      </c>
    </row>
    <row r="825" spans="1:7" ht="31.5">
      <c r="A825" s="23" t="s">
        <v>921</v>
      </c>
      <c r="B825" s="24" t="s">
        <v>261</v>
      </c>
      <c r="C825" s="24" t="s">
        <v>135</v>
      </c>
      <c r="D825" s="24" t="s">
        <v>916</v>
      </c>
      <c r="E825" s="24"/>
      <c r="F825" s="4">
        <f t="shared" si="40"/>
        <v>9456</v>
      </c>
      <c r="G825" s="4">
        <f t="shared" si="40"/>
        <v>9456</v>
      </c>
    </row>
    <row r="826" spans="1:7" ht="31.5">
      <c r="A826" s="25" t="s">
        <v>263</v>
      </c>
      <c r="B826" s="20" t="s">
        <v>261</v>
      </c>
      <c r="C826" s="20" t="s">
        <v>135</v>
      </c>
      <c r="D826" s="20" t="s">
        <v>933</v>
      </c>
      <c r="E826" s="20"/>
      <c r="F826" s="6">
        <f>'Пр.5 Рд,пр, ЦС,ВР 20'!F826</f>
        <v>9456</v>
      </c>
      <c r="G826" s="6">
        <f t="shared" si="37"/>
        <v>9456</v>
      </c>
    </row>
    <row r="827" spans="1:7" ht="31.5">
      <c r="A827" s="25" t="s">
        <v>265</v>
      </c>
      <c r="B827" s="20" t="s">
        <v>261</v>
      </c>
      <c r="C827" s="20" t="s">
        <v>135</v>
      </c>
      <c r="D827" s="20" t="s">
        <v>933</v>
      </c>
      <c r="E827" s="20" t="s">
        <v>266</v>
      </c>
      <c r="F827" s="6">
        <f>'Пр.5 Рд,пр, ЦС,ВР 20'!F827</f>
        <v>9456</v>
      </c>
      <c r="G827" s="6">
        <f t="shared" si="37"/>
        <v>9456</v>
      </c>
    </row>
    <row r="828" spans="1:7" ht="47.25">
      <c r="A828" s="25" t="s">
        <v>267</v>
      </c>
      <c r="B828" s="20" t="s">
        <v>261</v>
      </c>
      <c r="C828" s="20" t="s">
        <v>135</v>
      </c>
      <c r="D828" s="20" t="s">
        <v>933</v>
      </c>
      <c r="E828" s="20" t="s">
        <v>268</v>
      </c>
      <c r="F828" s="6">
        <f>'Пр.5 Рд,пр, ЦС,ВР 20'!F828</f>
        <v>9456</v>
      </c>
      <c r="G828" s="6">
        <f t="shared" si="37"/>
        <v>9456</v>
      </c>
    </row>
    <row r="829" spans="1:7" ht="15.75">
      <c r="A829" s="23" t="s">
        <v>269</v>
      </c>
      <c r="B829" s="24" t="s">
        <v>261</v>
      </c>
      <c r="C829" s="24" t="s">
        <v>232</v>
      </c>
      <c r="D829" s="24"/>
      <c r="E829" s="24"/>
      <c r="F829" s="4">
        <f>F830+F857</f>
        <v>2230</v>
      </c>
      <c r="G829" s="4">
        <f>G830+G857</f>
        <v>2230</v>
      </c>
    </row>
    <row r="830" spans="1:7" ht="63">
      <c r="A830" s="23" t="s">
        <v>360</v>
      </c>
      <c r="B830" s="24" t="s">
        <v>261</v>
      </c>
      <c r="C830" s="24" t="s">
        <v>232</v>
      </c>
      <c r="D830" s="24" t="s">
        <v>361</v>
      </c>
      <c r="E830" s="24"/>
      <c r="F830" s="4">
        <f>F831+F836+F841+F852</f>
        <v>2220</v>
      </c>
      <c r="G830" s="4">
        <f>G831+G836+G841+G852</f>
        <v>2220</v>
      </c>
    </row>
    <row r="831" spans="1:7" ht="31.5">
      <c r="A831" s="23" t="s">
        <v>369</v>
      </c>
      <c r="B831" s="24" t="s">
        <v>261</v>
      </c>
      <c r="C831" s="24" t="s">
        <v>232</v>
      </c>
      <c r="D831" s="24" t="s">
        <v>370</v>
      </c>
      <c r="E831" s="24"/>
      <c r="F831" s="4">
        <f aca="true" t="shared" si="41" ref="F831:G831">F832</f>
        <v>150</v>
      </c>
      <c r="G831" s="4">
        <f t="shared" si="41"/>
        <v>150</v>
      </c>
    </row>
    <row r="832" spans="1:7" ht="31.5">
      <c r="A832" s="23" t="s">
        <v>981</v>
      </c>
      <c r="B832" s="24" t="s">
        <v>261</v>
      </c>
      <c r="C832" s="24" t="s">
        <v>232</v>
      </c>
      <c r="D832" s="24" t="s">
        <v>980</v>
      </c>
      <c r="E832" s="24"/>
      <c r="F832" s="4">
        <f>F833</f>
        <v>150</v>
      </c>
      <c r="G832" s="4">
        <f>G833</f>
        <v>150</v>
      </c>
    </row>
    <row r="833" spans="1:7" ht="31.5">
      <c r="A833" s="25" t="s">
        <v>873</v>
      </c>
      <c r="B833" s="20" t="s">
        <v>261</v>
      </c>
      <c r="C833" s="20" t="s">
        <v>232</v>
      </c>
      <c r="D833" s="20" t="s">
        <v>982</v>
      </c>
      <c r="E833" s="20"/>
      <c r="F833" s="6">
        <f>'Пр.5 Рд,пр, ЦС,ВР 20'!F833</f>
        <v>150</v>
      </c>
      <c r="G833" s="6">
        <f t="shared" si="37"/>
        <v>150</v>
      </c>
    </row>
    <row r="834" spans="1:7" ht="31.5">
      <c r="A834" s="25" t="s">
        <v>265</v>
      </c>
      <c r="B834" s="20" t="s">
        <v>261</v>
      </c>
      <c r="C834" s="20" t="s">
        <v>232</v>
      </c>
      <c r="D834" s="20" t="s">
        <v>982</v>
      </c>
      <c r="E834" s="20" t="s">
        <v>266</v>
      </c>
      <c r="F834" s="6">
        <f>'Пр.5 Рд,пр, ЦС,ВР 20'!F834</f>
        <v>150</v>
      </c>
      <c r="G834" s="6">
        <f t="shared" si="37"/>
        <v>150</v>
      </c>
    </row>
    <row r="835" spans="1:7" ht="47.25">
      <c r="A835" s="25" t="s">
        <v>267</v>
      </c>
      <c r="B835" s="20" t="s">
        <v>261</v>
      </c>
      <c r="C835" s="20" t="s">
        <v>232</v>
      </c>
      <c r="D835" s="20" t="s">
        <v>982</v>
      </c>
      <c r="E835" s="20" t="s">
        <v>268</v>
      </c>
      <c r="F835" s="6">
        <f>'Пр.5 Рд,пр, ЦС,ВР 20'!F835</f>
        <v>150</v>
      </c>
      <c r="G835" s="6">
        <f t="shared" si="37"/>
        <v>150</v>
      </c>
    </row>
    <row r="836" spans="1:7" ht="47.25">
      <c r="A836" s="23" t="s">
        <v>372</v>
      </c>
      <c r="B836" s="19">
        <v>10</v>
      </c>
      <c r="C836" s="24" t="s">
        <v>232</v>
      </c>
      <c r="D836" s="24" t="s">
        <v>373</v>
      </c>
      <c r="E836" s="24"/>
      <c r="F836" s="4">
        <f aca="true" t="shared" si="42" ref="F836:G836">F837</f>
        <v>420</v>
      </c>
      <c r="G836" s="4">
        <f t="shared" si="42"/>
        <v>420</v>
      </c>
    </row>
    <row r="837" spans="1:7" ht="47.25">
      <c r="A837" s="23" t="s">
        <v>1156</v>
      </c>
      <c r="B837" s="19">
        <v>10</v>
      </c>
      <c r="C837" s="24" t="s">
        <v>232</v>
      </c>
      <c r="D837" s="24" t="s">
        <v>983</v>
      </c>
      <c r="E837" s="24"/>
      <c r="F837" s="4">
        <f>F838</f>
        <v>420</v>
      </c>
      <c r="G837" s="4">
        <f>G838</f>
        <v>420</v>
      </c>
    </row>
    <row r="838" spans="1:7" ht="31.5">
      <c r="A838" s="25" t="s">
        <v>1220</v>
      </c>
      <c r="B838" s="20" t="s">
        <v>261</v>
      </c>
      <c r="C838" s="20" t="s">
        <v>232</v>
      </c>
      <c r="D838" s="20" t="s">
        <v>984</v>
      </c>
      <c r="E838" s="20"/>
      <c r="F838" s="6">
        <f>'Пр.5 Рд,пр, ЦС,ВР 20'!F838</f>
        <v>420</v>
      </c>
      <c r="G838" s="6">
        <f t="shared" si="37"/>
        <v>420</v>
      </c>
    </row>
    <row r="839" spans="1:7" ht="31.5">
      <c r="A839" s="25" t="s">
        <v>265</v>
      </c>
      <c r="B839" s="20" t="s">
        <v>261</v>
      </c>
      <c r="C839" s="20" t="s">
        <v>232</v>
      </c>
      <c r="D839" s="20" t="s">
        <v>984</v>
      </c>
      <c r="E839" s="20" t="s">
        <v>266</v>
      </c>
      <c r="F839" s="6">
        <f>'Пр.5 Рд,пр, ЦС,ВР 20'!F839</f>
        <v>420</v>
      </c>
      <c r="G839" s="6">
        <f t="shared" si="37"/>
        <v>420</v>
      </c>
    </row>
    <row r="840" spans="1:7" ht="31.5">
      <c r="A840" s="25" t="s">
        <v>365</v>
      </c>
      <c r="B840" s="20" t="s">
        <v>261</v>
      </c>
      <c r="C840" s="20" t="s">
        <v>232</v>
      </c>
      <c r="D840" s="20" t="s">
        <v>984</v>
      </c>
      <c r="E840" s="20" t="s">
        <v>366</v>
      </c>
      <c r="F840" s="6">
        <f>'Пр.5 Рд,пр, ЦС,ВР 20'!F840</f>
        <v>420</v>
      </c>
      <c r="G840" s="6">
        <f t="shared" si="37"/>
        <v>420</v>
      </c>
    </row>
    <row r="841" spans="1:7" ht="31.5">
      <c r="A841" s="23" t="s">
        <v>375</v>
      </c>
      <c r="B841" s="19">
        <v>10</v>
      </c>
      <c r="C841" s="24" t="s">
        <v>232</v>
      </c>
      <c r="D841" s="24" t="s">
        <v>376</v>
      </c>
      <c r="E841" s="24"/>
      <c r="F841" s="4">
        <f>F842+F846</f>
        <v>1400</v>
      </c>
      <c r="G841" s="4">
        <f>G842+G846</f>
        <v>1400</v>
      </c>
    </row>
    <row r="842" spans="1:7" ht="47.25">
      <c r="A842" s="23" t="s">
        <v>1222</v>
      </c>
      <c r="B842" s="24" t="s">
        <v>261</v>
      </c>
      <c r="C842" s="24" t="s">
        <v>232</v>
      </c>
      <c r="D842" s="24" t="s">
        <v>986</v>
      </c>
      <c r="E842" s="24"/>
      <c r="F842" s="4">
        <f>F843</f>
        <v>920</v>
      </c>
      <c r="G842" s="4">
        <f>G843</f>
        <v>920</v>
      </c>
    </row>
    <row r="843" spans="1:7" ht="63">
      <c r="A843" s="107" t="s">
        <v>1223</v>
      </c>
      <c r="B843" s="20" t="s">
        <v>261</v>
      </c>
      <c r="C843" s="20" t="s">
        <v>232</v>
      </c>
      <c r="D843" s="20" t="s">
        <v>987</v>
      </c>
      <c r="E843" s="20"/>
      <c r="F843" s="6">
        <f>'Пр.5 Рд,пр, ЦС,ВР 20'!F843</f>
        <v>920</v>
      </c>
      <c r="G843" s="6">
        <f t="shared" si="37"/>
        <v>920</v>
      </c>
    </row>
    <row r="844" spans="1:7" ht="31.5">
      <c r="A844" s="25" t="s">
        <v>265</v>
      </c>
      <c r="B844" s="20" t="s">
        <v>261</v>
      </c>
      <c r="C844" s="20" t="s">
        <v>232</v>
      </c>
      <c r="D844" s="20" t="s">
        <v>987</v>
      </c>
      <c r="E844" s="20" t="s">
        <v>266</v>
      </c>
      <c r="F844" s="6">
        <f>'Пр.5 Рд,пр, ЦС,ВР 20'!F844</f>
        <v>920</v>
      </c>
      <c r="G844" s="6">
        <f t="shared" si="37"/>
        <v>920</v>
      </c>
    </row>
    <row r="845" spans="1:7" ht="31.5">
      <c r="A845" s="25" t="s">
        <v>365</v>
      </c>
      <c r="B845" s="20" t="s">
        <v>261</v>
      </c>
      <c r="C845" s="20" t="s">
        <v>232</v>
      </c>
      <c r="D845" s="20" t="s">
        <v>987</v>
      </c>
      <c r="E845" s="20" t="s">
        <v>366</v>
      </c>
      <c r="F845" s="6">
        <f>'Пр.5 Рд,пр, ЦС,ВР 20'!F845</f>
        <v>920</v>
      </c>
      <c r="G845" s="6">
        <f t="shared" si="37"/>
        <v>920</v>
      </c>
    </row>
    <row r="846" spans="1:7" ht="31.5">
      <c r="A846" s="23" t="s">
        <v>985</v>
      </c>
      <c r="B846" s="19">
        <v>10</v>
      </c>
      <c r="C846" s="24" t="s">
        <v>232</v>
      </c>
      <c r="D846" s="24" t="s">
        <v>988</v>
      </c>
      <c r="E846" s="24"/>
      <c r="F846" s="4">
        <f>F847+F850</f>
        <v>480</v>
      </c>
      <c r="G846" s="4">
        <f>G847+G850</f>
        <v>480</v>
      </c>
    </row>
    <row r="847" spans="1:7" ht="31.5">
      <c r="A847" s="25" t="s">
        <v>1157</v>
      </c>
      <c r="B847" s="20" t="s">
        <v>261</v>
      </c>
      <c r="C847" s="20" t="s">
        <v>232</v>
      </c>
      <c r="D847" s="20" t="s">
        <v>989</v>
      </c>
      <c r="E847" s="20"/>
      <c r="F847" s="6">
        <f>'Пр.5 Рд,пр, ЦС,ВР 20'!F847</f>
        <v>270</v>
      </c>
      <c r="G847" s="6">
        <f aca="true" t="shared" si="43" ref="G847:G912">F847</f>
        <v>270</v>
      </c>
    </row>
    <row r="848" spans="1:7" ht="31.5">
      <c r="A848" s="25" t="s">
        <v>148</v>
      </c>
      <c r="B848" s="20" t="s">
        <v>261</v>
      </c>
      <c r="C848" s="20" t="s">
        <v>232</v>
      </c>
      <c r="D848" s="20" t="s">
        <v>989</v>
      </c>
      <c r="E848" s="20" t="s">
        <v>149</v>
      </c>
      <c r="F848" s="6">
        <f>'Пр.5 Рд,пр, ЦС,ВР 20'!F848</f>
        <v>270</v>
      </c>
      <c r="G848" s="6">
        <f t="shared" si="43"/>
        <v>270</v>
      </c>
    </row>
    <row r="849" spans="1:7" ht="47.25">
      <c r="A849" s="25" t="s">
        <v>150</v>
      </c>
      <c r="B849" s="20" t="s">
        <v>261</v>
      </c>
      <c r="C849" s="20" t="s">
        <v>232</v>
      </c>
      <c r="D849" s="20" t="s">
        <v>989</v>
      </c>
      <c r="E849" s="20" t="s">
        <v>151</v>
      </c>
      <c r="F849" s="6">
        <f>'Пр.5 Рд,пр, ЦС,ВР 20'!F849</f>
        <v>270</v>
      </c>
      <c r="G849" s="6">
        <f t="shared" si="43"/>
        <v>270</v>
      </c>
    </row>
    <row r="850" spans="1:7" s="252" customFormat="1" ht="31.5">
      <c r="A850" s="25" t="s">
        <v>265</v>
      </c>
      <c r="B850" s="20" t="s">
        <v>261</v>
      </c>
      <c r="C850" s="20" t="s">
        <v>232</v>
      </c>
      <c r="D850" s="20" t="s">
        <v>989</v>
      </c>
      <c r="E850" s="20" t="s">
        <v>266</v>
      </c>
      <c r="F850" s="6">
        <f>'Пр.5 Рд,пр, ЦС,ВР 20'!F850</f>
        <v>210</v>
      </c>
      <c r="G850" s="6">
        <f aca="true" t="shared" si="44" ref="G850:G851">F850</f>
        <v>210</v>
      </c>
    </row>
    <row r="851" spans="1:7" s="252" customFormat="1" ht="31.5">
      <c r="A851" s="25" t="s">
        <v>365</v>
      </c>
      <c r="B851" s="20" t="s">
        <v>261</v>
      </c>
      <c r="C851" s="20" t="s">
        <v>232</v>
      </c>
      <c r="D851" s="20" t="s">
        <v>989</v>
      </c>
      <c r="E851" s="20" t="s">
        <v>366</v>
      </c>
      <c r="F851" s="6">
        <f>'Пр.5 Рд,пр, ЦС,ВР 20'!F851</f>
        <v>210</v>
      </c>
      <c r="G851" s="6">
        <f t="shared" si="44"/>
        <v>210</v>
      </c>
    </row>
    <row r="852" spans="1:7" ht="47.25">
      <c r="A852" s="23" t="s">
        <v>378</v>
      </c>
      <c r="B852" s="24" t="s">
        <v>261</v>
      </c>
      <c r="C852" s="24" t="s">
        <v>232</v>
      </c>
      <c r="D852" s="24" t="s">
        <v>379</v>
      </c>
      <c r="E852" s="24"/>
      <c r="F852" s="4">
        <f aca="true" t="shared" si="45" ref="F852:G853">F853</f>
        <v>250</v>
      </c>
      <c r="G852" s="4">
        <f t="shared" si="45"/>
        <v>250</v>
      </c>
    </row>
    <row r="853" spans="1:7" ht="47.25">
      <c r="A853" s="23" t="s">
        <v>1225</v>
      </c>
      <c r="B853" s="24" t="s">
        <v>261</v>
      </c>
      <c r="C853" s="24" t="s">
        <v>232</v>
      </c>
      <c r="D853" s="24" t="s">
        <v>991</v>
      </c>
      <c r="E853" s="24"/>
      <c r="F853" s="4">
        <f t="shared" si="45"/>
        <v>250</v>
      </c>
      <c r="G853" s="4">
        <f t="shared" si="45"/>
        <v>250</v>
      </c>
    </row>
    <row r="854" spans="1:7" ht="63">
      <c r="A854" s="25" t="s">
        <v>1224</v>
      </c>
      <c r="B854" s="20" t="s">
        <v>261</v>
      </c>
      <c r="C854" s="20" t="s">
        <v>232</v>
      </c>
      <c r="D854" s="20" t="s">
        <v>990</v>
      </c>
      <c r="E854" s="20"/>
      <c r="F854" s="6">
        <f>'Пр.5 Рд,пр, ЦС,ВР 20'!F854</f>
        <v>250</v>
      </c>
      <c r="G854" s="6">
        <f t="shared" si="43"/>
        <v>250</v>
      </c>
    </row>
    <row r="855" spans="1:7" ht="31.5">
      <c r="A855" s="25" t="s">
        <v>265</v>
      </c>
      <c r="B855" s="20" t="s">
        <v>261</v>
      </c>
      <c r="C855" s="20" t="s">
        <v>232</v>
      </c>
      <c r="D855" s="20" t="s">
        <v>990</v>
      </c>
      <c r="E855" s="20" t="s">
        <v>266</v>
      </c>
      <c r="F855" s="6">
        <f>'Пр.5 Рд,пр, ЦС,ВР 20'!F855</f>
        <v>250</v>
      </c>
      <c r="G855" s="6">
        <f t="shared" si="43"/>
        <v>250</v>
      </c>
    </row>
    <row r="856" spans="1:7" ht="31.5">
      <c r="A856" s="25" t="s">
        <v>365</v>
      </c>
      <c r="B856" s="20" t="s">
        <v>261</v>
      </c>
      <c r="C856" s="20" t="s">
        <v>232</v>
      </c>
      <c r="D856" s="20" t="s">
        <v>990</v>
      </c>
      <c r="E856" s="20" t="s">
        <v>366</v>
      </c>
      <c r="F856" s="6">
        <f>'Пр.5 Рд,пр, ЦС,ВР 20'!F856</f>
        <v>250</v>
      </c>
      <c r="G856" s="6">
        <f t="shared" si="43"/>
        <v>250</v>
      </c>
    </row>
    <row r="857" spans="1:7" ht="78.75">
      <c r="A857" s="23" t="s">
        <v>270</v>
      </c>
      <c r="B857" s="24" t="s">
        <v>261</v>
      </c>
      <c r="C857" s="24" t="s">
        <v>232</v>
      </c>
      <c r="D857" s="24" t="s">
        <v>271</v>
      </c>
      <c r="E857" s="24"/>
      <c r="F857" s="4">
        <f aca="true" t="shared" si="46" ref="F857:G858">F858</f>
        <v>10</v>
      </c>
      <c r="G857" s="4">
        <f t="shared" si="46"/>
        <v>10</v>
      </c>
    </row>
    <row r="858" spans="1:7" ht="63">
      <c r="A858" s="23" t="s">
        <v>936</v>
      </c>
      <c r="B858" s="24" t="s">
        <v>261</v>
      </c>
      <c r="C858" s="24" t="s">
        <v>232</v>
      </c>
      <c r="D858" s="24" t="s">
        <v>934</v>
      </c>
      <c r="E858" s="24"/>
      <c r="F858" s="4">
        <f t="shared" si="46"/>
        <v>10</v>
      </c>
      <c r="G858" s="4">
        <f t="shared" si="46"/>
        <v>10</v>
      </c>
    </row>
    <row r="859" spans="1:7" ht="31.5">
      <c r="A859" s="25" t="s">
        <v>935</v>
      </c>
      <c r="B859" s="20" t="s">
        <v>261</v>
      </c>
      <c r="C859" s="20" t="s">
        <v>232</v>
      </c>
      <c r="D859" s="20" t="s">
        <v>1158</v>
      </c>
      <c r="E859" s="20"/>
      <c r="F859" s="6">
        <f>'Пр.5 Рд,пр, ЦС,ВР 20'!F859</f>
        <v>10</v>
      </c>
      <c r="G859" s="6">
        <f t="shared" si="43"/>
        <v>10</v>
      </c>
    </row>
    <row r="860" spans="1:7" ht="31.5">
      <c r="A860" s="25" t="s">
        <v>265</v>
      </c>
      <c r="B860" s="20" t="s">
        <v>261</v>
      </c>
      <c r="C860" s="20" t="s">
        <v>232</v>
      </c>
      <c r="D860" s="20" t="s">
        <v>1158</v>
      </c>
      <c r="E860" s="20" t="s">
        <v>266</v>
      </c>
      <c r="F860" s="6">
        <f>'Пр.5 Рд,пр, ЦС,ВР 20'!F860</f>
        <v>10</v>
      </c>
      <c r="G860" s="6">
        <f t="shared" si="43"/>
        <v>10</v>
      </c>
    </row>
    <row r="861" spans="1:7" ht="47.25">
      <c r="A861" s="25" t="s">
        <v>267</v>
      </c>
      <c r="B861" s="20" t="s">
        <v>261</v>
      </c>
      <c r="C861" s="20" t="s">
        <v>232</v>
      </c>
      <c r="D861" s="20" t="s">
        <v>1158</v>
      </c>
      <c r="E861" s="20" t="s">
        <v>268</v>
      </c>
      <c r="F861" s="6">
        <f>'Пр.5 Рд,пр, ЦС,ВР 20'!F861</f>
        <v>10</v>
      </c>
      <c r="G861" s="6">
        <f t="shared" si="43"/>
        <v>10</v>
      </c>
    </row>
    <row r="862" spans="1:7" ht="31.5">
      <c r="A862" s="23" t="s">
        <v>275</v>
      </c>
      <c r="B862" s="24" t="s">
        <v>261</v>
      </c>
      <c r="C862" s="24" t="s">
        <v>137</v>
      </c>
      <c r="D862" s="24"/>
      <c r="E862" s="24"/>
      <c r="F862" s="4">
        <f>F863+F870</f>
        <v>3350.9</v>
      </c>
      <c r="G862" s="4">
        <f>G863+G870</f>
        <v>3350.9</v>
      </c>
    </row>
    <row r="863" spans="1:7" ht="31.5">
      <c r="A863" s="23" t="s">
        <v>995</v>
      </c>
      <c r="B863" s="24" t="s">
        <v>261</v>
      </c>
      <c r="C863" s="24" t="s">
        <v>137</v>
      </c>
      <c r="D863" s="24" t="s">
        <v>909</v>
      </c>
      <c r="E863" s="24"/>
      <c r="F863" s="4">
        <f>F864</f>
        <v>3263.9</v>
      </c>
      <c r="G863" s="4">
        <f>G864</f>
        <v>3263.9</v>
      </c>
    </row>
    <row r="864" spans="1:7" ht="47.25">
      <c r="A864" s="23" t="s">
        <v>937</v>
      </c>
      <c r="B864" s="24" t="s">
        <v>261</v>
      </c>
      <c r="C864" s="24" t="s">
        <v>137</v>
      </c>
      <c r="D864" s="24" t="s">
        <v>914</v>
      </c>
      <c r="E864" s="24"/>
      <c r="F864" s="4">
        <f>F865</f>
        <v>3263.9</v>
      </c>
      <c r="G864" s="4">
        <f>G865</f>
        <v>3263.9</v>
      </c>
    </row>
    <row r="865" spans="1:7" ht="63">
      <c r="A865" s="32" t="s">
        <v>276</v>
      </c>
      <c r="B865" s="20" t="s">
        <v>261</v>
      </c>
      <c r="C865" s="20" t="s">
        <v>137</v>
      </c>
      <c r="D865" s="20" t="s">
        <v>1005</v>
      </c>
      <c r="E865" s="20"/>
      <c r="F865" s="6">
        <f>'Пр.5 Рд,пр, ЦС,ВР 20'!F865</f>
        <v>3263.9</v>
      </c>
      <c r="G865" s="6">
        <f t="shared" si="43"/>
        <v>3263.9</v>
      </c>
    </row>
    <row r="866" spans="1:7" ht="94.5">
      <c r="A866" s="25" t="s">
        <v>144</v>
      </c>
      <c r="B866" s="20" t="s">
        <v>261</v>
      </c>
      <c r="C866" s="20" t="s">
        <v>137</v>
      </c>
      <c r="D866" s="20" t="s">
        <v>1005</v>
      </c>
      <c r="E866" s="20" t="s">
        <v>145</v>
      </c>
      <c r="F866" s="6">
        <f>'Пр.5 Рд,пр, ЦС,ВР 20'!F866</f>
        <v>2995.8</v>
      </c>
      <c r="G866" s="6">
        <f t="shared" si="43"/>
        <v>2995.8</v>
      </c>
    </row>
    <row r="867" spans="1:7" ht="47.25">
      <c r="A867" s="25" t="s">
        <v>146</v>
      </c>
      <c r="B867" s="20" t="s">
        <v>261</v>
      </c>
      <c r="C867" s="20" t="s">
        <v>137</v>
      </c>
      <c r="D867" s="20" t="s">
        <v>1005</v>
      </c>
      <c r="E867" s="20" t="s">
        <v>147</v>
      </c>
      <c r="F867" s="6">
        <f>'Пр.5 Рд,пр, ЦС,ВР 20'!F867</f>
        <v>2995.8</v>
      </c>
      <c r="G867" s="6">
        <f t="shared" si="43"/>
        <v>2995.8</v>
      </c>
    </row>
    <row r="868" spans="1:7" ht="31.5">
      <c r="A868" s="25" t="s">
        <v>148</v>
      </c>
      <c r="B868" s="20" t="s">
        <v>261</v>
      </c>
      <c r="C868" s="20" t="s">
        <v>137</v>
      </c>
      <c r="D868" s="20" t="s">
        <v>1005</v>
      </c>
      <c r="E868" s="20" t="s">
        <v>149</v>
      </c>
      <c r="F868" s="6">
        <f>'Пр.5 Рд,пр, ЦС,ВР 20'!F868</f>
        <v>268.09999999999997</v>
      </c>
      <c r="G868" s="6">
        <f t="shared" si="43"/>
        <v>268.09999999999997</v>
      </c>
    </row>
    <row r="869" spans="1:7" ht="47.25">
      <c r="A869" s="25" t="s">
        <v>150</v>
      </c>
      <c r="B869" s="20" t="s">
        <v>261</v>
      </c>
      <c r="C869" s="20" t="s">
        <v>137</v>
      </c>
      <c r="D869" s="20" t="s">
        <v>1005</v>
      </c>
      <c r="E869" s="20" t="s">
        <v>151</v>
      </c>
      <c r="F869" s="6">
        <f>'Пр.5 Рд,пр, ЦС,ВР 20'!F869</f>
        <v>268.09999999999997</v>
      </c>
      <c r="G869" s="6">
        <f t="shared" si="43"/>
        <v>268.09999999999997</v>
      </c>
    </row>
    <row r="870" spans="1:7" ht="15.75">
      <c r="A870" s="23" t="s">
        <v>158</v>
      </c>
      <c r="B870" s="24" t="s">
        <v>261</v>
      </c>
      <c r="C870" s="24" t="s">
        <v>137</v>
      </c>
      <c r="D870" s="24" t="s">
        <v>917</v>
      </c>
      <c r="E870" s="24"/>
      <c r="F870" s="4">
        <f>F871</f>
        <v>87</v>
      </c>
      <c r="G870" s="4">
        <f>G871</f>
        <v>87</v>
      </c>
    </row>
    <row r="871" spans="1:7" ht="31.5">
      <c r="A871" s="23" t="s">
        <v>921</v>
      </c>
      <c r="B871" s="24" t="s">
        <v>261</v>
      </c>
      <c r="C871" s="24" t="s">
        <v>137</v>
      </c>
      <c r="D871" s="24" t="s">
        <v>916</v>
      </c>
      <c r="E871" s="24"/>
      <c r="F871" s="4">
        <f>F872</f>
        <v>87</v>
      </c>
      <c r="G871" s="4">
        <f>G872</f>
        <v>87</v>
      </c>
    </row>
    <row r="872" spans="1:7" ht="15.75">
      <c r="A872" s="25" t="s">
        <v>589</v>
      </c>
      <c r="B872" s="20" t="s">
        <v>261</v>
      </c>
      <c r="C872" s="20" t="s">
        <v>137</v>
      </c>
      <c r="D872" s="20" t="s">
        <v>1141</v>
      </c>
      <c r="E872" s="20"/>
      <c r="F872" s="6">
        <f>'Пр.5 Рд,пр, ЦС,ВР 20'!F872</f>
        <v>87</v>
      </c>
      <c r="G872" s="6">
        <f t="shared" si="43"/>
        <v>87</v>
      </c>
    </row>
    <row r="873" spans="1:7" ht="31.5">
      <c r="A873" s="25" t="s">
        <v>148</v>
      </c>
      <c r="B873" s="20" t="s">
        <v>261</v>
      </c>
      <c r="C873" s="20" t="s">
        <v>137</v>
      </c>
      <c r="D873" s="20" t="s">
        <v>1141</v>
      </c>
      <c r="E873" s="20" t="s">
        <v>149</v>
      </c>
      <c r="F873" s="6">
        <f>'Пр.5 Рд,пр, ЦС,ВР 20'!F873</f>
        <v>87</v>
      </c>
      <c r="G873" s="6">
        <f t="shared" si="43"/>
        <v>87</v>
      </c>
    </row>
    <row r="874" spans="1:7" ht="47.25">
      <c r="A874" s="25" t="s">
        <v>150</v>
      </c>
      <c r="B874" s="20" t="s">
        <v>261</v>
      </c>
      <c r="C874" s="20" t="s">
        <v>137</v>
      </c>
      <c r="D874" s="20" t="s">
        <v>1141</v>
      </c>
      <c r="E874" s="20" t="s">
        <v>151</v>
      </c>
      <c r="F874" s="6">
        <f>'Пр.5 Рд,пр, ЦС,ВР 20'!F874</f>
        <v>87</v>
      </c>
      <c r="G874" s="6">
        <f t="shared" si="43"/>
        <v>87</v>
      </c>
    </row>
    <row r="875" spans="1:7" ht="15.75">
      <c r="A875" s="42" t="s">
        <v>507</v>
      </c>
      <c r="B875" s="7" t="s">
        <v>508</v>
      </c>
      <c r="C875" s="41"/>
      <c r="D875" s="41"/>
      <c r="E875" s="41"/>
      <c r="F875" s="4">
        <f>F876+F915</f>
        <v>60935.022999999994</v>
      </c>
      <c r="G875" s="4">
        <f>G876+G915</f>
        <v>60935.022999999994</v>
      </c>
    </row>
    <row r="876" spans="1:7" ht="15.75">
      <c r="A876" s="23" t="s">
        <v>509</v>
      </c>
      <c r="B876" s="24" t="s">
        <v>508</v>
      </c>
      <c r="C876" s="24" t="s">
        <v>135</v>
      </c>
      <c r="D876" s="20"/>
      <c r="E876" s="20"/>
      <c r="F876" s="4">
        <f>F877+F910</f>
        <v>48328.299999999996</v>
      </c>
      <c r="G876" s="4">
        <f>G877+G910</f>
        <v>48328.299999999996</v>
      </c>
    </row>
    <row r="877" spans="1:7" ht="63">
      <c r="A877" s="23" t="s">
        <v>498</v>
      </c>
      <c r="B877" s="24" t="s">
        <v>508</v>
      </c>
      <c r="C877" s="24" t="s">
        <v>135</v>
      </c>
      <c r="D877" s="24" t="s">
        <v>499</v>
      </c>
      <c r="E877" s="24"/>
      <c r="F877" s="4">
        <f aca="true" t="shared" si="47" ref="F877:G877">F878</f>
        <v>47788.2</v>
      </c>
      <c r="G877" s="4">
        <f t="shared" si="47"/>
        <v>47788.2</v>
      </c>
    </row>
    <row r="878" spans="1:7" ht="63">
      <c r="A878" s="23" t="s">
        <v>510</v>
      </c>
      <c r="B878" s="24" t="s">
        <v>508</v>
      </c>
      <c r="C878" s="24" t="s">
        <v>135</v>
      </c>
      <c r="D878" s="24" t="s">
        <v>511</v>
      </c>
      <c r="E878" s="24"/>
      <c r="F878" s="4">
        <f>F879+F889+F899+F906</f>
        <v>47788.2</v>
      </c>
      <c r="G878" s="4">
        <f>G879+G889+G899+G906</f>
        <v>47788.2</v>
      </c>
    </row>
    <row r="879" spans="1:7" ht="47.25">
      <c r="A879" s="23" t="s">
        <v>1036</v>
      </c>
      <c r="B879" s="24" t="s">
        <v>508</v>
      </c>
      <c r="C879" s="24" t="s">
        <v>135</v>
      </c>
      <c r="D879" s="24" t="s">
        <v>1069</v>
      </c>
      <c r="E879" s="24"/>
      <c r="F879" s="4">
        <f>F880+F883+F886</f>
        <v>46082</v>
      </c>
      <c r="G879" s="4">
        <f>G880+G883+G886</f>
        <v>46082</v>
      </c>
    </row>
    <row r="880" spans="1:7" ht="63">
      <c r="A880" s="25" t="s">
        <v>841</v>
      </c>
      <c r="B880" s="20" t="s">
        <v>508</v>
      </c>
      <c r="C880" s="20" t="s">
        <v>135</v>
      </c>
      <c r="D880" s="20" t="s">
        <v>1079</v>
      </c>
      <c r="E880" s="20"/>
      <c r="F880" s="6">
        <f>'Пр.5 Рд,пр, ЦС,ВР 20'!F880</f>
        <v>13608</v>
      </c>
      <c r="G880" s="6">
        <f t="shared" si="43"/>
        <v>13608</v>
      </c>
    </row>
    <row r="881" spans="1:7" ht="47.25">
      <c r="A881" s="25" t="s">
        <v>289</v>
      </c>
      <c r="B881" s="20" t="s">
        <v>508</v>
      </c>
      <c r="C881" s="20" t="s">
        <v>135</v>
      </c>
      <c r="D881" s="20" t="s">
        <v>1079</v>
      </c>
      <c r="E881" s="20" t="s">
        <v>290</v>
      </c>
      <c r="F881" s="6">
        <f>'Пр.5 Рд,пр, ЦС,ВР 20'!F881</f>
        <v>13608</v>
      </c>
      <c r="G881" s="6">
        <f t="shared" si="43"/>
        <v>13608</v>
      </c>
    </row>
    <row r="882" spans="1:7" ht="15.75">
      <c r="A882" s="25" t="s">
        <v>291</v>
      </c>
      <c r="B882" s="20" t="s">
        <v>508</v>
      </c>
      <c r="C882" s="20" t="s">
        <v>135</v>
      </c>
      <c r="D882" s="20" t="s">
        <v>1079</v>
      </c>
      <c r="E882" s="20" t="s">
        <v>292</v>
      </c>
      <c r="F882" s="6">
        <f>'Пр.5 Рд,пр, ЦС,ВР 20'!F882</f>
        <v>13608</v>
      </c>
      <c r="G882" s="6">
        <f t="shared" si="43"/>
        <v>13608</v>
      </c>
    </row>
    <row r="883" spans="1:7" ht="47.25">
      <c r="A883" s="25" t="s">
        <v>862</v>
      </c>
      <c r="B883" s="20" t="s">
        <v>508</v>
      </c>
      <c r="C883" s="20" t="s">
        <v>135</v>
      </c>
      <c r="D883" s="20" t="s">
        <v>1080</v>
      </c>
      <c r="E883" s="20"/>
      <c r="F883" s="6">
        <f>'Пр.5 Рд,пр, ЦС,ВР 20'!F883</f>
        <v>13397</v>
      </c>
      <c r="G883" s="6">
        <f t="shared" si="43"/>
        <v>13397</v>
      </c>
    </row>
    <row r="884" spans="1:7" ht="47.25">
      <c r="A884" s="25" t="s">
        <v>289</v>
      </c>
      <c r="B884" s="20" t="s">
        <v>508</v>
      </c>
      <c r="C884" s="20" t="s">
        <v>135</v>
      </c>
      <c r="D884" s="20" t="s">
        <v>1080</v>
      </c>
      <c r="E884" s="20" t="s">
        <v>290</v>
      </c>
      <c r="F884" s="6">
        <f>'Пр.5 Рд,пр, ЦС,ВР 20'!F884</f>
        <v>13397</v>
      </c>
      <c r="G884" s="6">
        <f t="shared" si="43"/>
        <v>13397</v>
      </c>
    </row>
    <row r="885" spans="1:7" ht="15.75">
      <c r="A885" s="25" t="s">
        <v>291</v>
      </c>
      <c r="B885" s="20" t="s">
        <v>508</v>
      </c>
      <c r="C885" s="20" t="s">
        <v>135</v>
      </c>
      <c r="D885" s="20" t="s">
        <v>1080</v>
      </c>
      <c r="E885" s="20" t="s">
        <v>292</v>
      </c>
      <c r="F885" s="6">
        <f>'Пр.5 Рд,пр, ЦС,ВР 20'!F885</f>
        <v>13397</v>
      </c>
      <c r="G885" s="6">
        <f t="shared" si="43"/>
        <v>13397</v>
      </c>
    </row>
    <row r="886" spans="1:7" ht="63">
      <c r="A886" s="25" t="s">
        <v>863</v>
      </c>
      <c r="B886" s="20" t="s">
        <v>508</v>
      </c>
      <c r="C886" s="20" t="s">
        <v>135</v>
      </c>
      <c r="D886" s="20" t="s">
        <v>1081</v>
      </c>
      <c r="E886" s="20"/>
      <c r="F886" s="6">
        <f>'Пр.5 Рд,пр, ЦС,ВР 20'!F886</f>
        <v>19077</v>
      </c>
      <c r="G886" s="6">
        <f t="shared" si="43"/>
        <v>19077</v>
      </c>
    </row>
    <row r="887" spans="1:7" ht="47.25">
      <c r="A887" s="25" t="s">
        <v>289</v>
      </c>
      <c r="B887" s="20" t="s">
        <v>508</v>
      </c>
      <c r="C887" s="20" t="s">
        <v>135</v>
      </c>
      <c r="D887" s="20" t="s">
        <v>1081</v>
      </c>
      <c r="E887" s="20" t="s">
        <v>290</v>
      </c>
      <c r="F887" s="6">
        <f>'Пр.5 Рд,пр, ЦС,ВР 20'!F887</f>
        <v>19077</v>
      </c>
      <c r="G887" s="6">
        <f t="shared" si="43"/>
        <v>19077</v>
      </c>
    </row>
    <row r="888" spans="1:7" ht="15.75">
      <c r="A888" s="25" t="s">
        <v>291</v>
      </c>
      <c r="B888" s="20" t="s">
        <v>508</v>
      </c>
      <c r="C888" s="20" t="s">
        <v>135</v>
      </c>
      <c r="D888" s="20" t="s">
        <v>1081</v>
      </c>
      <c r="E888" s="20" t="s">
        <v>292</v>
      </c>
      <c r="F888" s="6">
        <f>'Пр.5 Рд,пр, ЦС,ВР 20'!F888</f>
        <v>19077</v>
      </c>
      <c r="G888" s="6">
        <f t="shared" si="43"/>
        <v>19077</v>
      </c>
    </row>
    <row r="889" spans="1:7" ht="31.5">
      <c r="A889" s="23" t="s">
        <v>1082</v>
      </c>
      <c r="B889" s="24" t="s">
        <v>508</v>
      </c>
      <c r="C889" s="24" t="s">
        <v>135</v>
      </c>
      <c r="D889" s="24" t="s">
        <v>1083</v>
      </c>
      <c r="E889" s="24"/>
      <c r="F889" s="4">
        <f>F890+F893+F896</f>
        <v>36</v>
      </c>
      <c r="G889" s="4">
        <f>G890+G893+G896</f>
        <v>36</v>
      </c>
    </row>
    <row r="890" spans="1:7" ht="47.25" hidden="1">
      <c r="A890" s="25" t="s">
        <v>295</v>
      </c>
      <c r="B890" s="20" t="s">
        <v>508</v>
      </c>
      <c r="C890" s="20" t="s">
        <v>135</v>
      </c>
      <c r="D890" s="20" t="s">
        <v>1087</v>
      </c>
      <c r="E890" s="20"/>
      <c r="F890" s="6">
        <f>'Пр.5 Рд,пр, ЦС,ВР 20'!F890</f>
        <v>0</v>
      </c>
      <c r="G890" s="6">
        <f t="shared" si="43"/>
        <v>0</v>
      </c>
    </row>
    <row r="891" spans="1:7" ht="47.25" hidden="1">
      <c r="A891" s="25" t="s">
        <v>289</v>
      </c>
      <c r="B891" s="20" t="s">
        <v>508</v>
      </c>
      <c r="C891" s="20" t="s">
        <v>135</v>
      </c>
      <c r="D891" s="20" t="s">
        <v>1087</v>
      </c>
      <c r="E891" s="20" t="s">
        <v>290</v>
      </c>
      <c r="F891" s="6">
        <f>'Пр.5 Рд,пр, ЦС,ВР 20'!F891</f>
        <v>0</v>
      </c>
      <c r="G891" s="6">
        <f t="shared" si="43"/>
        <v>0</v>
      </c>
    </row>
    <row r="892" spans="1:7" ht="15.75" hidden="1">
      <c r="A892" s="25" t="s">
        <v>291</v>
      </c>
      <c r="B892" s="20" t="s">
        <v>508</v>
      </c>
      <c r="C892" s="20" t="s">
        <v>135</v>
      </c>
      <c r="D892" s="20" t="s">
        <v>1087</v>
      </c>
      <c r="E892" s="20" t="s">
        <v>292</v>
      </c>
      <c r="F892" s="6">
        <f>'Пр.5 Рд,пр, ЦС,ВР 20'!F892</f>
        <v>0</v>
      </c>
      <c r="G892" s="6">
        <f t="shared" si="43"/>
        <v>0</v>
      </c>
    </row>
    <row r="893" spans="1:7" ht="31.5" hidden="1">
      <c r="A893" s="25" t="s">
        <v>297</v>
      </c>
      <c r="B893" s="20" t="s">
        <v>508</v>
      </c>
      <c r="C893" s="20" t="s">
        <v>135</v>
      </c>
      <c r="D893" s="20" t="s">
        <v>1088</v>
      </c>
      <c r="E893" s="20"/>
      <c r="F893" s="6">
        <f>'Пр.5 Рд,пр, ЦС,ВР 20'!F893</f>
        <v>0</v>
      </c>
      <c r="G893" s="6">
        <f t="shared" si="43"/>
        <v>0</v>
      </c>
    </row>
    <row r="894" spans="1:7" ht="47.25" hidden="1">
      <c r="A894" s="25" t="s">
        <v>289</v>
      </c>
      <c r="B894" s="20" t="s">
        <v>508</v>
      </c>
      <c r="C894" s="20" t="s">
        <v>135</v>
      </c>
      <c r="D894" s="20" t="s">
        <v>1088</v>
      </c>
      <c r="E894" s="20" t="s">
        <v>290</v>
      </c>
      <c r="F894" s="6">
        <f>'Пр.5 Рд,пр, ЦС,ВР 20'!F894</f>
        <v>0</v>
      </c>
      <c r="G894" s="6">
        <f t="shared" si="43"/>
        <v>0</v>
      </c>
    </row>
    <row r="895" spans="1:7" ht="15.75" hidden="1">
      <c r="A895" s="25" t="s">
        <v>291</v>
      </c>
      <c r="B895" s="20" t="s">
        <v>508</v>
      </c>
      <c r="C895" s="20" t="s">
        <v>135</v>
      </c>
      <c r="D895" s="20" t="s">
        <v>1088</v>
      </c>
      <c r="E895" s="20" t="s">
        <v>292</v>
      </c>
      <c r="F895" s="6">
        <f>'Пр.5 Рд,пр, ЦС,ВР 20'!F895</f>
        <v>0</v>
      </c>
      <c r="G895" s="6">
        <f t="shared" si="43"/>
        <v>0</v>
      </c>
    </row>
    <row r="896" spans="1:7" ht="15.75">
      <c r="A896" s="25" t="s">
        <v>880</v>
      </c>
      <c r="B896" s="20" t="s">
        <v>508</v>
      </c>
      <c r="C896" s="20" t="s">
        <v>135</v>
      </c>
      <c r="D896" s="20" t="s">
        <v>1089</v>
      </c>
      <c r="E896" s="20"/>
      <c r="F896" s="6">
        <f>'Пр.5 Рд,пр, ЦС,ВР 20'!F896</f>
        <v>36</v>
      </c>
      <c r="G896" s="6">
        <f t="shared" si="43"/>
        <v>36</v>
      </c>
    </row>
    <row r="897" spans="1:7" ht="47.25">
      <c r="A897" s="25" t="s">
        <v>289</v>
      </c>
      <c r="B897" s="20" t="s">
        <v>508</v>
      </c>
      <c r="C897" s="20" t="s">
        <v>135</v>
      </c>
      <c r="D897" s="20" t="s">
        <v>1089</v>
      </c>
      <c r="E897" s="20" t="s">
        <v>290</v>
      </c>
      <c r="F897" s="6">
        <f>'Пр.5 Рд,пр, ЦС,ВР 20'!F897</f>
        <v>36</v>
      </c>
      <c r="G897" s="6">
        <f t="shared" si="43"/>
        <v>36</v>
      </c>
    </row>
    <row r="898" spans="1:7" ht="15.75">
      <c r="A898" s="25" t="s">
        <v>291</v>
      </c>
      <c r="B898" s="20" t="s">
        <v>508</v>
      </c>
      <c r="C898" s="20" t="s">
        <v>135</v>
      </c>
      <c r="D898" s="20" t="s">
        <v>1089</v>
      </c>
      <c r="E898" s="20" t="s">
        <v>292</v>
      </c>
      <c r="F898" s="6">
        <f>'Пр.5 Рд,пр, ЦС,ВР 20'!F898</f>
        <v>36</v>
      </c>
      <c r="G898" s="6">
        <f t="shared" si="43"/>
        <v>36</v>
      </c>
    </row>
    <row r="899" spans="1:7" ht="47.25">
      <c r="A899" s="23" t="s">
        <v>1084</v>
      </c>
      <c r="B899" s="24" t="s">
        <v>508</v>
      </c>
      <c r="C899" s="24" t="s">
        <v>135</v>
      </c>
      <c r="D899" s="24" t="s">
        <v>1086</v>
      </c>
      <c r="E899" s="24"/>
      <c r="F899" s="4">
        <f>F900+F903</f>
        <v>800</v>
      </c>
      <c r="G899" s="4">
        <f>G900+G903</f>
        <v>800</v>
      </c>
    </row>
    <row r="900" spans="1:7" ht="31.5" hidden="1">
      <c r="A900" s="25" t="s">
        <v>819</v>
      </c>
      <c r="B900" s="20" t="s">
        <v>508</v>
      </c>
      <c r="C900" s="20" t="s">
        <v>135</v>
      </c>
      <c r="D900" s="20" t="s">
        <v>1090</v>
      </c>
      <c r="E900" s="20"/>
      <c r="F900" s="6">
        <f>'Пр.5 Рд,пр, ЦС,ВР 20'!F900</f>
        <v>0</v>
      </c>
      <c r="G900" s="6">
        <f t="shared" si="43"/>
        <v>0</v>
      </c>
    </row>
    <row r="901" spans="1:7" ht="47.25" hidden="1">
      <c r="A901" s="25" t="s">
        <v>289</v>
      </c>
      <c r="B901" s="20" t="s">
        <v>508</v>
      </c>
      <c r="C901" s="20" t="s">
        <v>135</v>
      </c>
      <c r="D901" s="20" t="s">
        <v>1090</v>
      </c>
      <c r="E901" s="20" t="s">
        <v>290</v>
      </c>
      <c r="F901" s="6">
        <f>'Пр.5 Рд,пр, ЦС,ВР 20'!F901</f>
        <v>0</v>
      </c>
      <c r="G901" s="6">
        <f t="shared" si="43"/>
        <v>0</v>
      </c>
    </row>
    <row r="902" spans="1:7" ht="15.75" hidden="1">
      <c r="A902" s="25" t="s">
        <v>291</v>
      </c>
      <c r="B902" s="20" t="s">
        <v>508</v>
      </c>
      <c r="C902" s="20" t="s">
        <v>135</v>
      </c>
      <c r="D902" s="20" t="s">
        <v>1090</v>
      </c>
      <c r="E902" s="20" t="s">
        <v>292</v>
      </c>
      <c r="F902" s="6">
        <f>'Пр.5 Рд,пр, ЦС,ВР 20'!F902</f>
        <v>0</v>
      </c>
      <c r="G902" s="6">
        <f t="shared" si="43"/>
        <v>0</v>
      </c>
    </row>
    <row r="903" spans="1:7" ht="47.25">
      <c r="A903" s="46" t="s">
        <v>789</v>
      </c>
      <c r="B903" s="20" t="s">
        <v>508</v>
      </c>
      <c r="C903" s="20" t="s">
        <v>135</v>
      </c>
      <c r="D903" s="20" t="s">
        <v>1091</v>
      </c>
      <c r="E903" s="20"/>
      <c r="F903" s="6">
        <f>'Пр.5 Рд,пр, ЦС,ВР 20'!F903</f>
        <v>800</v>
      </c>
      <c r="G903" s="6">
        <f t="shared" si="43"/>
        <v>800</v>
      </c>
    </row>
    <row r="904" spans="1:7" ht="47.25">
      <c r="A904" s="32" t="s">
        <v>289</v>
      </c>
      <c r="B904" s="20" t="s">
        <v>508</v>
      </c>
      <c r="C904" s="20" t="s">
        <v>135</v>
      </c>
      <c r="D904" s="20" t="s">
        <v>1091</v>
      </c>
      <c r="E904" s="20" t="s">
        <v>290</v>
      </c>
      <c r="F904" s="6">
        <f>'Пр.5 Рд,пр, ЦС,ВР 20'!F904</f>
        <v>800</v>
      </c>
      <c r="G904" s="6">
        <f t="shared" si="43"/>
        <v>800</v>
      </c>
    </row>
    <row r="905" spans="1:7" ht="15.75">
      <c r="A905" s="32" t="s">
        <v>291</v>
      </c>
      <c r="B905" s="20" t="s">
        <v>508</v>
      </c>
      <c r="C905" s="20" t="s">
        <v>135</v>
      </c>
      <c r="D905" s="20" t="s">
        <v>1091</v>
      </c>
      <c r="E905" s="20" t="s">
        <v>292</v>
      </c>
      <c r="F905" s="6">
        <f>'Пр.5 Рд,пр, ЦС,ВР 20'!F905</f>
        <v>800</v>
      </c>
      <c r="G905" s="6">
        <f t="shared" si="43"/>
        <v>800</v>
      </c>
    </row>
    <row r="906" spans="1:7" ht="63">
      <c r="A906" s="23" t="s">
        <v>976</v>
      </c>
      <c r="B906" s="24" t="s">
        <v>508</v>
      </c>
      <c r="C906" s="24" t="s">
        <v>135</v>
      </c>
      <c r="D906" s="24" t="s">
        <v>1092</v>
      </c>
      <c r="E906" s="24"/>
      <c r="F906" s="4">
        <f>F907</f>
        <v>870.2</v>
      </c>
      <c r="G906" s="4">
        <f>G907</f>
        <v>870.2</v>
      </c>
    </row>
    <row r="907" spans="1:7" ht="126">
      <c r="A907" s="32" t="s">
        <v>481</v>
      </c>
      <c r="B907" s="20" t="s">
        <v>508</v>
      </c>
      <c r="C907" s="20" t="s">
        <v>135</v>
      </c>
      <c r="D907" s="20" t="s">
        <v>1093</v>
      </c>
      <c r="E907" s="20"/>
      <c r="F907" s="6">
        <f>'Пр.5 Рд,пр, ЦС,ВР 20'!F907</f>
        <v>870.2</v>
      </c>
      <c r="G907" s="6">
        <f t="shared" si="43"/>
        <v>870.2</v>
      </c>
    </row>
    <row r="908" spans="1:7" ht="47.25">
      <c r="A908" s="25" t="s">
        <v>289</v>
      </c>
      <c r="B908" s="20" t="s">
        <v>508</v>
      </c>
      <c r="C908" s="20" t="s">
        <v>135</v>
      </c>
      <c r="D908" s="20" t="s">
        <v>1093</v>
      </c>
      <c r="E908" s="20" t="s">
        <v>290</v>
      </c>
      <c r="F908" s="6">
        <f>'Пр.5 Рд,пр, ЦС,ВР 20'!F908</f>
        <v>870.2</v>
      </c>
      <c r="G908" s="6">
        <f t="shared" si="43"/>
        <v>870.2</v>
      </c>
    </row>
    <row r="909" spans="1:7" ht="15.75">
      <c r="A909" s="25" t="s">
        <v>291</v>
      </c>
      <c r="B909" s="20" t="s">
        <v>508</v>
      </c>
      <c r="C909" s="20" t="s">
        <v>135</v>
      </c>
      <c r="D909" s="20" t="s">
        <v>1093</v>
      </c>
      <c r="E909" s="20" t="s">
        <v>292</v>
      </c>
      <c r="F909" s="6">
        <f>'Пр.5 Рд,пр, ЦС,ВР 20'!F909</f>
        <v>870.2</v>
      </c>
      <c r="G909" s="6">
        <f t="shared" si="43"/>
        <v>870.2</v>
      </c>
    </row>
    <row r="910" spans="1:7" ht="78.75">
      <c r="A910" s="42" t="s">
        <v>1188</v>
      </c>
      <c r="B910" s="24" t="s">
        <v>508</v>
      </c>
      <c r="C910" s="24" t="s">
        <v>135</v>
      </c>
      <c r="D910" s="24" t="s">
        <v>730</v>
      </c>
      <c r="E910" s="324"/>
      <c r="F910" s="4">
        <f aca="true" t="shared" si="48" ref="F910:G910">F911</f>
        <v>540.1</v>
      </c>
      <c r="G910" s="4">
        <f t="shared" si="48"/>
        <v>540.1</v>
      </c>
    </row>
    <row r="911" spans="1:7" ht="63">
      <c r="A911" s="42" t="s">
        <v>954</v>
      </c>
      <c r="B911" s="24" t="s">
        <v>508</v>
      </c>
      <c r="C911" s="24" t="s">
        <v>135</v>
      </c>
      <c r="D911" s="24" t="s">
        <v>952</v>
      </c>
      <c r="E911" s="324"/>
      <c r="F911" s="4">
        <f>F912</f>
        <v>540.1</v>
      </c>
      <c r="G911" s="4">
        <f>G912</f>
        <v>540.1</v>
      </c>
    </row>
    <row r="912" spans="1:7" ht="47.25">
      <c r="A912" s="107" t="s">
        <v>805</v>
      </c>
      <c r="B912" s="20" t="s">
        <v>508</v>
      </c>
      <c r="C912" s="20" t="s">
        <v>135</v>
      </c>
      <c r="D912" s="20" t="s">
        <v>1035</v>
      </c>
      <c r="E912" s="33"/>
      <c r="F912" s="6">
        <f>'Пр.5 Рд,пр, ЦС,ВР 20'!F912</f>
        <v>540.1</v>
      </c>
      <c r="G912" s="6">
        <f t="shared" si="43"/>
        <v>540.1</v>
      </c>
    </row>
    <row r="913" spans="1:7" ht="47.25">
      <c r="A913" s="30" t="s">
        <v>289</v>
      </c>
      <c r="B913" s="20" t="s">
        <v>508</v>
      </c>
      <c r="C913" s="20" t="s">
        <v>135</v>
      </c>
      <c r="D913" s="20" t="s">
        <v>1035</v>
      </c>
      <c r="E913" s="33" t="s">
        <v>290</v>
      </c>
      <c r="F913" s="6">
        <f>'Пр.5 Рд,пр, ЦС,ВР 20'!F913</f>
        <v>540.1</v>
      </c>
      <c r="G913" s="6">
        <f aca="true" t="shared" si="49" ref="G913:G965">F913</f>
        <v>540.1</v>
      </c>
    </row>
    <row r="914" spans="1:7" ht="15.75">
      <c r="A914" s="208" t="s">
        <v>291</v>
      </c>
      <c r="B914" s="20" t="s">
        <v>508</v>
      </c>
      <c r="C914" s="20" t="s">
        <v>135</v>
      </c>
      <c r="D914" s="20" t="s">
        <v>1035</v>
      </c>
      <c r="E914" s="33" t="s">
        <v>292</v>
      </c>
      <c r="F914" s="6">
        <f>'Пр.5 Рд,пр, ЦС,ВР 20'!F914</f>
        <v>540.1</v>
      </c>
      <c r="G914" s="6">
        <f t="shared" si="49"/>
        <v>540.1</v>
      </c>
    </row>
    <row r="915" spans="1:7" ht="31.5">
      <c r="A915" s="23" t="s">
        <v>517</v>
      </c>
      <c r="B915" s="24" t="s">
        <v>508</v>
      </c>
      <c r="C915" s="24" t="s">
        <v>251</v>
      </c>
      <c r="D915" s="24"/>
      <c r="E915" s="24"/>
      <c r="F915" s="4">
        <f>F916+F924+F936</f>
        <v>12606.723</v>
      </c>
      <c r="G915" s="4">
        <f>G916+G924+G936</f>
        <v>12606.723</v>
      </c>
    </row>
    <row r="916" spans="1:7" ht="31.5">
      <c r="A916" s="23" t="s">
        <v>995</v>
      </c>
      <c r="B916" s="24" t="s">
        <v>508</v>
      </c>
      <c r="C916" s="24" t="s">
        <v>251</v>
      </c>
      <c r="D916" s="24" t="s">
        <v>909</v>
      </c>
      <c r="E916" s="24"/>
      <c r="F916" s="4">
        <f>F917</f>
        <v>4728.834</v>
      </c>
      <c r="G916" s="4">
        <f>G917</f>
        <v>4728.834</v>
      </c>
    </row>
    <row r="917" spans="1:7" ht="15.75">
      <c r="A917" s="23" t="s">
        <v>996</v>
      </c>
      <c r="B917" s="24" t="s">
        <v>508</v>
      </c>
      <c r="C917" s="24" t="s">
        <v>251</v>
      </c>
      <c r="D917" s="24" t="s">
        <v>910</v>
      </c>
      <c r="E917" s="24"/>
      <c r="F917" s="4">
        <f>F918+F921</f>
        <v>4728.834</v>
      </c>
      <c r="G917" s="4">
        <f>G918+G921</f>
        <v>4728.834</v>
      </c>
    </row>
    <row r="918" spans="1:7" ht="31.5">
      <c r="A918" s="25" t="s">
        <v>972</v>
      </c>
      <c r="B918" s="20" t="s">
        <v>508</v>
      </c>
      <c r="C918" s="20" t="s">
        <v>251</v>
      </c>
      <c r="D918" s="20" t="s">
        <v>911</v>
      </c>
      <c r="E918" s="20"/>
      <c r="F918" s="6">
        <f>'Пр.5 Рд,пр, ЦС,ВР 20'!F918</f>
        <v>4628.834</v>
      </c>
      <c r="G918" s="6">
        <f t="shared" si="49"/>
        <v>4628.834</v>
      </c>
    </row>
    <row r="919" spans="1:7" ht="94.5">
      <c r="A919" s="25" t="s">
        <v>144</v>
      </c>
      <c r="B919" s="20" t="s">
        <v>508</v>
      </c>
      <c r="C919" s="20" t="s">
        <v>251</v>
      </c>
      <c r="D919" s="20" t="s">
        <v>911</v>
      </c>
      <c r="E919" s="20" t="s">
        <v>145</v>
      </c>
      <c r="F919" s="6">
        <f>'Пр.5 Рд,пр, ЦС,ВР 20'!F919</f>
        <v>4628.834</v>
      </c>
      <c r="G919" s="6">
        <f t="shared" si="49"/>
        <v>4628.834</v>
      </c>
    </row>
    <row r="920" spans="1:7" ht="47.25">
      <c r="A920" s="25" t="s">
        <v>146</v>
      </c>
      <c r="B920" s="20" t="s">
        <v>508</v>
      </c>
      <c r="C920" s="20" t="s">
        <v>251</v>
      </c>
      <c r="D920" s="20" t="s">
        <v>911</v>
      </c>
      <c r="E920" s="20" t="s">
        <v>147</v>
      </c>
      <c r="F920" s="6">
        <f>'Пр.5 Рд,пр, ЦС,ВР 20'!F920</f>
        <v>4628.834</v>
      </c>
      <c r="G920" s="6">
        <f t="shared" si="49"/>
        <v>4628.834</v>
      </c>
    </row>
    <row r="921" spans="1:7" ht="47.25">
      <c r="A921" s="25" t="s">
        <v>889</v>
      </c>
      <c r="B921" s="20" t="s">
        <v>508</v>
      </c>
      <c r="C921" s="20" t="s">
        <v>251</v>
      </c>
      <c r="D921" s="20" t="s">
        <v>913</v>
      </c>
      <c r="E921" s="20"/>
      <c r="F921" s="6">
        <f>'Пр.5 Рд,пр, ЦС,ВР 20'!F921</f>
        <v>100</v>
      </c>
      <c r="G921" s="6">
        <f t="shared" si="49"/>
        <v>100</v>
      </c>
    </row>
    <row r="922" spans="1:7" ht="94.5">
      <c r="A922" s="25" t="s">
        <v>144</v>
      </c>
      <c r="B922" s="20" t="s">
        <v>508</v>
      </c>
      <c r="C922" s="20" t="s">
        <v>251</v>
      </c>
      <c r="D922" s="20" t="s">
        <v>913</v>
      </c>
      <c r="E922" s="20" t="s">
        <v>145</v>
      </c>
      <c r="F922" s="6">
        <f>'Пр.5 Рд,пр, ЦС,ВР 20'!F922</f>
        <v>100</v>
      </c>
      <c r="G922" s="6">
        <f t="shared" si="49"/>
        <v>100</v>
      </c>
    </row>
    <row r="923" spans="1:7" ht="47.25">
      <c r="A923" s="25" t="s">
        <v>146</v>
      </c>
      <c r="B923" s="20" t="s">
        <v>508</v>
      </c>
      <c r="C923" s="20" t="s">
        <v>251</v>
      </c>
      <c r="D923" s="20" t="s">
        <v>913</v>
      </c>
      <c r="E923" s="20" t="s">
        <v>147</v>
      </c>
      <c r="F923" s="6">
        <f>'Пр.5 Рд,пр, ЦС,ВР 20'!F923</f>
        <v>100</v>
      </c>
      <c r="G923" s="6">
        <f t="shared" si="49"/>
        <v>100</v>
      </c>
    </row>
    <row r="924" spans="1:7" ht="15.75">
      <c r="A924" s="23" t="s">
        <v>158</v>
      </c>
      <c r="B924" s="24" t="s">
        <v>508</v>
      </c>
      <c r="C924" s="24" t="s">
        <v>251</v>
      </c>
      <c r="D924" s="24" t="s">
        <v>917</v>
      </c>
      <c r="E924" s="24"/>
      <c r="F924" s="4">
        <f>F925</f>
        <v>5377.889</v>
      </c>
      <c r="G924" s="4">
        <f>G925</f>
        <v>5377.889</v>
      </c>
    </row>
    <row r="925" spans="1:7" ht="47.25">
      <c r="A925" s="23" t="s">
        <v>1009</v>
      </c>
      <c r="B925" s="24" t="s">
        <v>508</v>
      </c>
      <c r="C925" s="24" t="s">
        <v>251</v>
      </c>
      <c r="D925" s="24" t="s">
        <v>992</v>
      </c>
      <c r="E925" s="24"/>
      <c r="F925" s="4">
        <f>F926+F933</f>
        <v>5377.889</v>
      </c>
      <c r="G925" s="4">
        <f>G926+G933</f>
        <v>5377.889</v>
      </c>
    </row>
    <row r="926" spans="1:7" ht="31.5">
      <c r="A926" s="25" t="s">
        <v>979</v>
      </c>
      <c r="B926" s="20" t="s">
        <v>508</v>
      </c>
      <c r="C926" s="20" t="s">
        <v>251</v>
      </c>
      <c r="D926" s="20" t="s">
        <v>993</v>
      </c>
      <c r="E926" s="20"/>
      <c r="F926" s="6">
        <f>'Пр.5 Рд,пр, ЦС,ВР 20'!F926</f>
        <v>5157.889</v>
      </c>
      <c r="G926" s="6">
        <f t="shared" si="49"/>
        <v>5157.889</v>
      </c>
    </row>
    <row r="927" spans="1:7" ht="94.5">
      <c r="A927" s="25" t="s">
        <v>144</v>
      </c>
      <c r="B927" s="20" t="s">
        <v>508</v>
      </c>
      <c r="C927" s="20" t="s">
        <v>251</v>
      </c>
      <c r="D927" s="20" t="s">
        <v>993</v>
      </c>
      <c r="E927" s="20" t="s">
        <v>145</v>
      </c>
      <c r="F927" s="6">
        <f>'Пр.5 Рд,пр, ЦС,ВР 20'!F927</f>
        <v>4508.889</v>
      </c>
      <c r="G927" s="6">
        <f t="shared" si="49"/>
        <v>4508.889</v>
      </c>
    </row>
    <row r="928" spans="1:7" ht="31.5">
      <c r="A928" s="25" t="s">
        <v>359</v>
      </c>
      <c r="B928" s="20" t="s">
        <v>508</v>
      </c>
      <c r="C928" s="20" t="s">
        <v>251</v>
      </c>
      <c r="D928" s="20" t="s">
        <v>993</v>
      </c>
      <c r="E928" s="20" t="s">
        <v>226</v>
      </c>
      <c r="F928" s="6">
        <f>'Пр.5 Рд,пр, ЦС,ВР 20'!F928</f>
        <v>4508.889</v>
      </c>
      <c r="G928" s="6">
        <f t="shared" si="49"/>
        <v>4508.889</v>
      </c>
    </row>
    <row r="929" spans="1:7" ht="31.5">
      <c r="A929" s="25" t="s">
        <v>148</v>
      </c>
      <c r="B929" s="20" t="s">
        <v>508</v>
      </c>
      <c r="C929" s="20" t="s">
        <v>251</v>
      </c>
      <c r="D929" s="20" t="s">
        <v>993</v>
      </c>
      <c r="E929" s="20" t="s">
        <v>149</v>
      </c>
      <c r="F929" s="6">
        <f>'Пр.5 Рд,пр, ЦС,ВР 20'!F929</f>
        <v>598.0000000000001</v>
      </c>
      <c r="G929" s="6">
        <f t="shared" si="49"/>
        <v>598.0000000000001</v>
      </c>
    </row>
    <row r="930" spans="1:7" ht="47.25">
      <c r="A930" s="25" t="s">
        <v>150</v>
      </c>
      <c r="B930" s="20" t="s">
        <v>508</v>
      </c>
      <c r="C930" s="20" t="s">
        <v>251</v>
      </c>
      <c r="D930" s="20" t="s">
        <v>993</v>
      </c>
      <c r="E930" s="20" t="s">
        <v>151</v>
      </c>
      <c r="F930" s="6">
        <f>'Пр.5 Рд,пр, ЦС,ВР 20'!F930</f>
        <v>598.0000000000001</v>
      </c>
      <c r="G930" s="6">
        <f t="shared" si="49"/>
        <v>598.0000000000001</v>
      </c>
    </row>
    <row r="931" spans="1:7" ht="15.75">
      <c r="A931" s="25" t="s">
        <v>152</v>
      </c>
      <c r="B931" s="20" t="s">
        <v>508</v>
      </c>
      <c r="C931" s="20" t="s">
        <v>251</v>
      </c>
      <c r="D931" s="20" t="s">
        <v>993</v>
      </c>
      <c r="E931" s="20" t="s">
        <v>162</v>
      </c>
      <c r="F931" s="6">
        <f>'Пр.5 Рд,пр, ЦС,ВР 20'!F931</f>
        <v>51</v>
      </c>
      <c r="G931" s="6">
        <f t="shared" si="49"/>
        <v>51</v>
      </c>
    </row>
    <row r="932" spans="1:7" ht="31.5">
      <c r="A932" s="25" t="s">
        <v>585</v>
      </c>
      <c r="B932" s="20" t="s">
        <v>508</v>
      </c>
      <c r="C932" s="20" t="s">
        <v>251</v>
      </c>
      <c r="D932" s="20" t="s">
        <v>993</v>
      </c>
      <c r="E932" s="20" t="s">
        <v>155</v>
      </c>
      <c r="F932" s="6">
        <f>'Пр.5 Рд,пр, ЦС,ВР 20'!F932</f>
        <v>51</v>
      </c>
      <c r="G932" s="6">
        <f t="shared" si="49"/>
        <v>51</v>
      </c>
    </row>
    <row r="933" spans="1:7" ht="47.25">
      <c r="A933" s="25" t="s">
        <v>889</v>
      </c>
      <c r="B933" s="20" t="s">
        <v>508</v>
      </c>
      <c r="C933" s="20" t="s">
        <v>251</v>
      </c>
      <c r="D933" s="20" t="s">
        <v>994</v>
      </c>
      <c r="E933" s="20"/>
      <c r="F933" s="6">
        <f>'Пр.5 Рд,пр, ЦС,ВР 20'!F933</f>
        <v>220</v>
      </c>
      <c r="G933" s="6">
        <f t="shared" si="49"/>
        <v>220</v>
      </c>
    </row>
    <row r="934" spans="1:7" ht="94.5">
      <c r="A934" s="25" t="s">
        <v>144</v>
      </c>
      <c r="B934" s="20" t="s">
        <v>508</v>
      </c>
      <c r="C934" s="20" t="s">
        <v>251</v>
      </c>
      <c r="D934" s="20" t="s">
        <v>994</v>
      </c>
      <c r="E934" s="20" t="s">
        <v>145</v>
      </c>
      <c r="F934" s="6">
        <f>'Пр.5 Рд,пр, ЦС,ВР 20'!F934</f>
        <v>220</v>
      </c>
      <c r="G934" s="6">
        <f t="shared" si="49"/>
        <v>220</v>
      </c>
    </row>
    <row r="935" spans="1:7" ht="47.25">
      <c r="A935" s="25" t="s">
        <v>146</v>
      </c>
      <c r="B935" s="20" t="s">
        <v>508</v>
      </c>
      <c r="C935" s="20" t="s">
        <v>251</v>
      </c>
      <c r="D935" s="20" t="s">
        <v>994</v>
      </c>
      <c r="E935" s="20" t="s">
        <v>147</v>
      </c>
      <c r="F935" s="6">
        <f>'Пр.5 Рд,пр, ЦС,ВР 20'!F935</f>
        <v>220</v>
      </c>
      <c r="G935" s="6">
        <f t="shared" si="49"/>
        <v>220</v>
      </c>
    </row>
    <row r="936" spans="1:7" ht="63">
      <c r="A936" s="42" t="s">
        <v>498</v>
      </c>
      <c r="B936" s="24" t="s">
        <v>508</v>
      </c>
      <c r="C936" s="24" t="s">
        <v>251</v>
      </c>
      <c r="D936" s="7" t="s">
        <v>499</v>
      </c>
      <c r="E936" s="24"/>
      <c r="F936" s="4">
        <f aca="true" t="shared" si="50" ref="F936:G938">F937</f>
        <v>2500</v>
      </c>
      <c r="G936" s="4">
        <f t="shared" si="50"/>
        <v>2500</v>
      </c>
    </row>
    <row r="937" spans="1:7" ht="47.25">
      <c r="A937" s="60" t="s">
        <v>518</v>
      </c>
      <c r="B937" s="24" t="s">
        <v>508</v>
      </c>
      <c r="C937" s="24" t="s">
        <v>251</v>
      </c>
      <c r="D937" s="7" t="s">
        <v>519</v>
      </c>
      <c r="E937" s="24"/>
      <c r="F937" s="4">
        <f t="shared" si="50"/>
        <v>2500</v>
      </c>
      <c r="G937" s="4">
        <f t="shared" si="50"/>
        <v>2500</v>
      </c>
    </row>
    <row r="938" spans="1:7" ht="47.25">
      <c r="A938" s="60" t="s">
        <v>1094</v>
      </c>
      <c r="B938" s="24" t="s">
        <v>508</v>
      </c>
      <c r="C938" s="24" t="s">
        <v>251</v>
      </c>
      <c r="D938" s="7" t="s">
        <v>1095</v>
      </c>
      <c r="E938" s="24"/>
      <c r="F938" s="4">
        <f t="shared" si="50"/>
        <v>2500</v>
      </c>
      <c r="G938" s="4">
        <f t="shared" si="50"/>
        <v>2500</v>
      </c>
    </row>
    <row r="939" spans="1:7" ht="31.5">
      <c r="A939" s="30" t="s">
        <v>1096</v>
      </c>
      <c r="B939" s="20" t="s">
        <v>508</v>
      </c>
      <c r="C939" s="20" t="s">
        <v>251</v>
      </c>
      <c r="D939" s="41" t="s">
        <v>1253</v>
      </c>
      <c r="E939" s="20"/>
      <c r="F939" s="6">
        <f>'Пр.5 Рд,пр, ЦС,ВР 20'!F939</f>
        <v>2500</v>
      </c>
      <c r="G939" s="6">
        <f t="shared" si="49"/>
        <v>2500</v>
      </c>
    </row>
    <row r="940" spans="1:7" ht="94.5">
      <c r="A940" s="25" t="s">
        <v>144</v>
      </c>
      <c r="B940" s="20" t="s">
        <v>508</v>
      </c>
      <c r="C940" s="20" t="s">
        <v>251</v>
      </c>
      <c r="D940" s="41" t="s">
        <v>1253</v>
      </c>
      <c r="E940" s="20" t="s">
        <v>145</v>
      </c>
      <c r="F940" s="6">
        <f>'Пр.5 Рд,пр, ЦС,ВР 20'!F940</f>
        <v>1611</v>
      </c>
      <c r="G940" s="6">
        <f t="shared" si="49"/>
        <v>1611</v>
      </c>
    </row>
    <row r="941" spans="1:7" ht="31.5">
      <c r="A941" s="25" t="s">
        <v>359</v>
      </c>
      <c r="B941" s="20" t="s">
        <v>508</v>
      </c>
      <c r="C941" s="20" t="s">
        <v>251</v>
      </c>
      <c r="D941" s="41" t="s">
        <v>1253</v>
      </c>
      <c r="E941" s="20" t="s">
        <v>226</v>
      </c>
      <c r="F941" s="6">
        <f>'Пр.5 Рд,пр, ЦС,ВР 20'!F941</f>
        <v>1611</v>
      </c>
      <c r="G941" s="6">
        <f t="shared" si="49"/>
        <v>1611</v>
      </c>
    </row>
    <row r="942" spans="1:7" ht="31.5">
      <c r="A942" s="30" t="s">
        <v>148</v>
      </c>
      <c r="B942" s="20" t="s">
        <v>508</v>
      </c>
      <c r="C942" s="20" t="s">
        <v>251</v>
      </c>
      <c r="D942" s="41" t="s">
        <v>1253</v>
      </c>
      <c r="E942" s="20" t="s">
        <v>149</v>
      </c>
      <c r="F942" s="6">
        <f>'Пр.5 Рд,пр, ЦС,ВР 20'!F942</f>
        <v>889</v>
      </c>
      <c r="G942" s="6">
        <f t="shared" si="49"/>
        <v>889</v>
      </c>
    </row>
    <row r="943" spans="1:7" ht="47.25">
      <c r="A943" s="30" t="s">
        <v>150</v>
      </c>
      <c r="B943" s="20" t="s">
        <v>508</v>
      </c>
      <c r="C943" s="20" t="s">
        <v>251</v>
      </c>
      <c r="D943" s="41" t="s">
        <v>1253</v>
      </c>
      <c r="E943" s="20" t="s">
        <v>151</v>
      </c>
      <c r="F943" s="6">
        <f>'Пр.5 Рд,пр, ЦС,ВР 20'!F943</f>
        <v>889</v>
      </c>
      <c r="G943" s="6">
        <f t="shared" si="49"/>
        <v>889</v>
      </c>
    </row>
    <row r="944" spans="1:7" ht="15.75">
      <c r="A944" s="42" t="s">
        <v>599</v>
      </c>
      <c r="B944" s="7" t="s">
        <v>255</v>
      </c>
      <c r="C944" s="41"/>
      <c r="D944" s="41"/>
      <c r="E944" s="41"/>
      <c r="F944" s="4">
        <f aca="true" t="shared" si="51" ref="F944:G944">F945</f>
        <v>7451</v>
      </c>
      <c r="G944" s="4">
        <f t="shared" si="51"/>
        <v>7451</v>
      </c>
    </row>
    <row r="945" spans="1:7" ht="15.75">
      <c r="A945" s="42" t="s">
        <v>600</v>
      </c>
      <c r="B945" s="7" t="s">
        <v>255</v>
      </c>
      <c r="C945" s="7" t="s">
        <v>230</v>
      </c>
      <c r="D945" s="7"/>
      <c r="E945" s="7"/>
      <c r="F945" s="4">
        <f>F946+F958</f>
        <v>7451</v>
      </c>
      <c r="G945" s="4">
        <f>G946+G958</f>
        <v>7451</v>
      </c>
    </row>
    <row r="946" spans="1:7" ht="15.75">
      <c r="A946" s="23" t="s">
        <v>158</v>
      </c>
      <c r="B946" s="24" t="s">
        <v>255</v>
      </c>
      <c r="C946" s="24" t="s">
        <v>230</v>
      </c>
      <c r="D946" s="24" t="s">
        <v>917</v>
      </c>
      <c r="E946" s="24"/>
      <c r="F946" s="4">
        <f>F947</f>
        <v>7246</v>
      </c>
      <c r="G946" s="4">
        <f>G947</f>
        <v>7246</v>
      </c>
    </row>
    <row r="947" spans="1:7" ht="15.75">
      <c r="A947" s="23" t="s">
        <v>1098</v>
      </c>
      <c r="B947" s="24" t="s">
        <v>255</v>
      </c>
      <c r="C947" s="24" t="s">
        <v>230</v>
      </c>
      <c r="D947" s="24" t="s">
        <v>1097</v>
      </c>
      <c r="E947" s="24"/>
      <c r="F947" s="4">
        <f>F948+F955</f>
        <v>7246</v>
      </c>
      <c r="G947" s="4">
        <f>G948+G955</f>
        <v>7246</v>
      </c>
    </row>
    <row r="948" spans="1:7" ht="31.5">
      <c r="A948" s="25" t="s">
        <v>837</v>
      </c>
      <c r="B948" s="20" t="s">
        <v>255</v>
      </c>
      <c r="C948" s="20" t="s">
        <v>230</v>
      </c>
      <c r="D948" s="20" t="s">
        <v>1099</v>
      </c>
      <c r="E948" s="20"/>
      <c r="F948" s="6">
        <f>'Пр.5 Рд,пр, ЦС,ВР 20'!F948</f>
        <v>7031</v>
      </c>
      <c r="G948" s="6">
        <f t="shared" si="49"/>
        <v>7031</v>
      </c>
    </row>
    <row r="949" spans="1:7" ht="94.5">
      <c r="A949" s="25" t="s">
        <v>144</v>
      </c>
      <c r="B949" s="20" t="s">
        <v>255</v>
      </c>
      <c r="C949" s="20" t="s">
        <v>230</v>
      </c>
      <c r="D949" s="20" t="s">
        <v>1099</v>
      </c>
      <c r="E949" s="20" t="s">
        <v>145</v>
      </c>
      <c r="F949" s="6">
        <f>'Пр.5 Рд,пр, ЦС,ВР 20'!F949</f>
        <v>5525</v>
      </c>
      <c r="G949" s="6">
        <f t="shared" si="49"/>
        <v>5525</v>
      </c>
    </row>
    <row r="950" spans="1:7" ht="31.5">
      <c r="A950" s="25" t="s">
        <v>225</v>
      </c>
      <c r="B950" s="20" t="s">
        <v>255</v>
      </c>
      <c r="C950" s="20" t="s">
        <v>230</v>
      </c>
      <c r="D950" s="20" t="s">
        <v>1099</v>
      </c>
      <c r="E950" s="20" t="s">
        <v>226</v>
      </c>
      <c r="F950" s="6">
        <f>'Пр.5 Рд,пр, ЦС,ВР 20'!F950</f>
        <v>5525</v>
      </c>
      <c r="G950" s="6">
        <f t="shared" si="49"/>
        <v>5525</v>
      </c>
    </row>
    <row r="951" spans="1:7" ht="31.5">
      <c r="A951" s="25" t="s">
        <v>148</v>
      </c>
      <c r="B951" s="20" t="s">
        <v>255</v>
      </c>
      <c r="C951" s="20" t="s">
        <v>230</v>
      </c>
      <c r="D951" s="20" t="s">
        <v>1099</v>
      </c>
      <c r="E951" s="20" t="s">
        <v>149</v>
      </c>
      <c r="F951" s="6">
        <f>'Пр.5 Рд,пр, ЦС,ВР 20'!F951</f>
        <v>1456</v>
      </c>
      <c r="G951" s="6">
        <f t="shared" si="49"/>
        <v>1456</v>
      </c>
    </row>
    <row r="952" spans="1:7" ht="47.25">
      <c r="A952" s="25" t="s">
        <v>150</v>
      </c>
      <c r="B952" s="20" t="s">
        <v>255</v>
      </c>
      <c r="C952" s="20" t="s">
        <v>230</v>
      </c>
      <c r="D952" s="20" t="s">
        <v>1099</v>
      </c>
      <c r="E952" s="20" t="s">
        <v>151</v>
      </c>
      <c r="F952" s="6">
        <f>'Пр.5 Рд,пр, ЦС,ВР 20'!F952</f>
        <v>1456</v>
      </c>
      <c r="G952" s="6">
        <f t="shared" si="49"/>
        <v>1456</v>
      </c>
    </row>
    <row r="953" spans="1:7" ht="15.75">
      <c r="A953" s="25" t="s">
        <v>152</v>
      </c>
      <c r="B953" s="20" t="s">
        <v>255</v>
      </c>
      <c r="C953" s="20" t="s">
        <v>230</v>
      </c>
      <c r="D953" s="20" t="s">
        <v>1099</v>
      </c>
      <c r="E953" s="20" t="s">
        <v>162</v>
      </c>
      <c r="F953" s="6">
        <f>'Пр.5 Рд,пр, ЦС,ВР 20'!F953</f>
        <v>50</v>
      </c>
      <c r="G953" s="6">
        <f t="shared" si="49"/>
        <v>50</v>
      </c>
    </row>
    <row r="954" spans="1:7" ht="31.5">
      <c r="A954" s="25" t="s">
        <v>585</v>
      </c>
      <c r="B954" s="20" t="s">
        <v>255</v>
      </c>
      <c r="C954" s="20" t="s">
        <v>230</v>
      </c>
      <c r="D954" s="20" t="s">
        <v>1099</v>
      </c>
      <c r="E954" s="20" t="s">
        <v>155</v>
      </c>
      <c r="F954" s="6">
        <f>'Пр.5 Рд,пр, ЦС,ВР 20'!F954</f>
        <v>50</v>
      </c>
      <c r="G954" s="6">
        <f t="shared" si="49"/>
        <v>50</v>
      </c>
    </row>
    <row r="955" spans="1:7" ht="47.25">
      <c r="A955" s="25" t="s">
        <v>889</v>
      </c>
      <c r="B955" s="20" t="s">
        <v>255</v>
      </c>
      <c r="C955" s="20" t="s">
        <v>230</v>
      </c>
      <c r="D955" s="20" t="s">
        <v>1100</v>
      </c>
      <c r="E955" s="20"/>
      <c r="F955" s="6">
        <f>'Пр.5 Рд,пр, ЦС,ВР 20'!F955</f>
        <v>215</v>
      </c>
      <c r="G955" s="6">
        <f t="shared" si="49"/>
        <v>215</v>
      </c>
    </row>
    <row r="956" spans="1:7" ht="94.5">
      <c r="A956" s="25" t="s">
        <v>144</v>
      </c>
      <c r="B956" s="20" t="s">
        <v>255</v>
      </c>
      <c r="C956" s="20" t="s">
        <v>230</v>
      </c>
      <c r="D956" s="20" t="s">
        <v>1100</v>
      </c>
      <c r="E956" s="20" t="s">
        <v>145</v>
      </c>
      <c r="F956" s="6">
        <f>'Пр.5 Рд,пр, ЦС,ВР 20'!F956</f>
        <v>215</v>
      </c>
      <c r="G956" s="6">
        <f t="shared" si="49"/>
        <v>215</v>
      </c>
    </row>
    <row r="957" spans="1:7" ht="47.25">
      <c r="A957" s="25" t="s">
        <v>146</v>
      </c>
      <c r="B957" s="20" t="s">
        <v>255</v>
      </c>
      <c r="C957" s="20" t="s">
        <v>230</v>
      </c>
      <c r="D957" s="20" t="s">
        <v>1100</v>
      </c>
      <c r="E957" s="20" t="s">
        <v>226</v>
      </c>
      <c r="F957" s="6">
        <f>'Пр.5 Рд,пр, ЦС,ВР 20'!F957</f>
        <v>215</v>
      </c>
      <c r="G957" s="6">
        <f t="shared" si="49"/>
        <v>215</v>
      </c>
    </row>
    <row r="958" spans="1:7" ht="78.75">
      <c r="A958" s="42" t="s">
        <v>1188</v>
      </c>
      <c r="B958" s="24" t="s">
        <v>255</v>
      </c>
      <c r="C958" s="24" t="s">
        <v>230</v>
      </c>
      <c r="D958" s="24" t="s">
        <v>730</v>
      </c>
      <c r="E958" s="324"/>
      <c r="F958" s="4">
        <f>F959</f>
        <v>205</v>
      </c>
      <c r="G958" s="4">
        <f>G959</f>
        <v>205</v>
      </c>
    </row>
    <row r="959" spans="1:7" ht="63">
      <c r="A959" s="42" t="s">
        <v>954</v>
      </c>
      <c r="B959" s="24" t="s">
        <v>255</v>
      </c>
      <c r="C959" s="24" t="s">
        <v>230</v>
      </c>
      <c r="D959" s="24" t="s">
        <v>952</v>
      </c>
      <c r="E959" s="324"/>
      <c r="F959" s="4">
        <f>F960</f>
        <v>205</v>
      </c>
      <c r="G959" s="4">
        <f>G960</f>
        <v>205</v>
      </c>
    </row>
    <row r="960" spans="1:7" ht="47.25">
      <c r="A960" s="107" t="s">
        <v>1166</v>
      </c>
      <c r="B960" s="20" t="s">
        <v>255</v>
      </c>
      <c r="C960" s="20" t="s">
        <v>230</v>
      </c>
      <c r="D960" s="20" t="s">
        <v>953</v>
      </c>
      <c r="E960" s="33"/>
      <c r="F960" s="6">
        <f>'Пр.5 Рд,пр, ЦС,ВР 20'!F960</f>
        <v>205</v>
      </c>
      <c r="G960" s="6">
        <f t="shared" si="49"/>
        <v>205</v>
      </c>
    </row>
    <row r="961" spans="1:7" ht="31.5">
      <c r="A961" s="25" t="s">
        <v>148</v>
      </c>
      <c r="B961" s="20" t="s">
        <v>255</v>
      </c>
      <c r="C961" s="20" t="s">
        <v>230</v>
      </c>
      <c r="D961" s="20" t="s">
        <v>953</v>
      </c>
      <c r="E961" s="33" t="s">
        <v>149</v>
      </c>
      <c r="F961" s="6">
        <f>'Пр.5 Рд,пр, ЦС,ВР 20'!F961</f>
        <v>205</v>
      </c>
      <c r="G961" s="6">
        <f t="shared" si="49"/>
        <v>205</v>
      </c>
    </row>
    <row r="962" spans="1:7" ht="47.25">
      <c r="A962" s="25" t="s">
        <v>150</v>
      </c>
      <c r="B962" s="20" t="s">
        <v>255</v>
      </c>
      <c r="C962" s="20" t="s">
        <v>230</v>
      </c>
      <c r="D962" s="20" t="s">
        <v>953</v>
      </c>
      <c r="E962" s="33" t="s">
        <v>151</v>
      </c>
      <c r="F962" s="6">
        <f>'Пр.5 Рд,пр, ЦС,ВР 20'!F962</f>
        <v>205</v>
      </c>
      <c r="G962" s="6">
        <f t="shared" si="49"/>
        <v>205</v>
      </c>
    </row>
    <row r="963" spans="1:7" ht="15.75">
      <c r="A963" s="64" t="s">
        <v>604</v>
      </c>
      <c r="B963" s="7"/>
      <c r="C963" s="7"/>
      <c r="D963" s="7"/>
      <c r="E963" s="7"/>
      <c r="F963" s="353">
        <f>F8+F210+F229+F304+F462+F726+F875+F944+F822</f>
        <v>679225.0230000002</v>
      </c>
      <c r="G963" s="353">
        <f>G8+G210+G229+G304+G462+G726+G875+G944+G822</f>
        <v>679225.0230000002</v>
      </c>
    </row>
    <row r="964" spans="1:7" ht="15.75" hidden="1">
      <c r="A964" s="253"/>
      <c r="B964" s="253"/>
      <c r="C964" s="253"/>
      <c r="D964" s="253"/>
      <c r="E964" s="253"/>
      <c r="F964" s="354">
        <f>'пр.6.1.ведом.21-22'!G1052</f>
        <v>679225.0229999999</v>
      </c>
      <c r="G964" s="354">
        <f>'пр.6.1.ведом.21-22'!H1052</f>
        <v>679225.0229999999</v>
      </c>
    </row>
    <row r="965" spans="1:7" ht="15.75" hidden="1">
      <c r="A965" s="253"/>
      <c r="B965" s="253"/>
      <c r="C965" s="253"/>
      <c r="D965" s="253"/>
      <c r="E965" s="253"/>
      <c r="F965" s="4">
        <f>'Пр.5 Рд,пр, ЦС,ВР 20'!F965</f>
        <v>0</v>
      </c>
      <c r="G965" s="4">
        <f t="shared" si="49"/>
        <v>0</v>
      </c>
    </row>
    <row r="966" spans="1:7" ht="15">
      <c r="A966" s="253"/>
      <c r="B966" s="253"/>
      <c r="C966" s="253"/>
      <c r="D966" s="253"/>
      <c r="E966" s="253"/>
      <c r="F966" s="253"/>
      <c r="G966" s="253"/>
    </row>
  </sheetData>
  <mergeCells count="1">
    <mergeCell ref="A5:G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06"/>
  <sheetViews>
    <sheetView zoomScaleSheetLayoutView="100" workbookViewId="0" topLeftCell="A1">
      <selection activeCell="A1120" sqref="A1120"/>
    </sheetView>
  </sheetViews>
  <sheetFormatPr defaultColWidth="9.140625" defaultRowHeight="15"/>
  <cols>
    <col min="1" max="1" width="62.28125" style="228" customWidth="1"/>
    <col min="2" max="2" width="7.00390625" style="228" customWidth="1"/>
    <col min="3" max="3" width="4.28125" style="228" customWidth="1"/>
    <col min="4" max="4" width="4.8515625" style="228" customWidth="1"/>
    <col min="5" max="5" width="15.421875" style="228" customWidth="1"/>
    <col min="6" max="6" width="5.7109375" style="228" customWidth="1"/>
    <col min="7" max="7" width="13.7109375" style="228" customWidth="1"/>
    <col min="8" max="8" width="12.8515625" style="228" hidden="1" customWidth="1"/>
    <col min="9" max="9" width="14.28125" style="228" hidden="1" customWidth="1"/>
    <col min="10" max="10" width="12.421875" style="228" hidden="1" customWidth="1"/>
    <col min="11" max="11" width="15.28125" style="117" hidden="1" customWidth="1"/>
    <col min="12" max="12" width="11.00390625" style="253" hidden="1" customWidth="1"/>
    <col min="13" max="16384" width="9.140625" style="1" customWidth="1"/>
  </cols>
  <sheetData>
    <row r="1" spans="1:9" ht="18.75">
      <c r="A1" s="264"/>
      <c r="B1" s="264"/>
      <c r="C1" s="264"/>
      <c r="D1" s="264"/>
      <c r="G1" s="345" t="s">
        <v>634</v>
      </c>
      <c r="H1" s="265"/>
      <c r="I1" s="265" t="s">
        <v>634</v>
      </c>
    </row>
    <row r="2" spans="1:9" ht="18.75">
      <c r="A2" s="264"/>
      <c r="B2" s="264"/>
      <c r="C2" s="264"/>
      <c r="D2" s="264"/>
      <c r="G2" s="345" t="s">
        <v>1</v>
      </c>
      <c r="H2" s="265"/>
      <c r="I2" s="265" t="s">
        <v>1</v>
      </c>
    </row>
    <row r="3" spans="1:6" ht="15.75">
      <c r="A3" s="408"/>
      <c r="B3" s="408"/>
      <c r="C3" s="408"/>
      <c r="D3" s="408"/>
      <c r="E3" s="408"/>
      <c r="F3" s="408"/>
    </row>
    <row r="4" spans="1:9" ht="15.75" customHeight="1">
      <c r="A4" s="410" t="s">
        <v>1206</v>
      </c>
      <c r="B4" s="410"/>
      <c r="C4" s="410"/>
      <c r="D4" s="410"/>
      <c r="E4" s="410"/>
      <c r="F4" s="410"/>
      <c r="G4" s="410"/>
      <c r="H4" s="410"/>
      <c r="I4" s="410"/>
    </row>
    <row r="5" spans="1:6" ht="15.75">
      <c r="A5" s="266"/>
      <c r="B5" s="266"/>
      <c r="C5" s="266"/>
      <c r="D5" s="266"/>
      <c r="E5" s="266"/>
      <c r="F5" s="266"/>
    </row>
    <row r="6" spans="1:9" ht="15.75">
      <c r="A6" s="267"/>
      <c r="B6" s="267"/>
      <c r="C6" s="267"/>
      <c r="D6" s="267"/>
      <c r="E6" s="267"/>
      <c r="F6" s="267"/>
      <c r="G6" s="268" t="s">
        <v>2</v>
      </c>
      <c r="H6" s="268"/>
      <c r="I6" s="268"/>
    </row>
    <row r="7" spans="1:12" ht="47.25">
      <c r="A7" s="269" t="s">
        <v>127</v>
      </c>
      <c r="B7" s="269" t="s">
        <v>128</v>
      </c>
      <c r="C7" s="270" t="s">
        <v>129</v>
      </c>
      <c r="D7" s="270" t="s">
        <v>130</v>
      </c>
      <c r="E7" s="270" t="s">
        <v>131</v>
      </c>
      <c r="F7" s="270" t="s">
        <v>132</v>
      </c>
      <c r="G7" s="271" t="s">
        <v>1207</v>
      </c>
      <c r="H7" s="271" t="s">
        <v>1208</v>
      </c>
      <c r="I7" s="271" t="s">
        <v>1209</v>
      </c>
      <c r="L7" s="117"/>
    </row>
    <row r="8" spans="1:12" ht="31.5">
      <c r="A8" s="19" t="s">
        <v>133</v>
      </c>
      <c r="B8" s="19">
        <v>901</v>
      </c>
      <c r="C8" s="20"/>
      <c r="D8" s="20"/>
      <c r="E8" s="20"/>
      <c r="F8" s="20"/>
      <c r="G8" s="21">
        <f>G9</f>
        <v>14033.71</v>
      </c>
      <c r="H8" s="272">
        <f aca="true" t="shared" si="0" ref="H8:I9">H9</f>
        <v>13519.9</v>
      </c>
      <c r="I8" s="272">
        <f t="shared" si="0"/>
        <v>13519.9</v>
      </c>
      <c r="K8" s="122"/>
      <c r="L8" s="117"/>
    </row>
    <row r="9" spans="1:12" ht="15.75">
      <c r="A9" s="23" t="s">
        <v>134</v>
      </c>
      <c r="B9" s="19">
        <v>901</v>
      </c>
      <c r="C9" s="24" t="s">
        <v>135</v>
      </c>
      <c r="D9" s="20"/>
      <c r="E9" s="20"/>
      <c r="F9" s="20"/>
      <c r="G9" s="21">
        <f>G10</f>
        <v>14033.71</v>
      </c>
      <c r="H9" s="272">
        <f t="shared" si="0"/>
        <v>13519.9</v>
      </c>
      <c r="I9" s="272">
        <f t="shared" si="0"/>
        <v>13519.9</v>
      </c>
      <c r="J9" s="275">
        <f>G9</f>
        <v>14033.71</v>
      </c>
      <c r="L9" s="117"/>
    </row>
    <row r="10" spans="1:12" ht="47.25">
      <c r="A10" s="23" t="s">
        <v>136</v>
      </c>
      <c r="B10" s="19">
        <v>901</v>
      </c>
      <c r="C10" s="24" t="s">
        <v>135</v>
      </c>
      <c r="D10" s="24" t="s">
        <v>137</v>
      </c>
      <c r="E10" s="24"/>
      <c r="F10" s="24"/>
      <c r="G10" s="21">
        <f>G11</f>
        <v>14033.71</v>
      </c>
      <c r="H10" s="272">
        <f aca="true" t="shared" si="1" ref="H10:I11">H11</f>
        <v>13519.9</v>
      </c>
      <c r="I10" s="272">
        <f t="shared" si="1"/>
        <v>13519.9</v>
      </c>
      <c r="L10" s="117"/>
    </row>
    <row r="11" spans="1:12" ht="31.5">
      <c r="A11" s="23" t="s">
        <v>995</v>
      </c>
      <c r="B11" s="19">
        <v>901</v>
      </c>
      <c r="C11" s="24" t="s">
        <v>135</v>
      </c>
      <c r="D11" s="24" t="s">
        <v>137</v>
      </c>
      <c r="E11" s="24" t="s">
        <v>909</v>
      </c>
      <c r="F11" s="24"/>
      <c r="G11" s="21">
        <f>G12</f>
        <v>14033.71</v>
      </c>
      <c r="H11" s="272">
        <f t="shared" si="1"/>
        <v>13519.9</v>
      </c>
      <c r="I11" s="272">
        <f t="shared" si="1"/>
        <v>13519.9</v>
      </c>
      <c r="L11" s="117"/>
    </row>
    <row r="12" spans="1:12" ht="15.75">
      <c r="A12" s="23" t="s">
        <v>996</v>
      </c>
      <c r="B12" s="19">
        <v>901</v>
      </c>
      <c r="C12" s="24" t="s">
        <v>135</v>
      </c>
      <c r="D12" s="24" t="s">
        <v>137</v>
      </c>
      <c r="E12" s="24" t="s">
        <v>910</v>
      </c>
      <c r="F12" s="24"/>
      <c r="G12" s="21">
        <f>G13+G20</f>
        <v>14033.71</v>
      </c>
      <c r="H12" s="272">
        <f>H13+H20</f>
        <v>13519.9</v>
      </c>
      <c r="I12" s="272">
        <f>I13+I20</f>
        <v>13519.9</v>
      </c>
      <c r="L12" s="117"/>
    </row>
    <row r="13" spans="1:12" ht="31.5">
      <c r="A13" s="25" t="s">
        <v>972</v>
      </c>
      <c r="B13" s="16">
        <v>901</v>
      </c>
      <c r="C13" s="20" t="s">
        <v>135</v>
      </c>
      <c r="D13" s="20" t="s">
        <v>137</v>
      </c>
      <c r="E13" s="20" t="s">
        <v>911</v>
      </c>
      <c r="F13" s="20"/>
      <c r="G13" s="26">
        <f>G14+G16+G18</f>
        <v>13689.71</v>
      </c>
      <c r="H13" s="261">
        <f aca="true" t="shared" si="2" ref="H13:I13">H14+H16+H18</f>
        <v>13175.9</v>
      </c>
      <c r="I13" s="261">
        <f t="shared" si="2"/>
        <v>13175.9</v>
      </c>
      <c r="L13" s="117"/>
    </row>
    <row r="14" spans="1:12" ht="63">
      <c r="A14" s="25" t="s">
        <v>144</v>
      </c>
      <c r="B14" s="16">
        <v>901</v>
      </c>
      <c r="C14" s="20" t="s">
        <v>135</v>
      </c>
      <c r="D14" s="20" t="s">
        <v>137</v>
      </c>
      <c r="E14" s="20" t="s">
        <v>911</v>
      </c>
      <c r="F14" s="20" t="s">
        <v>145</v>
      </c>
      <c r="G14" s="26">
        <f>G15</f>
        <v>12484.71</v>
      </c>
      <c r="H14" s="261">
        <f aca="true" t="shared" si="3" ref="H14:I14">H15</f>
        <v>11970.1</v>
      </c>
      <c r="I14" s="261">
        <f t="shared" si="3"/>
        <v>11970.1</v>
      </c>
      <c r="L14" s="117"/>
    </row>
    <row r="15" spans="1:13" ht="31.5">
      <c r="A15" s="25" t="s">
        <v>146</v>
      </c>
      <c r="B15" s="16">
        <v>901</v>
      </c>
      <c r="C15" s="20" t="s">
        <v>135</v>
      </c>
      <c r="D15" s="20" t="s">
        <v>137</v>
      </c>
      <c r="E15" s="20" t="s">
        <v>911</v>
      </c>
      <c r="F15" s="20" t="s">
        <v>147</v>
      </c>
      <c r="G15" s="27">
        <f>11970*1.043</f>
        <v>12484.71</v>
      </c>
      <c r="H15" s="262">
        <f aca="true" t="shared" si="4" ref="H15:I15">12308+1239.7-1013.6-220-344</f>
        <v>11970.1</v>
      </c>
      <c r="I15" s="262">
        <f t="shared" si="4"/>
        <v>11970.1</v>
      </c>
      <c r="J15" s="274" t="s">
        <v>891</v>
      </c>
      <c r="K15" s="306"/>
      <c r="L15" s="245"/>
      <c r="M15" s="117"/>
    </row>
    <row r="16" spans="1:12" ht="31.5">
      <c r="A16" s="25" t="s">
        <v>148</v>
      </c>
      <c r="B16" s="16">
        <v>901</v>
      </c>
      <c r="C16" s="20" t="s">
        <v>135</v>
      </c>
      <c r="D16" s="20" t="s">
        <v>137</v>
      </c>
      <c r="E16" s="20" t="s">
        <v>911</v>
      </c>
      <c r="F16" s="20" t="s">
        <v>149</v>
      </c>
      <c r="G16" s="26">
        <f>G17</f>
        <v>1177</v>
      </c>
      <c r="H16" s="261">
        <f aca="true" t="shared" si="5" ref="H16:I16">H17</f>
        <v>1177.8</v>
      </c>
      <c r="I16" s="261">
        <f t="shared" si="5"/>
        <v>1177.8</v>
      </c>
      <c r="L16" s="117"/>
    </row>
    <row r="17" spans="1:12" ht="31.5">
      <c r="A17" s="25" t="s">
        <v>150</v>
      </c>
      <c r="B17" s="16">
        <v>901</v>
      </c>
      <c r="C17" s="20" t="s">
        <v>135</v>
      </c>
      <c r="D17" s="20" t="s">
        <v>137</v>
      </c>
      <c r="E17" s="20" t="s">
        <v>911</v>
      </c>
      <c r="F17" s="20" t="s">
        <v>151</v>
      </c>
      <c r="G17" s="27">
        <f>1177.8-0.8</f>
        <v>1177</v>
      </c>
      <c r="H17" s="262">
        <v>1177.8</v>
      </c>
      <c r="I17" s="262">
        <v>1177.8</v>
      </c>
      <c r="L17" s="117"/>
    </row>
    <row r="18" spans="1:12" ht="15.75">
      <c r="A18" s="25" t="s">
        <v>152</v>
      </c>
      <c r="B18" s="16">
        <v>901</v>
      </c>
      <c r="C18" s="20" t="s">
        <v>135</v>
      </c>
      <c r="D18" s="20" t="s">
        <v>137</v>
      </c>
      <c r="E18" s="20" t="s">
        <v>911</v>
      </c>
      <c r="F18" s="20" t="s">
        <v>153</v>
      </c>
      <c r="G18" s="26">
        <f>G19</f>
        <v>28</v>
      </c>
      <c r="H18" s="261">
        <f aca="true" t="shared" si="6" ref="H18:I18">H19</f>
        <v>28</v>
      </c>
      <c r="I18" s="261">
        <f t="shared" si="6"/>
        <v>28</v>
      </c>
      <c r="L18" s="117"/>
    </row>
    <row r="19" spans="1:12" ht="15.75">
      <c r="A19" s="25" t="s">
        <v>585</v>
      </c>
      <c r="B19" s="16">
        <v>901</v>
      </c>
      <c r="C19" s="20" t="s">
        <v>135</v>
      </c>
      <c r="D19" s="20" t="s">
        <v>137</v>
      </c>
      <c r="E19" s="20" t="s">
        <v>911</v>
      </c>
      <c r="F19" s="20" t="s">
        <v>155</v>
      </c>
      <c r="G19" s="26">
        <v>28</v>
      </c>
      <c r="H19" s="261">
        <v>28</v>
      </c>
      <c r="I19" s="261">
        <v>28</v>
      </c>
      <c r="L19" s="117"/>
    </row>
    <row r="20" spans="1:12" s="253" customFormat="1" ht="31.5">
      <c r="A20" s="25" t="s">
        <v>889</v>
      </c>
      <c r="B20" s="16">
        <v>901</v>
      </c>
      <c r="C20" s="20" t="s">
        <v>135</v>
      </c>
      <c r="D20" s="20" t="s">
        <v>137</v>
      </c>
      <c r="E20" s="20" t="s">
        <v>913</v>
      </c>
      <c r="F20" s="20"/>
      <c r="G20" s="26">
        <f>G21</f>
        <v>344</v>
      </c>
      <c r="H20" s="261">
        <f aca="true" t="shared" si="7" ref="H20:I21">H21</f>
        <v>344</v>
      </c>
      <c r="I20" s="261">
        <f t="shared" si="7"/>
        <v>344</v>
      </c>
      <c r="J20" s="283"/>
      <c r="K20" s="263"/>
      <c r="L20" s="263"/>
    </row>
    <row r="21" spans="1:12" s="253" customFormat="1" ht="63">
      <c r="A21" s="25" t="s">
        <v>144</v>
      </c>
      <c r="B21" s="16">
        <v>901</v>
      </c>
      <c r="C21" s="20" t="s">
        <v>135</v>
      </c>
      <c r="D21" s="20" t="s">
        <v>137</v>
      </c>
      <c r="E21" s="20" t="s">
        <v>913</v>
      </c>
      <c r="F21" s="20" t="s">
        <v>145</v>
      </c>
      <c r="G21" s="26">
        <f>G22</f>
        <v>344</v>
      </c>
      <c r="H21" s="261">
        <f t="shared" si="7"/>
        <v>344</v>
      </c>
      <c r="I21" s="261">
        <f t="shared" si="7"/>
        <v>344</v>
      </c>
      <c r="J21" s="283"/>
      <c r="K21" s="263"/>
      <c r="L21" s="263"/>
    </row>
    <row r="22" spans="1:12" s="253" customFormat="1" ht="31.5">
      <c r="A22" s="25" t="s">
        <v>146</v>
      </c>
      <c r="B22" s="16">
        <v>901</v>
      </c>
      <c r="C22" s="20" t="s">
        <v>135</v>
      </c>
      <c r="D22" s="20" t="s">
        <v>137</v>
      </c>
      <c r="E22" s="20" t="s">
        <v>913</v>
      </c>
      <c r="F22" s="20" t="s">
        <v>147</v>
      </c>
      <c r="G22" s="26">
        <v>344</v>
      </c>
      <c r="H22" s="260">
        <v>344</v>
      </c>
      <c r="I22" s="260">
        <v>344</v>
      </c>
      <c r="J22" s="283"/>
      <c r="K22" s="263"/>
      <c r="L22" s="263"/>
    </row>
    <row r="23" spans="1:12" ht="15.75">
      <c r="A23" s="19" t="s">
        <v>165</v>
      </c>
      <c r="B23" s="19">
        <v>902</v>
      </c>
      <c r="C23" s="20"/>
      <c r="D23" s="20"/>
      <c r="E23" s="20"/>
      <c r="F23" s="20"/>
      <c r="G23" s="21">
        <f>G24+G128+G147+G177+G121</f>
        <v>88092.75899999999</v>
      </c>
      <c r="H23" s="272">
        <f>H24+H128+H147+H177+H121</f>
        <v>86440.90000000001</v>
      </c>
      <c r="I23" s="272">
        <f>I24+I128+I147+I177+I121</f>
        <v>86440.90000000001</v>
      </c>
      <c r="J23" s="275">
        <f>G27+G65+G69+G76+G82+G92+G102+G111+G116+G122+G129+G151+G157+G171+G178+G185</f>
        <v>80737.059</v>
      </c>
      <c r="K23" s="122"/>
      <c r="L23" s="117"/>
    </row>
    <row r="24" spans="1:12" ht="15.75">
      <c r="A24" s="23" t="s">
        <v>134</v>
      </c>
      <c r="B24" s="19">
        <v>902</v>
      </c>
      <c r="C24" s="24" t="s">
        <v>135</v>
      </c>
      <c r="D24" s="20"/>
      <c r="E24" s="20"/>
      <c r="F24" s="20"/>
      <c r="G24" s="21">
        <f>G25+G82+G91</f>
        <v>65799.015</v>
      </c>
      <c r="H24" s="272">
        <f>H25+H82+H91</f>
        <v>64534.4</v>
      </c>
      <c r="I24" s="272">
        <f>I25+I82+I91</f>
        <v>64534.4</v>
      </c>
      <c r="L24" s="117"/>
    </row>
    <row r="25" spans="1:12" ht="63">
      <c r="A25" s="23" t="s">
        <v>166</v>
      </c>
      <c r="B25" s="19">
        <v>902</v>
      </c>
      <c r="C25" s="24" t="s">
        <v>135</v>
      </c>
      <c r="D25" s="24" t="s">
        <v>167</v>
      </c>
      <c r="E25" s="24"/>
      <c r="F25" s="24"/>
      <c r="G25" s="21">
        <f>G26+G64</f>
        <v>58408.08500000001</v>
      </c>
      <c r="H25" s="272">
        <f>H26+H64</f>
        <v>56563.3</v>
      </c>
      <c r="I25" s="272">
        <f>I26+I64</f>
        <v>56563.3</v>
      </c>
      <c r="L25" s="117"/>
    </row>
    <row r="26" spans="1:12" ht="31.5">
      <c r="A26" s="23" t="s">
        <v>995</v>
      </c>
      <c r="B26" s="19">
        <v>902</v>
      </c>
      <c r="C26" s="24" t="s">
        <v>135</v>
      </c>
      <c r="D26" s="24" t="s">
        <v>167</v>
      </c>
      <c r="E26" s="24" t="s">
        <v>909</v>
      </c>
      <c r="F26" s="24"/>
      <c r="G26" s="45">
        <f>G27+G43</f>
        <v>57627.58500000001</v>
      </c>
      <c r="H26" s="284">
        <f aca="true" t="shared" si="8" ref="H26:I26">H27+H43</f>
        <v>55782.8</v>
      </c>
      <c r="I26" s="284">
        <f t="shared" si="8"/>
        <v>55782.8</v>
      </c>
      <c r="L26" s="117"/>
    </row>
    <row r="27" spans="1:12" s="253" customFormat="1" ht="15.75">
      <c r="A27" s="23" t="s">
        <v>996</v>
      </c>
      <c r="B27" s="19">
        <v>902</v>
      </c>
      <c r="C27" s="24" t="s">
        <v>135</v>
      </c>
      <c r="D27" s="24" t="s">
        <v>167</v>
      </c>
      <c r="E27" s="24" t="s">
        <v>910</v>
      </c>
      <c r="F27" s="24"/>
      <c r="G27" s="45">
        <f>G28+G37+G40</f>
        <v>54435.785</v>
      </c>
      <c r="H27" s="284">
        <f aca="true" t="shared" si="9" ref="H27:I27">H28+H37+H40</f>
        <v>52627.600000000006</v>
      </c>
      <c r="I27" s="284">
        <f t="shared" si="9"/>
        <v>52627.600000000006</v>
      </c>
      <c r="J27" s="228"/>
      <c r="K27" s="117"/>
      <c r="L27" s="117"/>
    </row>
    <row r="28" spans="1:12" ht="31.5">
      <c r="A28" s="25" t="s">
        <v>972</v>
      </c>
      <c r="B28" s="16">
        <v>902</v>
      </c>
      <c r="C28" s="20" t="s">
        <v>135</v>
      </c>
      <c r="D28" s="20" t="s">
        <v>167</v>
      </c>
      <c r="E28" s="20" t="s">
        <v>911</v>
      </c>
      <c r="F28" s="20"/>
      <c r="G28" s="26">
        <f>G29+G31+G35+G33</f>
        <v>50435.714</v>
      </c>
      <c r="H28" s="261">
        <f aca="true" t="shared" si="10" ref="H28:I28">H29+H31+H35+H33</f>
        <v>48369.4</v>
      </c>
      <c r="I28" s="261">
        <f t="shared" si="10"/>
        <v>48369.4</v>
      </c>
      <c r="K28" s="122"/>
      <c r="L28" s="117"/>
    </row>
    <row r="29" spans="1:12" ht="63">
      <c r="A29" s="25" t="s">
        <v>144</v>
      </c>
      <c r="B29" s="16">
        <v>902</v>
      </c>
      <c r="C29" s="20" t="s">
        <v>135</v>
      </c>
      <c r="D29" s="20" t="s">
        <v>167</v>
      </c>
      <c r="E29" s="20" t="s">
        <v>911</v>
      </c>
      <c r="F29" s="20" t="s">
        <v>145</v>
      </c>
      <c r="G29" s="26">
        <f>G30</f>
        <v>42343.714</v>
      </c>
      <c r="H29" s="261">
        <f aca="true" t="shared" si="11" ref="H29:I29">H30</f>
        <v>40277.1</v>
      </c>
      <c r="I29" s="261">
        <f t="shared" si="11"/>
        <v>40277.1</v>
      </c>
      <c r="L29" s="117"/>
    </row>
    <row r="30" spans="1:14" ht="31.5">
      <c r="A30" s="25" t="s">
        <v>146</v>
      </c>
      <c r="B30" s="16">
        <v>902</v>
      </c>
      <c r="C30" s="20" t="s">
        <v>135</v>
      </c>
      <c r="D30" s="20" t="s">
        <v>167</v>
      </c>
      <c r="E30" s="20" t="s">
        <v>911</v>
      </c>
      <c r="F30" s="20" t="s">
        <v>147</v>
      </c>
      <c r="G30" s="27">
        <f>40598*1.043</f>
        <v>42343.714</v>
      </c>
      <c r="H30" s="262">
        <f aca="true" t="shared" si="12" ref="H30:I30">36100.2+3727.9+2269.4-1820.4</f>
        <v>40277.1</v>
      </c>
      <c r="I30" s="262">
        <f t="shared" si="12"/>
        <v>40277.1</v>
      </c>
      <c r="J30" s="274" t="s">
        <v>1323</v>
      </c>
      <c r="K30" s="306"/>
      <c r="L30" s="117"/>
      <c r="M30" s="306"/>
      <c r="N30" s="117"/>
    </row>
    <row r="31" spans="1:14" ht="31.5">
      <c r="A31" s="25" t="s">
        <v>148</v>
      </c>
      <c r="B31" s="16">
        <v>902</v>
      </c>
      <c r="C31" s="20" t="s">
        <v>135</v>
      </c>
      <c r="D31" s="20" t="s">
        <v>167</v>
      </c>
      <c r="E31" s="20" t="s">
        <v>911</v>
      </c>
      <c r="F31" s="20" t="s">
        <v>149</v>
      </c>
      <c r="G31" s="26">
        <f>G32</f>
        <v>7262</v>
      </c>
      <c r="H31" s="261">
        <f aca="true" t="shared" si="13" ref="H31:I31">H32</f>
        <v>7262</v>
      </c>
      <c r="I31" s="261">
        <f t="shared" si="13"/>
        <v>7262</v>
      </c>
      <c r="K31" s="256"/>
      <c r="L31" s="117"/>
      <c r="M31" s="244"/>
      <c r="N31" s="117"/>
    </row>
    <row r="32" spans="1:14" ht="31.5">
      <c r="A32" s="25" t="s">
        <v>150</v>
      </c>
      <c r="B32" s="16">
        <v>902</v>
      </c>
      <c r="C32" s="20" t="s">
        <v>135</v>
      </c>
      <c r="D32" s="20" t="s">
        <v>167</v>
      </c>
      <c r="E32" s="20" t="s">
        <v>911</v>
      </c>
      <c r="F32" s="20" t="s">
        <v>151</v>
      </c>
      <c r="G32" s="27">
        <f>6647+615</f>
        <v>7262</v>
      </c>
      <c r="H32" s="262">
        <f aca="true" t="shared" si="14" ref="H32:I32">6647+615</f>
        <v>7262</v>
      </c>
      <c r="I32" s="262">
        <f t="shared" si="14"/>
        <v>7262</v>
      </c>
      <c r="J32" s="275" t="s">
        <v>997</v>
      </c>
      <c r="K32" s="306"/>
      <c r="L32" s="117"/>
      <c r="M32" s="306"/>
      <c r="N32" s="117"/>
    </row>
    <row r="33" spans="1:14" s="253" customFormat="1" ht="15.75">
      <c r="A33" s="25" t="s">
        <v>265</v>
      </c>
      <c r="B33" s="16">
        <v>902</v>
      </c>
      <c r="C33" s="20" t="s">
        <v>135</v>
      </c>
      <c r="D33" s="20" t="s">
        <v>167</v>
      </c>
      <c r="E33" s="20" t="s">
        <v>911</v>
      </c>
      <c r="F33" s="20" t="s">
        <v>266</v>
      </c>
      <c r="G33" s="27">
        <f>G34</f>
        <v>755</v>
      </c>
      <c r="H33" s="262">
        <f aca="true" t="shared" si="15" ref="H33:I33">H34</f>
        <v>755</v>
      </c>
      <c r="I33" s="262">
        <f t="shared" si="15"/>
        <v>755</v>
      </c>
      <c r="J33" s="275"/>
      <c r="K33" s="117"/>
      <c r="L33" s="117"/>
      <c r="M33" s="306"/>
      <c r="N33" s="117"/>
    </row>
    <row r="34" spans="1:13" s="253" customFormat="1" ht="31.5">
      <c r="A34" s="25" t="s">
        <v>267</v>
      </c>
      <c r="B34" s="16">
        <v>902</v>
      </c>
      <c r="C34" s="20" t="s">
        <v>135</v>
      </c>
      <c r="D34" s="20" t="s">
        <v>167</v>
      </c>
      <c r="E34" s="20" t="s">
        <v>911</v>
      </c>
      <c r="F34" s="20" t="s">
        <v>268</v>
      </c>
      <c r="G34" s="27">
        <v>755</v>
      </c>
      <c r="H34" s="262">
        <v>755</v>
      </c>
      <c r="I34" s="262">
        <v>755</v>
      </c>
      <c r="J34" s="275"/>
      <c r="K34" s="117"/>
      <c r="L34" s="117"/>
      <c r="M34" s="245"/>
    </row>
    <row r="35" spans="1:14" ht="15.75">
      <c r="A35" s="25" t="s">
        <v>152</v>
      </c>
      <c r="B35" s="16">
        <v>902</v>
      </c>
      <c r="C35" s="20" t="s">
        <v>135</v>
      </c>
      <c r="D35" s="20" t="s">
        <v>167</v>
      </c>
      <c r="E35" s="20" t="s">
        <v>911</v>
      </c>
      <c r="F35" s="20" t="s">
        <v>162</v>
      </c>
      <c r="G35" s="26">
        <f>G36</f>
        <v>75.00000000000001</v>
      </c>
      <c r="H35" s="261">
        <f aca="true" t="shared" si="16" ref="H35:I35">H36</f>
        <v>75.30000000000001</v>
      </c>
      <c r="I35" s="261">
        <f t="shared" si="16"/>
        <v>75.30000000000001</v>
      </c>
      <c r="L35" s="244"/>
      <c r="N35" s="246"/>
    </row>
    <row r="36" spans="1:12" ht="15.75">
      <c r="A36" s="25" t="s">
        <v>585</v>
      </c>
      <c r="B36" s="16">
        <v>902</v>
      </c>
      <c r="C36" s="20" t="s">
        <v>135</v>
      </c>
      <c r="D36" s="20" t="s">
        <v>167</v>
      </c>
      <c r="E36" s="20" t="s">
        <v>911</v>
      </c>
      <c r="F36" s="20" t="s">
        <v>155</v>
      </c>
      <c r="G36" s="27">
        <f>219.3-144-0.3</f>
        <v>75.00000000000001</v>
      </c>
      <c r="H36" s="262">
        <f aca="true" t="shared" si="17" ref="H36:I36">219.3-144</f>
        <v>75.30000000000001</v>
      </c>
      <c r="I36" s="262">
        <f t="shared" si="17"/>
        <v>75.30000000000001</v>
      </c>
      <c r="J36" s="274"/>
      <c r="K36" s="257"/>
      <c r="L36" s="117"/>
    </row>
    <row r="37" spans="1:12" s="253" customFormat="1" ht="31.5">
      <c r="A37" s="25" t="s">
        <v>890</v>
      </c>
      <c r="B37" s="16">
        <v>902</v>
      </c>
      <c r="C37" s="20" t="s">
        <v>135</v>
      </c>
      <c r="D37" s="20" t="s">
        <v>167</v>
      </c>
      <c r="E37" s="20" t="s">
        <v>912</v>
      </c>
      <c r="F37" s="20"/>
      <c r="G37" s="27">
        <f>G38</f>
        <v>2500.071</v>
      </c>
      <c r="H37" s="262">
        <f aca="true" t="shared" si="18" ref="H37:I38">H38</f>
        <v>2437.8</v>
      </c>
      <c r="I37" s="262">
        <f t="shared" si="18"/>
        <v>2437.8</v>
      </c>
      <c r="J37" s="301"/>
      <c r="K37" s="257"/>
      <c r="L37" s="117"/>
    </row>
    <row r="38" spans="1:12" s="253" customFormat="1" ht="63">
      <c r="A38" s="25" t="s">
        <v>144</v>
      </c>
      <c r="B38" s="16">
        <v>902</v>
      </c>
      <c r="C38" s="20" t="s">
        <v>135</v>
      </c>
      <c r="D38" s="20" t="s">
        <v>167</v>
      </c>
      <c r="E38" s="20" t="s">
        <v>912</v>
      </c>
      <c r="F38" s="20" t="s">
        <v>145</v>
      </c>
      <c r="G38" s="27">
        <f>G39</f>
        <v>2500.071</v>
      </c>
      <c r="H38" s="262">
        <f t="shared" si="18"/>
        <v>2437.8</v>
      </c>
      <c r="I38" s="262">
        <f t="shared" si="18"/>
        <v>2437.8</v>
      </c>
      <c r="J38" s="301"/>
      <c r="K38" s="257"/>
      <c r="L38" s="117"/>
    </row>
    <row r="39" spans="1:12" s="253" customFormat="1" ht="31.5">
      <c r="A39" s="25" t="s">
        <v>146</v>
      </c>
      <c r="B39" s="16">
        <v>902</v>
      </c>
      <c r="C39" s="20" t="s">
        <v>135</v>
      </c>
      <c r="D39" s="20" t="s">
        <v>167</v>
      </c>
      <c r="E39" s="20" t="s">
        <v>912</v>
      </c>
      <c r="F39" s="20" t="s">
        <v>147</v>
      </c>
      <c r="G39" s="27">
        <f>2397*1.043</f>
        <v>2500.071</v>
      </c>
      <c r="H39" s="27">
        <f aca="true" t="shared" si="19" ref="H39:I39">2553.5-63.7-95.5+43.5</f>
        <v>2437.8</v>
      </c>
      <c r="I39" s="27">
        <f t="shared" si="19"/>
        <v>2437.8</v>
      </c>
      <c r="J39" s="301" t="s">
        <v>891</v>
      </c>
      <c r="K39" s="257"/>
      <c r="L39" s="117"/>
    </row>
    <row r="40" spans="1:12" s="253" customFormat="1" ht="31.5">
      <c r="A40" s="25" t="s">
        <v>889</v>
      </c>
      <c r="B40" s="16">
        <v>902</v>
      </c>
      <c r="C40" s="20" t="s">
        <v>135</v>
      </c>
      <c r="D40" s="20" t="s">
        <v>167</v>
      </c>
      <c r="E40" s="20" t="s">
        <v>913</v>
      </c>
      <c r="F40" s="20"/>
      <c r="G40" s="26">
        <f>G41</f>
        <v>1500</v>
      </c>
      <c r="H40" s="261">
        <f aca="true" t="shared" si="20" ref="H40:I41">H41</f>
        <v>1820.4</v>
      </c>
      <c r="I40" s="261">
        <f t="shared" si="20"/>
        <v>1820.4</v>
      </c>
      <c r="J40" s="301"/>
      <c r="K40" s="257"/>
      <c r="L40" s="117"/>
    </row>
    <row r="41" spans="1:12" s="253" customFormat="1" ht="63">
      <c r="A41" s="25" t="s">
        <v>144</v>
      </c>
      <c r="B41" s="16">
        <v>902</v>
      </c>
      <c r="C41" s="20" t="s">
        <v>135</v>
      </c>
      <c r="D41" s="20" t="s">
        <v>167</v>
      </c>
      <c r="E41" s="20" t="s">
        <v>913</v>
      </c>
      <c r="F41" s="20" t="s">
        <v>145</v>
      </c>
      <c r="G41" s="26">
        <f>G42</f>
        <v>1500</v>
      </c>
      <c r="H41" s="261">
        <f t="shared" si="20"/>
        <v>1820.4</v>
      </c>
      <c r="I41" s="261">
        <f t="shared" si="20"/>
        <v>1820.4</v>
      </c>
      <c r="J41" s="301"/>
      <c r="K41" s="257"/>
      <c r="L41" s="117"/>
    </row>
    <row r="42" spans="1:12" s="253" customFormat="1" ht="31.5">
      <c r="A42" s="25" t="s">
        <v>146</v>
      </c>
      <c r="B42" s="16">
        <v>902</v>
      </c>
      <c r="C42" s="20" t="s">
        <v>135</v>
      </c>
      <c r="D42" s="20" t="s">
        <v>167</v>
      </c>
      <c r="E42" s="20" t="s">
        <v>913</v>
      </c>
      <c r="F42" s="20" t="s">
        <v>147</v>
      </c>
      <c r="G42" s="26">
        <v>1500</v>
      </c>
      <c r="H42" s="260">
        <v>1820.4</v>
      </c>
      <c r="I42" s="260">
        <v>1820.4</v>
      </c>
      <c r="J42" s="228" t="s">
        <v>998</v>
      </c>
      <c r="K42" s="257"/>
      <c r="L42" s="117"/>
    </row>
    <row r="43" spans="1:12" s="253" customFormat="1" ht="31.5">
      <c r="A43" s="23" t="s">
        <v>937</v>
      </c>
      <c r="B43" s="19">
        <v>902</v>
      </c>
      <c r="C43" s="24" t="s">
        <v>135</v>
      </c>
      <c r="D43" s="24" t="s">
        <v>167</v>
      </c>
      <c r="E43" s="24" t="s">
        <v>914</v>
      </c>
      <c r="F43" s="24"/>
      <c r="G43" s="21">
        <f>G44+G49+G54+G59</f>
        <v>3191.8</v>
      </c>
      <c r="H43" s="21">
        <f>H44+H49+H54+H59</f>
        <v>3155.2</v>
      </c>
      <c r="I43" s="21">
        <f>I44+I49+I54+I59</f>
        <v>3155.2</v>
      </c>
      <c r="J43" s="228"/>
      <c r="K43" s="117"/>
      <c r="L43" s="117"/>
    </row>
    <row r="44" spans="1:12" s="253" customFormat="1" ht="35.25" customHeight="1" hidden="1">
      <c r="A44" s="25" t="s">
        <v>804</v>
      </c>
      <c r="B44" s="16">
        <v>902</v>
      </c>
      <c r="C44" s="20" t="s">
        <v>135</v>
      </c>
      <c r="D44" s="20" t="s">
        <v>167</v>
      </c>
      <c r="E44" s="20" t="s">
        <v>999</v>
      </c>
      <c r="F44" s="24"/>
      <c r="G44" s="26">
        <f>G45+G47</f>
        <v>0</v>
      </c>
      <c r="H44" s="261">
        <f aca="true" t="shared" si="21" ref="H44:I44">H45+H47</f>
        <v>0</v>
      </c>
      <c r="I44" s="261">
        <f t="shared" si="21"/>
        <v>0</v>
      </c>
      <c r="J44" s="228"/>
      <c r="K44" s="117"/>
      <c r="L44" s="117"/>
    </row>
    <row r="45" spans="1:12" s="253" customFormat="1" ht="63" hidden="1">
      <c r="A45" s="25" t="s">
        <v>144</v>
      </c>
      <c r="B45" s="16">
        <v>902</v>
      </c>
      <c r="C45" s="20" t="s">
        <v>135</v>
      </c>
      <c r="D45" s="20" t="s">
        <v>167</v>
      </c>
      <c r="E45" s="20" t="s">
        <v>999</v>
      </c>
      <c r="F45" s="20" t="s">
        <v>145</v>
      </c>
      <c r="G45" s="26">
        <f>G46</f>
        <v>0</v>
      </c>
      <c r="H45" s="261">
        <f aca="true" t="shared" si="22" ref="H45:I45">H46</f>
        <v>0</v>
      </c>
      <c r="I45" s="261">
        <f t="shared" si="22"/>
        <v>0</v>
      </c>
      <c r="J45" s="228"/>
      <c r="K45" s="117"/>
      <c r="L45" s="117"/>
    </row>
    <row r="46" spans="1:12" s="253" customFormat="1" ht="31.5" hidden="1">
      <c r="A46" s="25" t="s">
        <v>146</v>
      </c>
      <c r="B46" s="16">
        <v>902</v>
      </c>
      <c r="C46" s="20" t="s">
        <v>135</v>
      </c>
      <c r="D46" s="20" t="s">
        <v>167</v>
      </c>
      <c r="E46" s="20" t="s">
        <v>999</v>
      </c>
      <c r="F46" s="20" t="s">
        <v>147</v>
      </c>
      <c r="G46" s="26">
        <v>0</v>
      </c>
      <c r="H46" s="261">
        <v>0</v>
      </c>
      <c r="I46" s="261">
        <v>0</v>
      </c>
      <c r="J46" s="228"/>
      <c r="K46" s="117"/>
      <c r="L46" s="117"/>
    </row>
    <row r="47" spans="1:12" s="253" customFormat="1" ht="31.5" hidden="1">
      <c r="A47" s="25" t="s">
        <v>148</v>
      </c>
      <c r="B47" s="16">
        <v>902</v>
      </c>
      <c r="C47" s="20" t="s">
        <v>135</v>
      </c>
      <c r="D47" s="20" t="s">
        <v>167</v>
      </c>
      <c r="E47" s="20" t="s">
        <v>999</v>
      </c>
      <c r="F47" s="20" t="s">
        <v>149</v>
      </c>
      <c r="G47" s="26">
        <f>G48</f>
        <v>0</v>
      </c>
      <c r="H47" s="261">
        <f aca="true" t="shared" si="23" ref="H47:I47">H48</f>
        <v>0</v>
      </c>
      <c r="I47" s="261">
        <f t="shared" si="23"/>
        <v>0</v>
      </c>
      <c r="J47" s="228"/>
      <c r="K47" s="117"/>
      <c r="L47" s="117"/>
    </row>
    <row r="48" spans="1:12" s="253" customFormat="1" ht="31.5" hidden="1">
      <c r="A48" s="25" t="s">
        <v>150</v>
      </c>
      <c r="B48" s="16">
        <v>902</v>
      </c>
      <c r="C48" s="20" t="s">
        <v>135</v>
      </c>
      <c r="D48" s="20" t="s">
        <v>167</v>
      </c>
      <c r="E48" s="20" t="s">
        <v>999</v>
      </c>
      <c r="F48" s="20" t="s">
        <v>151</v>
      </c>
      <c r="G48" s="26">
        <v>0</v>
      </c>
      <c r="H48" s="261">
        <v>0</v>
      </c>
      <c r="I48" s="261">
        <v>0</v>
      </c>
      <c r="J48" s="228"/>
      <c r="K48" s="117"/>
      <c r="L48" s="117"/>
    </row>
    <row r="49" spans="1:12" s="253" customFormat="1" ht="47.25">
      <c r="A49" s="32" t="s">
        <v>206</v>
      </c>
      <c r="B49" s="16">
        <v>902</v>
      </c>
      <c r="C49" s="20" t="s">
        <v>135</v>
      </c>
      <c r="D49" s="20" t="s">
        <v>167</v>
      </c>
      <c r="E49" s="20" t="s">
        <v>1000</v>
      </c>
      <c r="F49" s="20"/>
      <c r="G49" s="26">
        <f>G50+G52</f>
        <v>741.4000000000001</v>
      </c>
      <c r="H49" s="261">
        <f aca="true" t="shared" si="24" ref="H49:I49">H50+H52</f>
        <v>715.9</v>
      </c>
      <c r="I49" s="261">
        <f t="shared" si="24"/>
        <v>715.9</v>
      </c>
      <c r="J49" s="228"/>
      <c r="K49" s="117"/>
      <c r="L49" s="117"/>
    </row>
    <row r="50" spans="1:12" s="253" customFormat="1" ht="63">
      <c r="A50" s="25" t="s">
        <v>144</v>
      </c>
      <c r="B50" s="16">
        <v>902</v>
      </c>
      <c r="C50" s="20" t="s">
        <v>135</v>
      </c>
      <c r="D50" s="20" t="s">
        <v>167</v>
      </c>
      <c r="E50" s="20" t="s">
        <v>1000</v>
      </c>
      <c r="F50" s="20" t="s">
        <v>145</v>
      </c>
      <c r="G50" s="26">
        <f>G51</f>
        <v>528.7</v>
      </c>
      <c r="H50" s="261">
        <f aca="true" t="shared" si="25" ref="H50:I50">H51</f>
        <v>503.2</v>
      </c>
      <c r="I50" s="261">
        <f t="shared" si="25"/>
        <v>503.2</v>
      </c>
      <c r="J50" s="228"/>
      <c r="K50" s="117"/>
      <c r="L50" s="117"/>
    </row>
    <row r="51" spans="1:12" s="253" customFormat="1" ht="31.5">
      <c r="A51" s="25" t="s">
        <v>146</v>
      </c>
      <c r="B51" s="16">
        <v>902</v>
      </c>
      <c r="C51" s="20" t="s">
        <v>135</v>
      </c>
      <c r="D51" s="20" t="s">
        <v>167</v>
      </c>
      <c r="E51" s="20" t="s">
        <v>1000</v>
      </c>
      <c r="F51" s="20" t="s">
        <v>147</v>
      </c>
      <c r="G51" s="26">
        <f>715.9-223+10.3+25.5</f>
        <v>528.7</v>
      </c>
      <c r="H51" s="261">
        <f aca="true" t="shared" si="26" ref="H51:I51">715.9-223+10.3</f>
        <v>503.2</v>
      </c>
      <c r="I51" s="261">
        <f t="shared" si="26"/>
        <v>503.2</v>
      </c>
      <c r="J51" s="228"/>
      <c r="K51" s="117"/>
      <c r="L51" s="117"/>
    </row>
    <row r="52" spans="1:12" s="253" customFormat="1" ht="31.5">
      <c r="A52" s="25" t="s">
        <v>148</v>
      </c>
      <c r="B52" s="16">
        <v>902</v>
      </c>
      <c r="C52" s="20" t="s">
        <v>135</v>
      </c>
      <c r="D52" s="20" t="s">
        <v>167</v>
      </c>
      <c r="E52" s="20" t="s">
        <v>1000</v>
      </c>
      <c r="F52" s="20" t="s">
        <v>149</v>
      </c>
      <c r="G52" s="26">
        <f>G53</f>
        <v>212.7</v>
      </c>
      <c r="H52" s="261">
        <f aca="true" t="shared" si="27" ref="H52:I52">H53</f>
        <v>212.7</v>
      </c>
      <c r="I52" s="261">
        <f t="shared" si="27"/>
        <v>212.7</v>
      </c>
      <c r="J52" s="228"/>
      <c r="K52" s="117"/>
      <c r="L52" s="117"/>
    </row>
    <row r="53" spans="1:12" s="253" customFormat="1" ht="31.5">
      <c r="A53" s="25" t="s">
        <v>150</v>
      </c>
      <c r="B53" s="16">
        <v>902</v>
      </c>
      <c r="C53" s="20" t="s">
        <v>135</v>
      </c>
      <c r="D53" s="20" t="s">
        <v>167</v>
      </c>
      <c r="E53" s="20" t="s">
        <v>1000</v>
      </c>
      <c r="F53" s="20" t="s">
        <v>151</v>
      </c>
      <c r="G53" s="26">
        <f>223-20.7+20.7-10.3</f>
        <v>212.7</v>
      </c>
      <c r="H53" s="261">
        <f aca="true" t="shared" si="28" ref="H53:I53">223-20.7+20.7-10.3</f>
        <v>212.7</v>
      </c>
      <c r="I53" s="261">
        <f t="shared" si="28"/>
        <v>212.7</v>
      </c>
      <c r="J53" s="228"/>
      <c r="K53" s="117"/>
      <c r="L53" s="117"/>
    </row>
    <row r="54" spans="1:12" s="253" customFormat="1" ht="47.25">
      <c r="A54" s="32" t="s">
        <v>211</v>
      </c>
      <c r="B54" s="16">
        <v>902</v>
      </c>
      <c r="C54" s="20" t="s">
        <v>135</v>
      </c>
      <c r="D54" s="20" t="s">
        <v>167</v>
      </c>
      <c r="E54" s="20" t="s">
        <v>1212</v>
      </c>
      <c r="F54" s="20"/>
      <c r="G54" s="26">
        <f>G55+G57</f>
        <v>1333.1</v>
      </c>
      <c r="H54" s="261">
        <f aca="true" t="shared" si="29" ref="H54:I54">H55+H57</f>
        <v>1333.1</v>
      </c>
      <c r="I54" s="261">
        <f t="shared" si="29"/>
        <v>1333.1</v>
      </c>
      <c r="J54" s="228"/>
      <c r="K54" s="117"/>
      <c r="L54" s="117"/>
    </row>
    <row r="55" spans="1:12" s="253" customFormat="1" ht="63">
      <c r="A55" s="25" t="s">
        <v>144</v>
      </c>
      <c r="B55" s="16">
        <v>902</v>
      </c>
      <c r="C55" s="20" t="s">
        <v>135</v>
      </c>
      <c r="D55" s="20" t="s">
        <v>167</v>
      </c>
      <c r="E55" s="20" t="s">
        <v>1212</v>
      </c>
      <c r="F55" s="20" t="s">
        <v>145</v>
      </c>
      <c r="G55" s="26">
        <f>G56</f>
        <v>1271.8999999999999</v>
      </c>
      <c r="H55" s="261">
        <f aca="true" t="shared" si="30" ref="H55:I55">H56</f>
        <v>1271.8999999999999</v>
      </c>
      <c r="I55" s="261">
        <f t="shared" si="30"/>
        <v>1271.8999999999999</v>
      </c>
      <c r="J55" s="228"/>
      <c r="K55" s="117"/>
      <c r="L55" s="117"/>
    </row>
    <row r="56" spans="1:12" s="253" customFormat="1" ht="31.5">
      <c r="A56" s="25" t="s">
        <v>146</v>
      </c>
      <c r="B56" s="16">
        <v>902</v>
      </c>
      <c r="C56" s="20" t="s">
        <v>135</v>
      </c>
      <c r="D56" s="20" t="s">
        <v>167</v>
      </c>
      <c r="E56" s="20" t="s">
        <v>1212</v>
      </c>
      <c r="F56" s="20" t="s">
        <v>147</v>
      </c>
      <c r="G56" s="26">
        <f>1333.1-39.7-21.5</f>
        <v>1271.8999999999999</v>
      </c>
      <c r="H56" s="261">
        <f aca="true" t="shared" si="31" ref="H56:I56">1333.1-39.7-21.5</f>
        <v>1271.8999999999999</v>
      </c>
      <c r="I56" s="261">
        <f t="shared" si="31"/>
        <v>1271.8999999999999</v>
      </c>
      <c r="J56" s="228"/>
      <c r="K56" s="117"/>
      <c r="L56" s="117"/>
    </row>
    <row r="57" spans="1:12" s="253" customFormat="1" ht="31.5">
      <c r="A57" s="25" t="s">
        <v>148</v>
      </c>
      <c r="B57" s="16">
        <v>902</v>
      </c>
      <c r="C57" s="20" t="s">
        <v>135</v>
      </c>
      <c r="D57" s="20" t="s">
        <v>167</v>
      </c>
      <c r="E57" s="20" t="s">
        <v>1212</v>
      </c>
      <c r="F57" s="20" t="s">
        <v>149</v>
      </c>
      <c r="G57" s="26">
        <f>G58</f>
        <v>61.2</v>
      </c>
      <c r="H57" s="261">
        <f aca="true" t="shared" si="32" ref="H57:I57">H58</f>
        <v>61.2</v>
      </c>
      <c r="I57" s="261">
        <f t="shared" si="32"/>
        <v>61.2</v>
      </c>
      <c r="J57" s="228"/>
      <c r="K57" s="117"/>
      <c r="L57" s="117"/>
    </row>
    <row r="58" spans="1:12" s="253" customFormat="1" ht="31.5">
      <c r="A58" s="25" t="s">
        <v>150</v>
      </c>
      <c r="B58" s="16">
        <v>902</v>
      </c>
      <c r="C58" s="20" t="s">
        <v>135</v>
      </c>
      <c r="D58" s="20" t="s">
        <v>167</v>
      </c>
      <c r="E58" s="20" t="s">
        <v>1212</v>
      </c>
      <c r="F58" s="20" t="s">
        <v>151</v>
      </c>
      <c r="G58" s="26">
        <f>156.9-116.5-0.7+21.5</f>
        <v>61.2</v>
      </c>
      <c r="H58" s="261">
        <f aca="true" t="shared" si="33" ref="H58:I58">156.9-116.5-0.7+21.5</f>
        <v>61.2</v>
      </c>
      <c r="I58" s="261">
        <f t="shared" si="33"/>
        <v>61.2</v>
      </c>
      <c r="J58" s="228"/>
      <c r="K58" s="117"/>
      <c r="L58" s="117"/>
    </row>
    <row r="59" spans="1:12" s="253" customFormat="1" ht="31.5">
      <c r="A59" s="32" t="s">
        <v>213</v>
      </c>
      <c r="B59" s="16">
        <v>902</v>
      </c>
      <c r="C59" s="20" t="s">
        <v>135</v>
      </c>
      <c r="D59" s="20" t="s">
        <v>167</v>
      </c>
      <c r="E59" s="20" t="s">
        <v>1001</v>
      </c>
      <c r="F59" s="20"/>
      <c r="G59" s="26">
        <f>G60+G62</f>
        <v>1117.3</v>
      </c>
      <c r="H59" s="261">
        <f aca="true" t="shared" si="34" ref="H59:I59">H60+H62</f>
        <v>1106.2</v>
      </c>
      <c r="I59" s="261">
        <f t="shared" si="34"/>
        <v>1106.2</v>
      </c>
      <c r="J59" s="228"/>
      <c r="K59" s="117"/>
      <c r="L59" s="117"/>
    </row>
    <row r="60" spans="1:12" s="253" customFormat="1" ht="63">
      <c r="A60" s="25" t="s">
        <v>144</v>
      </c>
      <c r="B60" s="16">
        <v>902</v>
      </c>
      <c r="C60" s="20" t="s">
        <v>135</v>
      </c>
      <c r="D60" s="20" t="s">
        <v>167</v>
      </c>
      <c r="E60" s="20" t="s">
        <v>1001</v>
      </c>
      <c r="F60" s="20" t="s">
        <v>145</v>
      </c>
      <c r="G60" s="26">
        <f>G61</f>
        <v>1026.5</v>
      </c>
      <c r="H60" s="261">
        <f aca="true" t="shared" si="35" ref="H60:I60">H61</f>
        <v>1026.5</v>
      </c>
      <c r="I60" s="261">
        <f t="shared" si="35"/>
        <v>1026.5</v>
      </c>
      <c r="J60" s="228"/>
      <c r="K60" s="117"/>
      <c r="L60" s="117"/>
    </row>
    <row r="61" spans="1:12" s="253" customFormat="1" ht="31.5">
      <c r="A61" s="25" t="s">
        <v>146</v>
      </c>
      <c r="B61" s="16">
        <v>902</v>
      </c>
      <c r="C61" s="20" t="s">
        <v>135</v>
      </c>
      <c r="D61" s="20" t="s">
        <v>167</v>
      </c>
      <c r="E61" s="20" t="s">
        <v>1001</v>
      </c>
      <c r="F61" s="20" t="s">
        <v>147</v>
      </c>
      <c r="G61" s="26">
        <f>1537-463.9-47.6+17.7-16.7</f>
        <v>1026.5</v>
      </c>
      <c r="H61" s="26">
        <f aca="true" t="shared" si="36" ref="H61:I61">1537-463.9-47.6+17.7-16.7</f>
        <v>1026.5</v>
      </c>
      <c r="I61" s="26">
        <f t="shared" si="36"/>
        <v>1026.5</v>
      </c>
      <c r="J61" s="228"/>
      <c r="K61" s="117"/>
      <c r="L61" s="117"/>
    </row>
    <row r="62" spans="1:12" s="253" customFormat="1" ht="31.5">
      <c r="A62" s="25" t="s">
        <v>215</v>
      </c>
      <c r="B62" s="16">
        <v>902</v>
      </c>
      <c r="C62" s="20" t="s">
        <v>135</v>
      </c>
      <c r="D62" s="20" t="s">
        <v>167</v>
      </c>
      <c r="E62" s="20" t="s">
        <v>1001</v>
      </c>
      <c r="F62" s="20" t="s">
        <v>149</v>
      </c>
      <c r="G62" s="26">
        <f>G63</f>
        <v>90.8</v>
      </c>
      <c r="H62" s="26">
        <f aca="true" t="shared" si="37" ref="H62:I62">H63</f>
        <v>79.7</v>
      </c>
      <c r="I62" s="26">
        <f t="shared" si="37"/>
        <v>79.7</v>
      </c>
      <c r="J62" s="228"/>
      <c r="K62" s="117"/>
      <c r="L62" s="117"/>
    </row>
    <row r="63" spans="1:12" s="253" customFormat="1" ht="31.5">
      <c r="A63" s="25" t="s">
        <v>150</v>
      </c>
      <c r="B63" s="16">
        <v>902</v>
      </c>
      <c r="C63" s="20" t="s">
        <v>135</v>
      </c>
      <c r="D63" s="20" t="s">
        <v>167</v>
      </c>
      <c r="E63" s="20" t="s">
        <v>1001</v>
      </c>
      <c r="F63" s="20" t="s">
        <v>151</v>
      </c>
      <c r="G63" s="26">
        <f>33.1+47.6-17.7+16.7+11.1</f>
        <v>90.8</v>
      </c>
      <c r="H63" s="26">
        <f aca="true" t="shared" si="38" ref="H63:I63">33.1+47.6-17.7+16.7</f>
        <v>79.7</v>
      </c>
      <c r="I63" s="26">
        <f t="shared" si="38"/>
        <v>79.7</v>
      </c>
      <c r="J63" s="228"/>
      <c r="K63" s="117"/>
      <c r="L63" s="117"/>
    </row>
    <row r="64" spans="1:12" s="253" customFormat="1" ht="47.25">
      <c r="A64" s="23" t="s">
        <v>822</v>
      </c>
      <c r="B64" s="19">
        <v>902</v>
      </c>
      <c r="C64" s="24" t="s">
        <v>135</v>
      </c>
      <c r="D64" s="24" t="s">
        <v>167</v>
      </c>
      <c r="E64" s="24" t="s">
        <v>179</v>
      </c>
      <c r="F64" s="24"/>
      <c r="G64" s="21">
        <f>G65+G69+G75</f>
        <v>780.5</v>
      </c>
      <c r="H64" s="272">
        <f aca="true" t="shared" si="39" ref="H64:I64">H65+H69+H75</f>
        <v>780.5</v>
      </c>
      <c r="I64" s="272">
        <f t="shared" si="39"/>
        <v>780.5</v>
      </c>
      <c r="J64" s="228"/>
      <c r="K64" s="117"/>
      <c r="L64" s="117"/>
    </row>
    <row r="65" spans="1:12" s="253" customFormat="1" ht="47.25">
      <c r="A65" s="322" t="s">
        <v>1164</v>
      </c>
      <c r="B65" s="19">
        <v>902</v>
      </c>
      <c r="C65" s="24" t="s">
        <v>135</v>
      </c>
      <c r="D65" s="24" t="s">
        <v>167</v>
      </c>
      <c r="E65" s="7" t="s">
        <v>900</v>
      </c>
      <c r="F65" s="24"/>
      <c r="G65" s="21">
        <f>G66</f>
        <v>491</v>
      </c>
      <c r="H65" s="272">
        <f aca="true" t="shared" si="40" ref="H65:I67">H66</f>
        <v>491</v>
      </c>
      <c r="I65" s="272">
        <f t="shared" si="40"/>
        <v>491</v>
      </c>
      <c r="J65" s="228"/>
      <c r="K65" s="117"/>
      <c r="L65" s="117"/>
    </row>
    <row r="66" spans="1:12" s="253" customFormat="1" ht="31.5">
      <c r="A66" s="30" t="s">
        <v>1163</v>
      </c>
      <c r="B66" s="16">
        <v>902</v>
      </c>
      <c r="C66" s="20" t="s">
        <v>135</v>
      </c>
      <c r="D66" s="20" t="s">
        <v>167</v>
      </c>
      <c r="E66" s="41" t="s">
        <v>892</v>
      </c>
      <c r="F66" s="20"/>
      <c r="G66" s="26">
        <f>G67</f>
        <v>491</v>
      </c>
      <c r="H66" s="261">
        <f t="shared" si="40"/>
        <v>491</v>
      </c>
      <c r="I66" s="261">
        <f t="shared" si="40"/>
        <v>491</v>
      </c>
      <c r="J66" s="228"/>
      <c r="K66" s="117"/>
      <c r="L66" s="117"/>
    </row>
    <row r="67" spans="1:12" s="253" customFormat="1" ht="31.5">
      <c r="A67" s="25" t="s">
        <v>148</v>
      </c>
      <c r="B67" s="16">
        <v>902</v>
      </c>
      <c r="C67" s="20" t="s">
        <v>135</v>
      </c>
      <c r="D67" s="20" t="s">
        <v>167</v>
      </c>
      <c r="E67" s="41" t="s">
        <v>892</v>
      </c>
      <c r="F67" s="20" t="s">
        <v>149</v>
      </c>
      <c r="G67" s="26">
        <f>G68</f>
        <v>491</v>
      </c>
      <c r="H67" s="261">
        <f t="shared" si="40"/>
        <v>491</v>
      </c>
      <c r="I67" s="261">
        <f t="shared" si="40"/>
        <v>491</v>
      </c>
      <c r="J67" s="228"/>
      <c r="K67" s="117"/>
      <c r="L67" s="117"/>
    </row>
    <row r="68" spans="1:12" s="253" customFormat="1" ht="31.5">
      <c r="A68" s="25" t="s">
        <v>150</v>
      </c>
      <c r="B68" s="16">
        <v>902</v>
      </c>
      <c r="C68" s="20" t="s">
        <v>135</v>
      </c>
      <c r="D68" s="20" t="s">
        <v>167</v>
      </c>
      <c r="E68" s="41" t="s">
        <v>892</v>
      </c>
      <c r="F68" s="20" t="s">
        <v>151</v>
      </c>
      <c r="G68" s="26">
        <f>428.1+62.9</f>
        <v>491</v>
      </c>
      <c r="H68" s="261">
        <f aca="true" t="shared" si="41" ref="H68:I68">428.1+62.9</f>
        <v>491</v>
      </c>
      <c r="I68" s="261">
        <f t="shared" si="41"/>
        <v>491</v>
      </c>
      <c r="J68" s="228"/>
      <c r="K68" s="117"/>
      <c r="L68" s="117"/>
    </row>
    <row r="69" spans="1:12" s="253" customFormat="1" ht="63">
      <c r="A69" s="321" t="s">
        <v>894</v>
      </c>
      <c r="B69" s="19">
        <v>902</v>
      </c>
      <c r="C69" s="24" t="s">
        <v>135</v>
      </c>
      <c r="D69" s="24" t="s">
        <v>167</v>
      </c>
      <c r="E69" s="7" t="s">
        <v>901</v>
      </c>
      <c r="F69" s="24"/>
      <c r="G69" s="21">
        <f>G70</f>
        <v>249</v>
      </c>
      <c r="H69" s="272">
        <f aca="true" t="shared" si="42" ref="H69:I69">H70</f>
        <v>249</v>
      </c>
      <c r="I69" s="272">
        <f t="shared" si="42"/>
        <v>249</v>
      </c>
      <c r="J69" s="228"/>
      <c r="K69" s="117"/>
      <c r="L69" s="117"/>
    </row>
    <row r="70" spans="1:12" s="253" customFormat="1" ht="47.25">
      <c r="A70" s="188" t="s">
        <v>182</v>
      </c>
      <c r="B70" s="16">
        <v>902</v>
      </c>
      <c r="C70" s="20" t="s">
        <v>135</v>
      </c>
      <c r="D70" s="20" t="s">
        <v>167</v>
      </c>
      <c r="E70" s="41" t="s">
        <v>893</v>
      </c>
      <c r="F70" s="20"/>
      <c r="G70" s="26">
        <f>G71+G73</f>
        <v>249</v>
      </c>
      <c r="H70" s="261">
        <f aca="true" t="shared" si="43" ref="H70:I70">H71+H73</f>
        <v>249</v>
      </c>
      <c r="I70" s="261">
        <f t="shared" si="43"/>
        <v>249</v>
      </c>
      <c r="J70" s="228"/>
      <c r="K70" s="117"/>
      <c r="L70" s="117"/>
    </row>
    <row r="71" spans="1:12" s="253" customFormat="1" ht="63">
      <c r="A71" s="25" t="s">
        <v>144</v>
      </c>
      <c r="B71" s="16">
        <v>902</v>
      </c>
      <c r="C71" s="20" t="s">
        <v>135</v>
      </c>
      <c r="D71" s="20" t="s">
        <v>167</v>
      </c>
      <c r="E71" s="41" t="s">
        <v>893</v>
      </c>
      <c r="F71" s="20" t="s">
        <v>145</v>
      </c>
      <c r="G71" s="26">
        <f>G72</f>
        <v>159.7</v>
      </c>
      <c r="H71" s="261">
        <f aca="true" t="shared" si="44" ref="H71:I71">H72</f>
        <v>159.7</v>
      </c>
      <c r="I71" s="261">
        <f t="shared" si="44"/>
        <v>159.7</v>
      </c>
      <c r="J71" s="228"/>
      <c r="K71" s="117"/>
      <c r="L71" s="117"/>
    </row>
    <row r="72" spans="1:12" s="253" customFormat="1" ht="31.5">
      <c r="A72" s="25" t="s">
        <v>146</v>
      </c>
      <c r="B72" s="16">
        <v>902</v>
      </c>
      <c r="C72" s="20" t="s">
        <v>135</v>
      </c>
      <c r="D72" s="20" t="s">
        <v>167</v>
      </c>
      <c r="E72" s="41" t="s">
        <v>893</v>
      </c>
      <c r="F72" s="20" t="s">
        <v>147</v>
      </c>
      <c r="G72" s="26">
        <v>159.7</v>
      </c>
      <c r="H72" s="261">
        <v>159.7</v>
      </c>
      <c r="I72" s="261">
        <v>159.7</v>
      </c>
      <c r="J72" s="228"/>
      <c r="K72" s="117"/>
      <c r="L72" s="117"/>
    </row>
    <row r="73" spans="1:12" s="253" customFormat="1" ht="31.5">
      <c r="A73" s="25" t="s">
        <v>148</v>
      </c>
      <c r="B73" s="16">
        <v>902</v>
      </c>
      <c r="C73" s="20" t="s">
        <v>135</v>
      </c>
      <c r="D73" s="20" t="s">
        <v>167</v>
      </c>
      <c r="E73" s="41" t="s">
        <v>893</v>
      </c>
      <c r="F73" s="20" t="s">
        <v>149</v>
      </c>
      <c r="G73" s="26">
        <f>G74</f>
        <v>89.30000000000001</v>
      </c>
      <c r="H73" s="261">
        <f aca="true" t="shared" si="45" ref="H73:I73">H74</f>
        <v>89.30000000000001</v>
      </c>
      <c r="I73" s="261">
        <f t="shared" si="45"/>
        <v>89.30000000000001</v>
      </c>
      <c r="J73" s="228"/>
      <c r="K73" s="117"/>
      <c r="L73" s="117"/>
    </row>
    <row r="74" spans="1:12" s="253" customFormat="1" ht="31.5">
      <c r="A74" s="25" t="s">
        <v>150</v>
      </c>
      <c r="B74" s="16">
        <v>902</v>
      </c>
      <c r="C74" s="20" t="s">
        <v>135</v>
      </c>
      <c r="D74" s="20" t="s">
        <v>167</v>
      </c>
      <c r="E74" s="41" t="s">
        <v>893</v>
      </c>
      <c r="F74" s="20" t="s">
        <v>151</v>
      </c>
      <c r="G74" s="26">
        <f>65.2+24.6-0.5</f>
        <v>89.30000000000001</v>
      </c>
      <c r="H74" s="261">
        <f aca="true" t="shared" si="46" ref="H74:I74">65.2+24.6-0.5</f>
        <v>89.30000000000001</v>
      </c>
      <c r="I74" s="261">
        <f t="shared" si="46"/>
        <v>89.30000000000001</v>
      </c>
      <c r="J74" s="228"/>
      <c r="K74" s="117"/>
      <c r="L74" s="117"/>
    </row>
    <row r="75" spans="1:12" s="253" customFormat="1" ht="51" customHeight="1">
      <c r="A75" s="323" t="s">
        <v>1165</v>
      </c>
      <c r="B75" s="19">
        <v>902</v>
      </c>
      <c r="C75" s="24" t="s">
        <v>135</v>
      </c>
      <c r="D75" s="24" t="s">
        <v>167</v>
      </c>
      <c r="E75" s="7" t="s">
        <v>902</v>
      </c>
      <c r="F75" s="24"/>
      <c r="G75" s="21">
        <f>G76+G79</f>
        <v>40.5</v>
      </c>
      <c r="H75" s="272">
        <f aca="true" t="shared" si="47" ref="H75:I75">H76+H79</f>
        <v>40.5</v>
      </c>
      <c r="I75" s="272">
        <f t="shared" si="47"/>
        <v>40.5</v>
      </c>
      <c r="J75" s="228"/>
      <c r="K75" s="117"/>
      <c r="L75" s="117"/>
    </row>
    <row r="76" spans="1:12" s="253" customFormat="1" ht="31.5">
      <c r="A76" s="34" t="s">
        <v>1319</v>
      </c>
      <c r="B76" s="16">
        <v>902</v>
      </c>
      <c r="C76" s="20" t="s">
        <v>135</v>
      </c>
      <c r="D76" s="20" t="s">
        <v>167</v>
      </c>
      <c r="E76" s="41" t="s">
        <v>895</v>
      </c>
      <c r="F76" s="20"/>
      <c r="G76" s="26">
        <f>G77</f>
        <v>0.5</v>
      </c>
      <c r="H76" s="261">
        <f aca="true" t="shared" si="48" ref="H76:I77">H77</f>
        <v>0.5</v>
      </c>
      <c r="I76" s="261">
        <f t="shared" si="48"/>
        <v>0.5</v>
      </c>
      <c r="J76" s="228"/>
      <c r="K76" s="117"/>
      <c r="L76" s="117"/>
    </row>
    <row r="77" spans="1:12" s="253" customFormat="1" ht="31.5">
      <c r="A77" s="25" t="s">
        <v>148</v>
      </c>
      <c r="B77" s="16">
        <v>902</v>
      </c>
      <c r="C77" s="20" t="s">
        <v>135</v>
      </c>
      <c r="D77" s="20" t="s">
        <v>167</v>
      </c>
      <c r="E77" s="41" t="s">
        <v>895</v>
      </c>
      <c r="F77" s="20" t="s">
        <v>149</v>
      </c>
      <c r="G77" s="26">
        <f>G78</f>
        <v>0.5</v>
      </c>
      <c r="H77" s="261">
        <f t="shared" si="48"/>
        <v>0.5</v>
      </c>
      <c r="I77" s="261">
        <f t="shared" si="48"/>
        <v>0.5</v>
      </c>
      <c r="J77" s="228"/>
      <c r="K77" s="117"/>
      <c r="L77" s="117"/>
    </row>
    <row r="78" spans="1:12" s="253" customFormat="1" ht="31.5">
      <c r="A78" s="25" t="s">
        <v>150</v>
      </c>
      <c r="B78" s="16">
        <v>902</v>
      </c>
      <c r="C78" s="20" t="s">
        <v>135</v>
      </c>
      <c r="D78" s="20" t="s">
        <v>167</v>
      </c>
      <c r="E78" s="41" t="s">
        <v>895</v>
      </c>
      <c r="F78" s="20" t="s">
        <v>151</v>
      </c>
      <c r="G78" s="26">
        <v>0.5</v>
      </c>
      <c r="H78" s="261">
        <v>0.5</v>
      </c>
      <c r="I78" s="261">
        <v>0.5</v>
      </c>
      <c r="J78" s="228"/>
      <c r="K78" s="117"/>
      <c r="L78" s="117"/>
    </row>
    <row r="79" spans="1:12" s="253" customFormat="1" ht="31.5">
      <c r="A79" s="34" t="s">
        <v>208</v>
      </c>
      <c r="B79" s="16">
        <v>902</v>
      </c>
      <c r="C79" s="20" t="s">
        <v>135</v>
      </c>
      <c r="D79" s="20" t="s">
        <v>167</v>
      </c>
      <c r="E79" s="20" t="s">
        <v>896</v>
      </c>
      <c r="F79" s="20"/>
      <c r="G79" s="26">
        <f>G80</f>
        <v>40</v>
      </c>
      <c r="H79" s="261">
        <f aca="true" t="shared" si="49" ref="H79:I80">H80</f>
        <v>40</v>
      </c>
      <c r="I79" s="261">
        <f t="shared" si="49"/>
        <v>40</v>
      </c>
      <c r="J79" s="228"/>
      <c r="K79" s="117"/>
      <c r="L79" s="117"/>
    </row>
    <row r="80" spans="1:12" s="253" customFormat="1" ht="31.5">
      <c r="A80" s="25" t="s">
        <v>148</v>
      </c>
      <c r="B80" s="16">
        <v>902</v>
      </c>
      <c r="C80" s="20" t="s">
        <v>135</v>
      </c>
      <c r="D80" s="20" t="s">
        <v>167</v>
      </c>
      <c r="E80" s="20" t="s">
        <v>896</v>
      </c>
      <c r="F80" s="20" t="s">
        <v>149</v>
      </c>
      <c r="G80" s="26">
        <f>G81</f>
        <v>40</v>
      </c>
      <c r="H80" s="261">
        <f t="shared" si="49"/>
        <v>40</v>
      </c>
      <c r="I80" s="261">
        <f t="shared" si="49"/>
        <v>40</v>
      </c>
      <c r="J80" s="228"/>
      <c r="K80" s="117"/>
      <c r="L80" s="117"/>
    </row>
    <row r="81" spans="1:12" s="253" customFormat="1" ht="31.5">
      <c r="A81" s="25" t="s">
        <v>150</v>
      </c>
      <c r="B81" s="16">
        <v>902</v>
      </c>
      <c r="C81" s="20" t="s">
        <v>135</v>
      </c>
      <c r="D81" s="20" t="s">
        <v>167</v>
      </c>
      <c r="E81" s="20" t="s">
        <v>896</v>
      </c>
      <c r="F81" s="20" t="s">
        <v>151</v>
      </c>
      <c r="G81" s="26">
        <v>40</v>
      </c>
      <c r="H81" s="261">
        <v>40</v>
      </c>
      <c r="I81" s="261">
        <v>40</v>
      </c>
      <c r="J81" s="228"/>
      <c r="K81" s="117"/>
      <c r="L81" s="117"/>
    </row>
    <row r="82" spans="1:12" ht="47.25">
      <c r="A82" s="23" t="s">
        <v>136</v>
      </c>
      <c r="B82" s="19">
        <v>902</v>
      </c>
      <c r="C82" s="24" t="s">
        <v>135</v>
      </c>
      <c r="D82" s="24" t="s">
        <v>137</v>
      </c>
      <c r="E82" s="24"/>
      <c r="F82" s="20"/>
      <c r="G82" s="21">
        <f>G83</f>
        <v>1441.234</v>
      </c>
      <c r="H82" s="272">
        <f aca="true" t="shared" si="50" ref="H82:I83">H83</f>
        <v>2238.5</v>
      </c>
      <c r="I82" s="272">
        <f t="shared" si="50"/>
        <v>2238.5</v>
      </c>
      <c r="L82" s="244"/>
    </row>
    <row r="83" spans="1:12" ht="39" customHeight="1">
      <c r="A83" s="23" t="s">
        <v>995</v>
      </c>
      <c r="B83" s="19">
        <v>902</v>
      </c>
      <c r="C83" s="24" t="s">
        <v>135</v>
      </c>
      <c r="D83" s="24" t="s">
        <v>137</v>
      </c>
      <c r="E83" s="24" t="s">
        <v>909</v>
      </c>
      <c r="F83" s="24"/>
      <c r="G83" s="21">
        <f>G84</f>
        <v>1441.234</v>
      </c>
      <c r="H83" s="272">
        <f t="shared" si="50"/>
        <v>2238.5</v>
      </c>
      <c r="I83" s="272">
        <f t="shared" si="50"/>
        <v>2238.5</v>
      </c>
      <c r="L83" s="117"/>
    </row>
    <row r="84" spans="1:12" ht="15.75">
      <c r="A84" s="23" t="s">
        <v>996</v>
      </c>
      <c r="B84" s="19">
        <v>902</v>
      </c>
      <c r="C84" s="24" t="s">
        <v>135</v>
      </c>
      <c r="D84" s="24" t="s">
        <v>137</v>
      </c>
      <c r="E84" s="24" t="s">
        <v>910</v>
      </c>
      <c r="F84" s="24"/>
      <c r="G84" s="21">
        <f>G85+G88</f>
        <v>1441.234</v>
      </c>
      <c r="H84" s="272">
        <f aca="true" t="shared" si="51" ref="H84:I84">H85+H88</f>
        <v>2238.5</v>
      </c>
      <c r="I84" s="272">
        <f t="shared" si="51"/>
        <v>2238.5</v>
      </c>
      <c r="L84" s="117"/>
    </row>
    <row r="85" spans="1:12" ht="31.5">
      <c r="A85" s="25" t="s">
        <v>972</v>
      </c>
      <c r="B85" s="16">
        <v>902</v>
      </c>
      <c r="C85" s="20" t="s">
        <v>135</v>
      </c>
      <c r="D85" s="20" t="s">
        <v>137</v>
      </c>
      <c r="E85" s="20" t="s">
        <v>911</v>
      </c>
      <c r="F85" s="20"/>
      <c r="G85" s="26">
        <f>G86</f>
        <v>1291.234</v>
      </c>
      <c r="H85" s="261">
        <f aca="true" t="shared" si="52" ref="H85:I85">H86+H88</f>
        <v>2238.5</v>
      </c>
      <c r="I85" s="261">
        <f t="shared" si="52"/>
        <v>2238.5</v>
      </c>
      <c r="L85" s="117"/>
    </row>
    <row r="86" spans="1:12" ht="63">
      <c r="A86" s="25" t="s">
        <v>144</v>
      </c>
      <c r="B86" s="16">
        <v>902</v>
      </c>
      <c r="C86" s="20" t="s">
        <v>135</v>
      </c>
      <c r="D86" s="20" t="s">
        <v>137</v>
      </c>
      <c r="E86" s="20" t="s">
        <v>911</v>
      </c>
      <c r="F86" s="20" t="s">
        <v>145</v>
      </c>
      <c r="G86" s="26">
        <f>G87</f>
        <v>1291.234</v>
      </c>
      <c r="H86" s="261">
        <f aca="true" t="shared" si="53" ref="H86:I86">H87</f>
        <v>2238.5</v>
      </c>
      <c r="I86" s="261">
        <f t="shared" si="53"/>
        <v>2238.5</v>
      </c>
      <c r="L86" s="117"/>
    </row>
    <row r="87" spans="1:12" ht="31.5">
      <c r="A87" s="25" t="s">
        <v>146</v>
      </c>
      <c r="B87" s="16">
        <v>902</v>
      </c>
      <c r="C87" s="20" t="s">
        <v>135</v>
      </c>
      <c r="D87" s="20" t="s">
        <v>137</v>
      </c>
      <c r="E87" s="20" t="s">
        <v>911</v>
      </c>
      <c r="F87" s="20" t="s">
        <v>147</v>
      </c>
      <c r="G87" s="27">
        <f>1238*1.043</f>
        <v>1291.234</v>
      </c>
      <c r="H87" s="262">
        <v>2238.5</v>
      </c>
      <c r="I87" s="262">
        <v>2238.5</v>
      </c>
      <c r="J87" s="273"/>
      <c r="L87" s="245"/>
    </row>
    <row r="88" spans="1:12" ht="31.5" customHeight="1">
      <c r="A88" s="25" t="s">
        <v>889</v>
      </c>
      <c r="B88" s="16">
        <v>902</v>
      </c>
      <c r="C88" s="20" t="s">
        <v>135</v>
      </c>
      <c r="D88" s="20" t="s">
        <v>137</v>
      </c>
      <c r="E88" s="20" t="s">
        <v>913</v>
      </c>
      <c r="F88" s="20"/>
      <c r="G88" s="26">
        <f>G89</f>
        <v>150</v>
      </c>
      <c r="H88" s="261">
        <f aca="true" t="shared" si="54" ref="H88:I89">H89</f>
        <v>0</v>
      </c>
      <c r="I88" s="261">
        <f t="shared" si="54"/>
        <v>0</v>
      </c>
      <c r="L88" s="244"/>
    </row>
    <row r="89" spans="1:12" s="253" customFormat="1" ht="31.5" customHeight="1">
      <c r="A89" s="25" t="s">
        <v>144</v>
      </c>
      <c r="B89" s="16">
        <v>902</v>
      </c>
      <c r="C89" s="20" t="s">
        <v>135</v>
      </c>
      <c r="D89" s="20" t="s">
        <v>137</v>
      </c>
      <c r="E89" s="20" t="s">
        <v>913</v>
      </c>
      <c r="F89" s="20" t="s">
        <v>145</v>
      </c>
      <c r="G89" s="26">
        <f>G90</f>
        <v>150</v>
      </c>
      <c r="H89" s="261">
        <f t="shared" si="54"/>
        <v>0</v>
      </c>
      <c r="I89" s="261">
        <f t="shared" si="54"/>
        <v>0</v>
      </c>
      <c r="J89" s="228"/>
      <c r="K89" s="117"/>
      <c r="L89" s="244"/>
    </row>
    <row r="90" spans="1:12" ht="34.5" customHeight="1">
      <c r="A90" s="25" t="s">
        <v>146</v>
      </c>
      <c r="B90" s="16">
        <v>902</v>
      </c>
      <c r="C90" s="20" t="s">
        <v>135</v>
      </c>
      <c r="D90" s="20" t="s">
        <v>137</v>
      </c>
      <c r="E90" s="20" t="s">
        <v>913</v>
      </c>
      <c r="F90" s="20" t="s">
        <v>147</v>
      </c>
      <c r="G90" s="26">
        <v>150</v>
      </c>
      <c r="H90" s="308"/>
      <c r="I90" s="308"/>
      <c r="J90" s="228" t="s">
        <v>1324</v>
      </c>
      <c r="L90" s="117"/>
    </row>
    <row r="91" spans="1:12" ht="15.75">
      <c r="A91" s="23" t="s">
        <v>156</v>
      </c>
      <c r="B91" s="19">
        <v>902</v>
      </c>
      <c r="C91" s="24" t="s">
        <v>135</v>
      </c>
      <c r="D91" s="24" t="s">
        <v>157</v>
      </c>
      <c r="E91" s="24"/>
      <c r="F91" s="24"/>
      <c r="G91" s="21">
        <f>G102+G111+G92+G116</f>
        <v>5949.696</v>
      </c>
      <c r="H91" s="272">
        <f aca="true" t="shared" si="55" ref="H91:I91">H102+H111+H92+H116</f>
        <v>5732.6</v>
      </c>
      <c r="I91" s="272">
        <f t="shared" si="55"/>
        <v>5732.6</v>
      </c>
      <c r="J91" s="275">
        <f>G91+G200+G462+G489+G784</f>
        <v>58118.516</v>
      </c>
      <c r="K91" s="122">
        <v>58004.8</v>
      </c>
      <c r="L91" s="122">
        <f>K91-J91</f>
        <v>-113.71600000000035</v>
      </c>
    </row>
    <row r="92" spans="1:12" s="253" customFormat="1" ht="19.5" customHeight="1">
      <c r="A92" s="23" t="s">
        <v>158</v>
      </c>
      <c r="B92" s="19">
        <v>902</v>
      </c>
      <c r="C92" s="24" t="s">
        <v>135</v>
      </c>
      <c r="D92" s="24" t="s">
        <v>157</v>
      </c>
      <c r="E92" s="24" t="s">
        <v>917</v>
      </c>
      <c r="F92" s="24"/>
      <c r="G92" s="21">
        <f>G93</f>
        <v>5796.696</v>
      </c>
      <c r="H92" s="272">
        <f aca="true" t="shared" si="56" ref="H92:I92">H93</f>
        <v>5612.6</v>
      </c>
      <c r="I92" s="272">
        <f t="shared" si="56"/>
        <v>5612.6</v>
      </c>
      <c r="J92" s="228"/>
      <c r="K92" s="117"/>
      <c r="L92" s="244"/>
    </row>
    <row r="93" spans="1:12" s="253" customFormat="1" ht="34.5" customHeight="1">
      <c r="A93" s="23" t="s">
        <v>1002</v>
      </c>
      <c r="B93" s="19">
        <v>902</v>
      </c>
      <c r="C93" s="24" t="s">
        <v>135</v>
      </c>
      <c r="D93" s="24" t="s">
        <v>157</v>
      </c>
      <c r="E93" s="24" t="s">
        <v>918</v>
      </c>
      <c r="F93" s="24"/>
      <c r="G93" s="21">
        <f>G94+G99</f>
        <v>5796.696</v>
      </c>
      <c r="H93" s="272">
        <f aca="true" t="shared" si="57" ref="H93:I93">H94+H99</f>
        <v>5612.6</v>
      </c>
      <c r="I93" s="272">
        <f t="shared" si="57"/>
        <v>5612.6</v>
      </c>
      <c r="J93" s="228"/>
      <c r="K93" s="117"/>
      <c r="L93" s="244"/>
    </row>
    <row r="94" spans="1:12" s="253" customFormat="1" ht="21.75" customHeight="1">
      <c r="A94" s="25" t="s">
        <v>1008</v>
      </c>
      <c r="B94" s="16">
        <v>902</v>
      </c>
      <c r="C94" s="20" t="s">
        <v>135</v>
      </c>
      <c r="D94" s="20" t="s">
        <v>157</v>
      </c>
      <c r="E94" s="20" t="s">
        <v>919</v>
      </c>
      <c r="F94" s="20"/>
      <c r="G94" s="26">
        <f>G95+G97</f>
        <v>5666.696</v>
      </c>
      <c r="H94" s="261">
        <f aca="true" t="shared" si="58" ref="H94:I94">H95+H97</f>
        <v>5612.6</v>
      </c>
      <c r="I94" s="261">
        <f t="shared" si="58"/>
        <v>5612.6</v>
      </c>
      <c r="J94" s="228"/>
      <c r="K94" s="117"/>
      <c r="L94" s="244"/>
    </row>
    <row r="95" spans="1:12" s="253" customFormat="1" ht="66.75" customHeight="1">
      <c r="A95" s="25" t="s">
        <v>144</v>
      </c>
      <c r="B95" s="16">
        <v>902</v>
      </c>
      <c r="C95" s="20" t="s">
        <v>135</v>
      </c>
      <c r="D95" s="20" t="s">
        <v>157</v>
      </c>
      <c r="E95" s="20" t="s">
        <v>919</v>
      </c>
      <c r="F95" s="20" t="s">
        <v>145</v>
      </c>
      <c r="G95" s="26">
        <f>G96</f>
        <v>4455.696</v>
      </c>
      <c r="H95" s="261">
        <f aca="true" t="shared" si="59" ref="H95:I95">H96</f>
        <v>4401.6</v>
      </c>
      <c r="I95" s="261">
        <f t="shared" si="59"/>
        <v>4401.6</v>
      </c>
      <c r="J95" s="228"/>
      <c r="K95" s="117"/>
      <c r="L95" s="244"/>
    </row>
    <row r="96" spans="1:12" s="253" customFormat="1" ht="20.25" customHeight="1">
      <c r="A96" s="25" t="s">
        <v>225</v>
      </c>
      <c r="B96" s="16">
        <v>902</v>
      </c>
      <c r="C96" s="20" t="s">
        <v>135</v>
      </c>
      <c r="D96" s="20" t="s">
        <v>157</v>
      </c>
      <c r="E96" s="20" t="s">
        <v>919</v>
      </c>
      <c r="F96" s="20" t="s">
        <v>226</v>
      </c>
      <c r="G96" s="27">
        <f>4272*1.043</f>
        <v>4455.696</v>
      </c>
      <c r="H96" s="262">
        <f aca="true" t="shared" si="60" ref="H96:I96">5183-256.4-735.3+210.3</f>
        <v>4401.6</v>
      </c>
      <c r="I96" s="262">
        <f t="shared" si="60"/>
        <v>4401.6</v>
      </c>
      <c r="J96" s="228" t="s">
        <v>891</v>
      </c>
      <c r="K96" s="117"/>
      <c r="L96" s="244"/>
    </row>
    <row r="97" spans="1:12" s="253" customFormat="1" ht="39" customHeight="1">
      <c r="A97" s="25" t="s">
        <v>215</v>
      </c>
      <c r="B97" s="16">
        <v>902</v>
      </c>
      <c r="C97" s="20" t="s">
        <v>135</v>
      </c>
      <c r="D97" s="20" t="s">
        <v>157</v>
      </c>
      <c r="E97" s="20" t="s">
        <v>919</v>
      </c>
      <c r="F97" s="20" t="s">
        <v>149</v>
      </c>
      <c r="G97" s="26">
        <f>G98</f>
        <v>1211</v>
      </c>
      <c r="H97" s="261">
        <f aca="true" t="shared" si="61" ref="H97:I97">H98</f>
        <v>1211</v>
      </c>
      <c r="I97" s="261">
        <f t="shared" si="61"/>
        <v>1211</v>
      </c>
      <c r="J97" s="228"/>
      <c r="K97" s="117"/>
      <c r="L97" s="244"/>
    </row>
    <row r="98" spans="1:12" s="253" customFormat="1" ht="39" customHeight="1">
      <c r="A98" s="25" t="s">
        <v>150</v>
      </c>
      <c r="B98" s="16">
        <v>902</v>
      </c>
      <c r="C98" s="20" t="s">
        <v>135</v>
      </c>
      <c r="D98" s="20" t="s">
        <v>157</v>
      </c>
      <c r="E98" s="20" t="s">
        <v>919</v>
      </c>
      <c r="F98" s="20" t="s">
        <v>151</v>
      </c>
      <c r="G98" s="27">
        <f>1174.7+113.8-77.5</f>
        <v>1211</v>
      </c>
      <c r="H98" s="262">
        <f aca="true" t="shared" si="62" ref="H98:I98">1174.7+113.8-77.5</f>
        <v>1211</v>
      </c>
      <c r="I98" s="262">
        <f t="shared" si="62"/>
        <v>1211</v>
      </c>
      <c r="J98" s="228"/>
      <c r="K98" s="117"/>
      <c r="L98" s="244"/>
    </row>
    <row r="99" spans="1:12" s="253" customFormat="1" ht="28.5" customHeight="1">
      <c r="A99" s="25" t="s">
        <v>889</v>
      </c>
      <c r="B99" s="16">
        <v>902</v>
      </c>
      <c r="C99" s="20" t="s">
        <v>135</v>
      </c>
      <c r="D99" s="20" t="s">
        <v>157</v>
      </c>
      <c r="E99" s="20" t="s">
        <v>920</v>
      </c>
      <c r="F99" s="20"/>
      <c r="G99" s="26">
        <f>G100</f>
        <v>130</v>
      </c>
      <c r="H99" s="261">
        <f aca="true" t="shared" si="63" ref="H99:I100">H100</f>
        <v>0</v>
      </c>
      <c r="I99" s="261">
        <f t="shared" si="63"/>
        <v>0</v>
      </c>
      <c r="J99" s="228"/>
      <c r="K99" s="117"/>
      <c r="L99" s="244"/>
    </row>
    <row r="100" spans="1:12" s="253" customFormat="1" ht="63" customHeight="1">
      <c r="A100" s="25" t="s">
        <v>144</v>
      </c>
      <c r="B100" s="16">
        <v>902</v>
      </c>
      <c r="C100" s="20" t="s">
        <v>135</v>
      </c>
      <c r="D100" s="20" t="s">
        <v>157</v>
      </c>
      <c r="E100" s="20" t="s">
        <v>920</v>
      </c>
      <c r="F100" s="20" t="s">
        <v>145</v>
      </c>
      <c r="G100" s="26">
        <f>G101</f>
        <v>130</v>
      </c>
      <c r="H100" s="261">
        <f t="shared" si="63"/>
        <v>0</v>
      </c>
      <c r="I100" s="261">
        <f t="shared" si="63"/>
        <v>0</v>
      </c>
      <c r="J100" s="228"/>
      <c r="K100" s="117"/>
      <c r="L100" s="244"/>
    </row>
    <row r="101" spans="1:12" s="253" customFormat="1" ht="23.25" customHeight="1">
      <c r="A101" s="25" t="s">
        <v>225</v>
      </c>
      <c r="B101" s="16">
        <v>902</v>
      </c>
      <c r="C101" s="20" t="s">
        <v>135</v>
      </c>
      <c r="D101" s="20" t="s">
        <v>157</v>
      </c>
      <c r="E101" s="20" t="s">
        <v>920</v>
      </c>
      <c r="F101" s="20" t="s">
        <v>226</v>
      </c>
      <c r="G101" s="26">
        <v>130</v>
      </c>
      <c r="H101" s="308"/>
      <c r="I101" s="308"/>
      <c r="J101" s="228"/>
      <c r="K101" s="117"/>
      <c r="L101" s="244"/>
    </row>
    <row r="102" spans="1:12" ht="47.25">
      <c r="A102" s="42" t="s">
        <v>1196</v>
      </c>
      <c r="B102" s="19">
        <v>902</v>
      </c>
      <c r="C102" s="24" t="s">
        <v>135</v>
      </c>
      <c r="D102" s="24" t="s">
        <v>157</v>
      </c>
      <c r="E102" s="24" t="s">
        <v>730</v>
      </c>
      <c r="F102" s="324"/>
      <c r="G102" s="21">
        <f>G103+G107</f>
        <v>43</v>
      </c>
      <c r="H102" s="272">
        <f aca="true" t="shared" si="64" ref="H102:I102">H103+H107</f>
        <v>40</v>
      </c>
      <c r="I102" s="272">
        <f t="shared" si="64"/>
        <v>40</v>
      </c>
      <c r="J102" s="228" t="s">
        <v>1189</v>
      </c>
      <c r="L102" s="117"/>
    </row>
    <row r="103" spans="1:12" s="253" customFormat="1" ht="47.25" customHeight="1">
      <c r="A103" s="311" t="s">
        <v>897</v>
      </c>
      <c r="B103" s="19">
        <v>902</v>
      </c>
      <c r="C103" s="24" t="s">
        <v>135</v>
      </c>
      <c r="D103" s="24" t="s">
        <v>157</v>
      </c>
      <c r="E103" s="24" t="s">
        <v>903</v>
      </c>
      <c r="F103" s="324"/>
      <c r="G103" s="21">
        <f>G104</f>
        <v>28</v>
      </c>
      <c r="H103" s="272">
        <f aca="true" t="shared" si="65" ref="H103:I105">H104</f>
        <v>25</v>
      </c>
      <c r="I103" s="272">
        <f t="shared" si="65"/>
        <v>25</v>
      </c>
      <c r="J103" s="228"/>
      <c r="K103" s="117"/>
      <c r="L103" s="117"/>
    </row>
    <row r="104" spans="1:12" ht="36.75" customHeight="1">
      <c r="A104" s="107" t="s">
        <v>801</v>
      </c>
      <c r="B104" s="16">
        <v>902</v>
      </c>
      <c r="C104" s="20" t="s">
        <v>135</v>
      </c>
      <c r="D104" s="20" t="s">
        <v>157</v>
      </c>
      <c r="E104" s="20" t="s">
        <v>898</v>
      </c>
      <c r="F104" s="33"/>
      <c r="G104" s="26">
        <f>G105</f>
        <v>28</v>
      </c>
      <c r="H104" s="261">
        <f t="shared" si="65"/>
        <v>25</v>
      </c>
      <c r="I104" s="261">
        <f t="shared" si="65"/>
        <v>25</v>
      </c>
      <c r="L104" s="117"/>
    </row>
    <row r="105" spans="1:12" ht="31.5">
      <c r="A105" s="25" t="s">
        <v>148</v>
      </c>
      <c r="B105" s="16">
        <v>902</v>
      </c>
      <c r="C105" s="20" t="s">
        <v>135</v>
      </c>
      <c r="D105" s="20" t="s">
        <v>157</v>
      </c>
      <c r="E105" s="20" t="s">
        <v>898</v>
      </c>
      <c r="F105" s="33" t="s">
        <v>149</v>
      </c>
      <c r="G105" s="26">
        <f>G106</f>
        <v>28</v>
      </c>
      <c r="H105" s="261">
        <f t="shared" si="65"/>
        <v>25</v>
      </c>
      <c r="I105" s="261">
        <f t="shared" si="65"/>
        <v>25</v>
      </c>
      <c r="L105" s="117"/>
    </row>
    <row r="106" spans="1:12" ht="31.5">
      <c r="A106" s="25" t="s">
        <v>150</v>
      </c>
      <c r="B106" s="16">
        <v>902</v>
      </c>
      <c r="C106" s="20" t="s">
        <v>135</v>
      </c>
      <c r="D106" s="20" t="s">
        <v>157</v>
      </c>
      <c r="E106" s="20" t="s">
        <v>898</v>
      </c>
      <c r="F106" s="33" t="s">
        <v>151</v>
      </c>
      <c r="G106" s="26">
        <v>28</v>
      </c>
      <c r="H106" s="261">
        <v>25</v>
      </c>
      <c r="I106" s="261">
        <v>25</v>
      </c>
      <c r="L106" s="117"/>
    </row>
    <row r="107" spans="1:12" s="253" customFormat="1" ht="34.5" customHeight="1">
      <c r="A107" s="312" t="s">
        <v>1199</v>
      </c>
      <c r="B107" s="19">
        <v>902</v>
      </c>
      <c r="C107" s="24" t="s">
        <v>135</v>
      </c>
      <c r="D107" s="24" t="s">
        <v>157</v>
      </c>
      <c r="E107" s="24" t="s">
        <v>904</v>
      </c>
      <c r="F107" s="324"/>
      <c r="G107" s="21">
        <f>G108</f>
        <v>15</v>
      </c>
      <c r="H107" s="272">
        <f aca="true" t="shared" si="66" ref="H107:I109">H108</f>
        <v>15</v>
      </c>
      <c r="I107" s="272">
        <f t="shared" si="66"/>
        <v>15</v>
      </c>
      <c r="J107" s="228"/>
      <c r="K107" s="117"/>
      <c r="L107" s="117"/>
    </row>
    <row r="108" spans="1:12" ht="39" customHeight="1">
      <c r="A108" s="107" t="s">
        <v>802</v>
      </c>
      <c r="B108" s="16">
        <v>902</v>
      </c>
      <c r="C108" s="20" t="s">
        <v>135</v>
      </c>
      <c r="D108" s="20" t="s">
        <v>157</v>
      </c>
      <c r="E108" s="20" t="s">
        <v>899</v>
      </c>
      <c r="F108" s="33"/>
      <c r="G108" s="26">
        <f>G109</f>
        <v>15</v>
      </c>
      <c r="H108" s="261">
        <f t="shared" si="66"/>
        <v>15</v>
      </c>
      <c r="I108" s="261">
        <f t="shared" si="66"/>
        <v>15</v>
      </c>
      <c r="L108" s="117"/>
    </row>
    <row r="109" spans="1:12" ht="31.5" customHeight="1">
      <c r="A109" s="25" t="s">
        <v>148</v>
      </c>
      <c r="B109" s="16">
        <v>902</v>
      </c>
      <c r="C109" s="20" t="s">
        <v>135</v>
      </c>
      <c r="D109" s="20" t="s">
        <v>157</v>
      </c>
      <c r="E109" s="20" t="s">
        <v>899</v>
      </c>
      <c r="F109" s="33" t="s">
        <v>149</v>
      </c>
      <c r="G109" s="26">
        <f>G110</f>
        <v>15</v>
      </c>
      <c r="H109" s="261">
        <f t="shared" si="66"/>
        <v>15</v>
      </c>
      <c r="I109" s="261">
        <f t="shared" si="66"/>
        <v>15</v>
      </c>
      <c r="L109" s="117"/>
    </row>
    <row r="110" spans="1:12" ht="32.25" customHeight="1">
      <c r="A110" s="25" t="s">
        <v>150</v>
      </c>
      <c r="B110" s="16">
        <v>902</v>
      </c>
      <c r="C110" s="20" t="s">
        <v>135</v>
      </c>
      <c r="D110" s="20" t="s">
        <v>157</v>
      </c>
      <c r="E110" s="20" t="s">
        <v>899</v>
      </c>
      <c r="F110" s="33" t="s">
        <v>151</v>
      </c>
      <c r="G110" s="26">
        <v>15</v>
      </c>
      <c r="H110" s="261">
        <v>15</v>
      </c>
      <c r="I110" s="261">
        <v>15</v>
      </c>
      <c r="L110" s="117"/>
    </row>
    <row r="111" spans="1:12" ht="68.25" customHeight="1">
      <c r="A111" s="42" t="s">
        <v>1195</v>
      </c>
      <c r="B111" s="19">
        <v>902</v>
      </c>
      <c r="C111" s="8" t="s">
        <v>135</v>
      </c>
      <c r="D111" s="8" t="s">
        <v>157</v>
      </c>
      <c r="E111" s="380" t="s">
        <v>865</v>
      </c>
      <c r="F111" s="8"/>
      <c r="G111" s="21">
        <f>G113</f>
        <v>30</v>
      </c>
      <c r="H111" s="272">
        <f aca="true" t="shared" si="67" ref="H111:I111">H113</f>
        <v>20</v>
      </c>
      <c r="I111" s="272">
        <f t="shared" si="67"/>
        <v>20</v>
      </c>
      <c r="J111" s="228" t="s">
        <v>1189</v>
      </c>
      <c r="L111" s="117"/>
    </row>
    <row r="112" spans="1:12" s="253" customFormat="1" ht="35.25" customHeight="1">
      <c r="A112" s="313" t="s">
        <v>905</v>
      </c>
      <c r="B112" s="19">
        <v>902</v>
      </c>
      <c r="C112" s="8" t="s">
        <v>135</v>
      </c>
      <c r="D112" s="8" t="s">
        <v>157</v>
      </c>
      <c r="E112" s="232" t="s">
        <v>1279</v>
      </c>
      <c r="F112" s="8"/>
      <c r="G112" s="21">
        <f>G113</f>
        <v>30</v>
      </c>
      <c r="H112" s="272">
        <f aca="true" t="shared" si="68" ref="H112:I114">H113</f>
        <v>20</v>
      </c>
      <c r="I112" s="272">
        <f t="shared" si="68"/>
        <v>20</v>
      </c>
      <c r="J112" s="228"/>
      <c r="K112" s="117"/>
      <c r="L112" s="117"/>
    </row>
    <row r="113" spans="1:12" ht="31.5" customHeight="1">
      <c r="A113" s="105" t="s">
        <v>188</v>
      </c>
      <c r="B113" s="16">
        <v>902</v>
      </c>
      <c r="C113" s="9" t="s">
        <v>135</v>
      </c>
      <c r="D113" s="9" t="s">
        <v>157</v>
      </c>
      <c r="E113" s="5" t="s">
        <v>906</v>
      </c>
      <c r="F113" s="9"/>
      <c r="G113" s="26">
        <f>G114</f>
        <v>30</v>
      </c>
      <c r="H113" s="261">
        <f t="shared" si="68"/>
        <v>20</v>
      </c>
      <c r="I113" s="261">
        <f t="shared" si="68"/>
        <v>20</v>
      </c>
      <c r="L113" s="117"/>
    </row>
    <row r="114" spans="1:12" ht="35.25" customHeight="1">
      <c r="A114" s="25" t="s">
        <v>148</v>
      </c>
      <c r="B114" s="16">
        <v>902</v>
      </c>
      <c r="C114" s="9" t="s">
        <v>135</v>
      </c>
      <c r="D114" s="9" t="s">
        <v>157</v>
      </c>
      <c r="E114" s="5" t="s">
        <v>906</v>
      </c>
      <c r="F114" s="9" t="s">
        <v>149</v>
      </c>
      <c r="G114" s="26">
        <f>G115</f>
        <v>30</v>
      </c>
      <c r="H114" s="261">
        <f t="shared" si="68"/>
        <v>20</v>
      </c>
      <c r="I114" s="261">
        <f t="shared" si="68"/>
        <v>20</v>
      </c>
      <c r="L114" s="117"/>
    </row>
    <row r="115" spans="1:12" ht="33" customHeight="1">
      <c r="A115" s="25" t="s">
        <v>150</v>
      </c>
      <c r="B115" s="16">
        <v>902</v>
      </c>
      <c r="C115" s="9" t="s">
        <v>135</v>
      </c>
      <c r="D115" s="9" t="s">
        <v>157</v>
      </c>
      <c r="E115" s="5" t="s">
        <v>906</v>
      </c>
      <c r="F115" s="9" t="s">
        <v>151</v>
      </c>
      <c r="G115" s="26">
        <v>30</v>
      </c>
      <c r="H115" s="261">
        <v>20</v>
      </c>
      <c r="I115" s="261">
        <v>20</v>
      </c>
      <c r="J115" s="276"/>
      <c r="L115" s="117"/>
    </row>
    <row r="116" spans="1:12" s="253" customFormat="1" ht="63">
      <c r="A116" s="42" t="s">
        <v>1197</v>
      </c>
      <c r="B116" s="19">
        <v>902</v>
      </c>
      <c r="C116" s="8" t="s">
        <v>135</v>
      </c>
      <c r="D116" s="8" t="s">
        <v>157</v>
      </c>
      <c r="E116" s="232" t="s">
        <v>866</v>
      </c>
      <c r="F116" s="8"/>
      <c r="G116" s="21">
        <f>G118</f>
        <v>80</v>
      </c>
      <c r="H116" s="272">
        <f aca="true" t="shared" si="69" ref="H116:I116">H118</f>
        <v>60</v>
      </c>
      <c r="I116" s="272">
        <f t="shared" si="69"/>
        <v>60</v>
      </c>
      <c r="J116" s="228" t="s">
        <v>1189</v>
      </c>
      <c r="K116" s="117"/>
      <c r="L116" s="117"/>
    </row>
    <row r="117" spans="1:12" s="253" customFormat="1" ht="31.5">
      <c r="A117" s="60" t="s">
        <v>907</v>
      </c>
      <c r="B117" s="19">
        <v>902</v>
      </c>
      <c r="C117" s="8" t="s">
        <v>135</v>
      </c>
      <c r="D117" s="8" t="s">
        <v>157</v>
      </c>
      <c r="E117" s="232" t="s">
        <v>915</v>
      </c>
      <c r="F117" s="8"/>
      <c r="G117" s="21">
        <f>G118</f>
        <v>80</v>
      </c>
      <c r="H117" s="272">
        <f aca="true" t="shared" si="70" ref="H117:I119">H118</f>
        <v>60</v>
      </c>
      <c r="I117" s="272">
        <f t="shared" si="70"/>
        <v>60</v>
      </c>
      <c r="J117" s="228"/>
      <c r="K117" s="117"/>
      <c r="L117" s="117"/>
    </row>
    <row r="118" spans="1:12" s="253" customFormat="1" ht="15.75">
      <c r="A118" s="46" t="s">
        <v>871</v>
      </c>
      <c r="B118" s="16">
        <v>902</v>
      </c>
      <c r="C118" s="9" t="s">
        <v>135</v>
      </c>
      <c r="D118" s="9" t="s">
        <v>157</v>
      </c>
      <c r="E118" s="5" t="s">
        <v>908</v>
      </c>
      <c r="F118" s="9"/>
      <c r="G118" s="26">
        <f>G119</f>
        <v>80</v>
      </c>
      <c r="H118" s="261">
        <f t="shared" si="70"/>
        <v>60</v>
      </c>
      <c r="I118" s="261">
        <f t="shared" si="70"/>
        <v>60</v>
      </c>
      <c r="J118" s="228"/>
      <c r="K118" s="117"/>
      <c r="L118" s="117"/>
    </row>
    <row r="119" spans="1:12" s="253" customFormat="1" ht="31.5">
      <c r="A119" s="25" t="s">
        <v>148</v>
      </c>
      <c r="B119" s="16">
        <v>902</v>
      </c>
      <c r="C119" s="9" t="s">
        <v>135</v>
      </c>
      <c r="D119" s="9" t="s">
        <v>157</v>
      </c>
      <c r="E119" s="5" t="s">
        <v>908</v>
      </c>
      <c r="F119" s="9" t="s">
        <v>149</v>
      </c>
      <c r="G119" s="26">
        <f>G120</f>
        <v>80</v>
      </c>
      <c r="H119" s="261">
        <f t="shared" si="70"/>
        <v>60</v>
      </c>
      <c r="I119" s="261">
        <f t="shared" si="70"/>
        <v>60</v>
      </c>
      <c r="J119" s="228"/>
      <c r="K119" s="117"/>
      <c r="L119" s="117"/>
    </row>
    <row r="120" spans="1:12" s="253" customFormat="1" ht="31.5">
      <c r="A120" s="25" t="s">
        <v>150</v>
      </c>
      <c r="B120" s="16">
        <v>902</v>
      </c>
      <c r="C120" s="9" t="s">
        <v>135</v>
      </c>
      <c r="D120" s="9" t="s">
        <v>157</v>
      </c>
      <c r="E120" s="5" t="s">
        <v>908</v>
      </c>
      <c r="F120" s="9" t="s">
        <v>151</v>
      </c>
      <c r="G120" s="26">
        <v>80</v>
      </c>
      <c r="H120" s="261">
        <v>60</v>
      </c>
      <c r="I120" s="261">
        <v>60</v>
      </c>
      <c r="J120" s="228"/>
      <c r="K120" s="117"/>
      <c r="L120" s="117"/>
    </row>
    <row r="121" spans="1:12" ht="15.75" customHeight="1" hidden="1">
      <c r="A121" s="23" t="s">
        <v>229</v>
      </c>
      <c r="B121" s="19">
        <v>902</v>
      </c>
      <c r="C121" s="24" t="s">
        <v>230</v>
      </c>
      <c r="D121" s="24"/>
      <c r="E121" s="24"/>
      <c r="F121" s="24"/>
      <c r="G121" s="21">
        <f aca="true" t="shared" si="71" ref="G121:I126">G122</f>
        <v>0</v>
      </c>
      <c r="H121" s="272">
        <f t="shared" si="71"/>
        <v>0</v>
      </c>
      <c r="I121" s="272">
        <f t="shared" si="71"/>
        <v>0</v>
      </c>
      <c r="L121" s="117"/>
    </row>
    <row r="122" spans="1:12" ht="20.25" customHeight="1" hidden="1">
      <c r="A122" s="23" t="s">
        <v>235</v>
      </c>
      <c r="B122" s="19">
        <v>902</v>
      </c>
      <c r="C122" s="24" t="s">
        <v>230</v>
      </c>
      <c r="D122" s="24" t="s">
        <v>236</v>
      </c>
      <c r="E122" s="24"/>
      <c r="F122" s="24"/>
      <c r="G122" s="21">
        <f t="shared" si="71"/>
        <v>0</v>
      </c>
      <c r="H122" s="272">
        <f t="shared" si="71"/>
        <v>0</v>
      </c>
      <c r="I122" s="272">
        <f t="shared" si="71"/>
        <v>0</v>
      </c>
      <c r="L122" s="117"/>
    </row>
    <row r="123" spans="1:12" ht="15.75" customHeight="1" hidden="1">
      <c r="A123" s="23" t="s">
        <v>158</v>
      </c>
      <c r="B123" s="19">
        <v>902</v>
      </c>
      <c r="C123" s="24" t="s">
        <v>230</v>
      </c>
      <c r="D123" s="24" t="s">
        <v>236</v>
      </c>
      <c r="E123" s="24" t="s">
        <v>917</v>
      </c>
      <c r="F123" s="24"/>
      <c r="G123" s="21">
        <f t="shared" si="71"/>
        <v>0</v>
      </c>
      <c r="H123" s="272">
        <f t="shared" si="71"/>
        <v>0</v>
      </c>
      <c r="I123" s="272">
        <f t="shared" si="71"/>
        <v>0</v>
      </c>
      <c r="L123" s="117"/>
    </row>
    <row r="124" spans="1:12" ht="33.75" customHeight="1" hidden="1">
      <c r="A124" s="23" t="s">
        <v>921</v>
      </c>
      <c r="B124" s="19">
        <v>902</v>
      </c>
      <c r="C124" s="24" t="s">
        <v>230</v>
      </c>
      <c r="D124" s="24" t="s">
        <v>236</v>
      </c>
      <c r="E124" s="24" t="s">
        <v>916</v>
      </c>
      <c r="F124" s="24"/>
      <c r="G124" s="21">
        <f t="shared" si="71"/>
        <v>0</v>
      </c>
      <c r="H124" s="272">
        <f t="shared" si="71"/>
        <v>0</v>
      </c>
      <c r="I124" s="272">
        <f t="shared" si="71"/>
        <v>0</v>
      </c>
      <c r="L124" s="117"/>
    </row>
    <row r="125" spans="1:12" ht="15.75" customHeight="1" hidden="1">
      <c r="A125" s="25" t="s">
        <v>237</v>
      </c>
      <c r="B125" s="16">
        <v>902</v>
      </c>
      <c r="C125" s="20" t="s">
        <v>230</v>
      </c>
      <c r="D125" s="20" t="s">
        <v>236</v>
      </c>
      <c r="E125" s="20" t="s">
        <v>922</v>
      </c>
      <c r="F125" s="20"/>
      <c r="G125" s="26">
        <f t="shared" si="71"/>
        <v>0</v>
      </c>
      <c r="H125" s="261">
        <f t="shared" si="71"/>
        <v>0</v>
      </c>
      <c r="I125" s="261">
        <f t="shared" si="71"/>
        <v>0</v>
      </c>
      <c r="L125" s="117"/>
    </row>
    <row r="126" spans="1:12" ht="33.75" customHeight="1" hidden="1">
      <c r="A126" s="25" t="s">
        <v>215</v>
      </c>
      <c r="B126" s="16">
        <v>902</v>
      </c>
      <c r="C126" s="20" t="s">
        <v>230</v>
      </c>
      <c r="D126" s="20" t="s">
        <v>236</v>
      </c>
      <c r="E126" s="20" t="s">
        <v>922</v>
      </c>
      <c r="F126" s="20" t="s">
        <v>149</v>
      </c>
      <c r="G126" s="26">
        <f t="shared" si="71"/>
        <v>0</v>
      </c>
      <c r="H126" s="261">
        <f t="shared" si="71"/>
        <v>0</v>
      </c>
      <c r="I126" s="261">
        <f t="shared" si="71"/>
        <v>0</v>
      </c>
      <c r="L126" s="117"/>
    </row>
    <row r="127" spans="1:12" ht="40.5" customHeight="1" hidden="1">
      <c r="A127" s="25" t="s">
        <v>150</v>
      </c>
      <c r="B127" s="16">
        <v>902</v>
      </c>
      <c r="C127" s="20" t="s">
        <v>230</v>
      </c>
      <c r="D127" s="20" t="s">
        <v>236</v>
      </c>
      <c r="E127" s="20" t="s">
        <v>922</v>
      </c>
      <c r="F127" s="20" t="s">
        <v>151</v>
      </c>
      <c r="G127" s="27">
        <v>0</v>
      </c>
      <c r="H127" s="262">
        <v>0</v>
      </c>
      <c r="I127" s="262">
        <v>0</v>
      </c>
      <c r="L127" s="117"/>
    </row>
    <row r="128" spans="1:12" ht="31.5">
      <c r="A128" s="23" t="s">
        <v>239</v>
      </c>
      <c r="B128" s="19">
        <v>902</v>
      </c>
      <c r="C128" s="24" t="s">
        <v>232</v>
      </c>
      <c r="D128" s="24"/>
      <c r="E128" s="24"/>
      <c r="F128" s="24"/>
      <c r="G128" s="21">
        <f>G129</f>
        <v>8503.844000000001</v>
      </c>
      <c r="H128" s="272">
        <f aca="true" t="shared" si="72" ref="H128:I129">H129</f>
        <v>8309.9</v>
      </c>
      <c r="I128" s="272">
        <f t="shared" si="72"/>
        <v>8309.9</v>
      </c>
      <c r="L128" s="117"/>
    </row>
    <row r="129" spans="1:12" ht="47.25" customHeight="1">
      <c r="A129" s="23" t="s">
        <v>240</v>
      </c>
      <c r="B129" s="19">
        <v>902</v>
      </c>
      <c r="C129" s="24" t="s">
        <v>232</v>
      </c>
      <c r="D129" s="24" t="s">
        <v>236</v>
      </c>
      <c r="E129" s="20"/>
      <c r="F129" s="20"/>
      <c r="G129" s="21">
        <f>G130</f>
        <v>8503.844000000001</v>
      </c>
      <c r="H129" s="272">
        <f t="shared" si="72"/>
        <v>8309.9</v>
      </c>
      <c r="I129" s="272">
        <f t="shared" si="72"/>
        <v>8309.9</v>
      </c>
      <c r="L129" s="117"/>
    </row>
    <row r="130" spans="1:12" ht="15.75">
      <c r="A130" s="23" t="s">
        <v>158</v>
      </c>
      <c r="B130" s="19">
        <v>902</v>
      </c>
      <c r="C130" s="24" t="s">
        <v>232</v>
      </c>
      <c r="D130" s="24" t="s">
        <v>236</v>
      </c>
      <c r="E130" s="24" t="s">
        <v>917</v>
      </c>
      <c r="F130" s="24"/>
      <c r="G130" s="21">
        <f>G131+G138</f>
        <v>8503.844000000001</v>
      </c>
      <c r="H130" s="272">
        <f aca="true" t="shared" si="73" ref="H130:I130">H131+H138</f>
        <v>8309.9</v>
      </c>
      <c r="I130" s="272">
        <f t="shared" si="73"/>
        <v>8309.9</v>
      </c>
      <c r="L130" s="117"/>
    </row>
    <row r="131" spans="1:12" s="253" customFormat="1" ht="31.5">
      <c r="A131" s="23" t="s">
        <v>921</v>
      </c>
      <c r="B131" s="19">
        <v>902</v>
      </c>
      <c r="C131" s="24" t="s">
        <v>232</v>
      </c>
      <c r="D131" s="24" t="s">
        <v>236</v>
      </c>
      <c r="E131" s="24" t="s">
        <v>916</v>
      </c>
      <c r="F131" s="24"/>
      <c r="G131" s="21">
        <f>G132+G135</f>
        <v>2250</v>
      </c>
      <c r="H131" s="272">
        <f aca="true" t="shared" si="74" ref="H131:I131">H132+H135</f>
        <v>2250.5</v>
      </c>
      <c r="I131" s="272">
        <f t="shared" si="74"/>
        <v>2250.5</v>
      </c>
      <c r="J131" s="228"/>
      <c r="K131" s="117"/>
      <c r="L131" s="117"/>
    </row>
    <row r="132" spans="1:12" s="253" customFormat="1" ht="31.5">
      <c r="A132" s="25" t="s">
        <v>241</v>
      </c>
      <c r="B132" s="16">
        <v>902</v>
      </c>
      <c r="C132" s="20" t="s">
        <v>232</v>
      </c>
      <c r="D132" s="20" t="s">
        <v>236</v>
      </c>
      <c r="E132" s="20" t="s">
        <v>926</v>
      </c>
      <c r="F132" s="20"/>
      <c r="G132" s="26">
        <f>G133</f>
        <v>2053</v>
      </c>
      <c r="H132" s="261">
        <f aca="true" t="shared" si="75" ref="H132:I133">H133</f>
        <v>2053.5</v>
      </c>
      <c r="I132" s="261">
        <f t="shared" si="75"/>
        <v>2053.5</v>
      </c>
      <c r="J132" s="228"/>
      <c r="K132" s="117"/>
      <c r="L132" s="117"/>
    </row>
    <row r="133" spans="1:12" s="253" customFormat="1" ht="31.5">
      <c r="A133" s="25" t="s">
        <v>215</v>
      </c>
      <c r="B133" s="16">
        <v>902</v>
      </c>
      <c r="C133" s="20" t="s">
        <v>232</v>
      </c>
      <c r="D133" s="20" t="s">
        <v>236</v>
      </c>
      <c r="E133" s="20" t="s">
        <v>926</v>
      </c>
      <c r="F133" s="20" t="s">
        <v>149</v>
      </c>
      <c r="G133" s="26">
        <f>G134</f>
        <v>2053</v>
      </c>
      <c r="H133" s="261">
        <f t="shared" si="75"/>
        <v>2053.5</v>
      </c>
      <c r="I133" s="261">
        <f t="shared" si="75"/>
        <v>2053.5</v>
      </c>
      <c r="J133" s="228"/>
      <c r="K133" s="117"/>
      <c r="L133" s="117"/>
    </row>
    <row r="134" spans="1:12" s="253" customFormat="1" ht="31.5">
      <c r="A134" s="25" t="s">
        <v>150</v>
      </c>
      <c r="B134" s="16">
        <v>902</v>
      </c>
      <c r="C134" s="20" t="s">
        <v>232</v>
      </c>
      <c r="D134" s="20" t="s">
        <v>236</v>
      </c>
      <c r="E134" s="20" t="s">
        <v>926</v>
      </c>
      <c r="F134" s="20" t="s">
        <v>151</v>
      </c>
      <c r="G134" s="388">
        <f>2053.5-0.5</f>
        <v>2053</v>
      </c>
      <c r="H134" s="277">
        <v>2053.5</v>
      </c>
      <c r="I134" s="277">
        <v>2053.5</v>
      </c>
      <c r="J134" s="228"/>
      <c r="K134" s="117"/>
      <c r="L134" s="117"/>
    </row>
    <row r="135" spans="1:12" s="253" customFormat="1" ht="15.75">
      <c r="A135" s="25" t="s">
        <v>247</v>
      </c>
      <c r="B135" s="16">
        <v>902</v>
      </c>
      <c r="C135" s="20" t="s">
        <v>232</v>
      </c>
      <c r="D135" s="20" t="s">
        <v>236</v>
      </c>
      <c r="E135" s="20" t="s">
        <v>927</v>
      </c>
      <c r="F135" s="20"/>
      <c r="G135" s="27">
        <f>G136</f>
        <v>197</v>
      </c>
      <c r="H135" s="262">
        <f aca="true" t="shared" si="76" ref="H135:I136">H136</f>
        <v>197</v>
      </c>
      <c r="I135" s="262">
        <f t="shared" si="76"/>
        <v>197</v>
      </c>
      <c r="J135" s="228"/>
      <c r="K135" s="117"/>
      <c r="L135" s="117"/>
    </row>
    <row r="136" spans="1:12" s="253" customFormat="1" ht="31.5">
      <c r="A136" s="25" t="s">
        <v>215</v>
      </c>
      <c r="B136" s="16">
        <v>902</v>
      </c>
      <c r="C136" s="20" t="s">
        <v>232</v>
      </c>
      <c r="D136" s="20" t="s">
        <v>236</v>
      </c>
      <c r="E136" s="20" t="s">
        <v>927</v>
      </c>
      <c r="F136" s="20" t="s">
        <v>149</v>
      </c>
      <c r="G136" s="27">
        <f>G137</f>
        <v>197</v>
      </c>
      <c r="H136" s="262">
        <f t="shared" si="76"/>
        <v>197</v>
      </c>
      <c r="I136" s="262">
        <f t="shared" si="76"/>
        <v>197</v>
      </c>
      <c r="J136" s="228"/>
      <c r="K136" s="117"/>
      <c r="L136" s="117"/>
    </row>
    <row r="137" spans="1:12" s="253" customFormat="1" ht="31.5">
      <c r="A137" s="25" t="s">
        <v>150</v>
      </c>
      <c r="B137" s="16">
        <v>902</v>
      </c>
      <c r="C137" s="20" t="s">
        <v>232</v>
      </c>
      <c r="D137" s="20" t="s">
        <v>236</v>
      </c>
      <c r="E137" s="20" t="s">
        <v>927</v>
      </c>
      <c r="F137" s="20" t="s">
        <v>151</v>
      </c>
      <c r="G137" s="27">
        <f>99+98</f>
        <v>197</v>
      </c>
      <c r="H137" s="262">
        <f aca="true" t="shared" si="77" ref="H137:I137">99+98</f>
        <v>197</v>
      </c>
      <c r="I137" s="262">
        <f t="shared" si="77"/>
        <v>197</v>
      </c>
      <c r="J137" s="228"/>
      <c r="K137" s="117"/>
      <c r="L137" s="117"/>
    </row>
    <row r="138" spans="1:12" s="253" customFormat="1" ht="34.5" customHeight="1">
      <c r="A138" s="23" t="s">
        <v>1003</v>
      </c>
      <c r="B138" s="19">
        <v>902</v>
      </c>
      <c r="C138" s="24" t="s">
        <v>232</v>
      </c>
      <c r="D138" s="24" t="s">
        <v>236</v>
      </c>
      <c r="E138" s="24" t="s">
        <v>923</v>
      </c>
      <c r="F138" s="24"/>
      <c r="G138" s="21">
        <f>G139+G144</f>
        <v>6253.844</v>
      </c>
      <c r="H138" s="272">
        <f aca="true" t="shared" si="78" ref="H138:I138">H139+H144</f>
        <v>6059.4</v>
      </c>
      <c r="I138" s="272">
        <f t="shared" si="78"/>
        <v>6059.4</v>
      </c>
      <c r="J138" s="228"/>
      <c r="K138" s="117"/>
      <c r="L138" s="117"/>
    </row>
    <row r="139" spans="1:12" s="253" customFormat="1" ht="31.5">
      <c r="A139" s="25" t="s">
        <v>1007</v>
      </c>
      <c r="B139" s="16">
        <v>902</v>
      </c>
      <c r="C139" s="20" t="s">
        <v>232</v>
      </c>
      <c r="D139" s="20" t="s">
        <v>236</v>
      </c>
      <c r="E139" s="20" t="s">
        <v>924</v>
      </c>
      <c r="F139" s="20"/>
      <c r="G139" s="26">
        <f>G140+G142</f>
        <v>5943.844</v>
      </c>
      <c r="H139" s="261">
        <f aca="true" t="shared" si="79" ref="H139:I139">H140+H142</f>
        <v>6059.4</v>
      </c>
      <c r="I139" s="261">
        <f t="shared" si="79"/>
        <v>6059.4</v>
      </c>
      <c r="J139" s="228"/>
      <c r="K139" s="117"/>
      <c r="L139" s="117"/>
    </row>
    <row r="140" spans="1:12" s="253" customFormat="1" ht="63">
      <c r="A140" s="25" t="s">
        <v>144</v>
      </c>
      <c r="B140" s="16">
        <v>902</v>
      </c>
      <c r="C140" s="20" t="s">
        <v>232</v>
      </c>
      <c r="D140" s="20" t="s">
        <v>236</v>
      </c>
      <c r="E140" s="20" t="s">
        <v>924</v>
      </c>
      <c r="F140" s="20" t="s">
        <v>145</v>
      </c>
      <c r="G140" s="26">
        <f>G141</f>
        <v>4701.844</v>
      </c>
      <c r="H140" s="261">
        <f aca="true" t="shared" si="80" ref="H140:I140">H141</f>
        <v>4817.5</v>
      </c>
      <c r="I140" s="261">
        <f t="shared" si="80"/>
        <v>4817.5</v>
      </c>
      <c r="J140" s="228"/>
      <c r="K140" s="117"/>
      <c r="L140" s="117"/>
    </row>
    <row r="141" spans="1:12" s="253" customFormat="1" ht="15.75">
      <c r="A141" s="25" t="s">
        <v>225</v>
      </c>
      <c r="B141" s="16">
        <v>902</v>
      </c>
      <c r="C141" s="20" t="s">
        <v>232</v>
      </c>
      <c r="D141" s="20" t="s">
        <v>236</v>
      </c>
      <c r="E141" s="20" t="s">
        <v>924</v>
      </c>
      <c r="F141" s="20" t="s">
        <v>226</v>
      </c>
      <c r="G141" s="27">
        <f>4508*1.043</f>
        <v>4701.844</v>
      </c>
      <c r="H141" s="262">
        <f aca="true" t="shared" si="81" ref="H141:I141">4620+142.6-241.1+11.1+284.9</f>
        <v>4817.5</v>
      </c>
      <c r="I141" s="262">
        <f t="shared" si="81"/>
        <v>4817.5</v>
      </c>
      <c r="J141" s="228" t="s">
        <v>891</v>
      </c>
      <c r="K141" s="117"/>
      <c r="L141" s="117"/>
    </row>
    <row r="142" spans="1:12" s="253" customFormat="1" ht="31.5">
      <c r="A142" s="25" t="s">
        <v>215</v>
      </c>
      <c r="B142" s="16">
        <v>902</v>
      </c>
      <c r="C142" s="20" t="s">
        <v>232</v>
      </c>
      <c r="D142" s="20" t="s">
        <v>236</v>
      </c>
      <c r="E142" s="20" t="s">
        <v>924</v>
      </c>
      <c r="F142" s="20" t="s">
        <v>149</v>
      </c>
      <c r="G142" s="26">
        <f>G143</f>
        <v>1242</v>
      </c>
      <c r="H142" s="261">
        <f aca="true" t="shared" si="82" ref="H142:I142">H143</f>
        <v>1241.9</v>
      </c>
      <c r="I142" s="261">
        <f t="shared" si="82"/>
        <v>1241.9</v>
      </c>
      <c r="J142" s="228"/>
      <c r="K142" s="117"/>
      <c r="L142" s="117"/>
    </row>
    <row r="143" spans="1:12" s="253" customFormat="1" ht="31.5">
      <c r="A143" s="25" t="s">
        <v>150</v>
      </c>
      <c r="B143" s="16">
        <v>902</v>
      </c>
      <c r="C143" s="20" t="s">
        <v>232</v>
      </c>
      <c r="D143" s="20" t="s">
        <v>236</v>
      </c>
      <c r="E143" s="20" t="s">
        <v>924</v>
      </c>
      <c r="F143" s="20" t="s">
        <v>151</v>
      </c>
      <c r="G143" s="27">
        <f>3101-1859.1+0.1</f>
        <v>1242</v>
      </c>
      <c r="H143" s="262">
        <f aca="true" t="shared" si="83" ref="H143:I143">3101-1859.1</f>
        <v>1241.9</v>
      </c>
      <c r="I143" s="262">
        <f t="shared" si="83"/>
        <v>1241.9</v>
      </c>
      <c r="J143" s="228"/>
      <c r="K143" s="117"/>
      <c r="L143" s="117"/>
    </row>
    <row r="144" spans="1:12" s="253" customFormat="1" ht="31.5">
      <c r="A144" s="25" t="s">
        <v>889</v>
      </c>
      <c r="B144" s="16">
        <v>902</v>
      </c>
      <c r="C144" s="20" t="s">
        <v>232</v>
      </c>
      <c r="D144" s="20" t="s">
        <v>236</v>
      </c>
      <c r="E144" s="20" t="s">
        <v>925</v>
      </c>
      <c r="F144" s="20"/>
      <c r="G144" s="26">
        <f>G145</f>
        <v>310</v>
      </c>
      <c r="H144" s="261">
        <f aca="true" t="shared" si="84" ref="H144:I145">H145</f>
        <v>0</v>
      </c>
      <c r="I144" s="261">
        <f t="shared" si="84"/>
        <v>0</v>
      </c>
      <c r="J144" s="228"/>
      <c r="K144" s="117"/>
      <c r="L144" s="117"/>
    </row>
    <row r="145" spans="1:12" s="253" customFormat="1" ht="63">
      <c r="A145" s="25" t="s">
        <v>144</v>
      </c>
      <c r="B145" s="16">
        <v>902</v>
      </c>
      <c r="C145" s="20" t="s">
        <v>232</v>
      </c>
      <c r="D145" s="20" t="s">
        <v>236</v>
      </c>
      <c r="E145" s="20" t="s">
        <v>925</v>
      </c>
      <c r="F145" s="20" t="s">
        <v>145</v>
      </c>
      <c r="G145" s="26">
        <f>G146</f>
        <v>310</v>
      </c>
      <c r="H145" s="261">
        <f t="shared" si="84"/>
        <v>0</v>
      </c>
      <c r="I145" s="261">
        <f t="shared" si="84"/>
        <v>0</v>
      </c>
      <c r="J145" s="228"/>
      <c r="K145" s="117"/>
      <c r="L145" s="117"/>
    </row>
    <row r="146" spans="1:12" s="253" customFormat="1" ht="15.75">
      <c r="A146" s="25" t="s">
        <v>225</v>
      </c>
      <c r="B146" s="16">
        <v>902</v>
      </c>
      <c r="C146" s="20" t="s">
        <v>232</v>
      </c>
      <c r="D146" s="20" t="s">
        <v>236</v>
      </c>
      <c r="E146" s="20" t="s">
        <v>925</v>
      </c>
      <c r="F146" s="20" t="s">
        <v>226</v>
      </c>
      <c r="G146" s="26">
        <v>310</v>
      </c>
      <c r="H146" s="308"/>
      <c r="I146" s="308"/>
      <c r="J146" s="228"/>
      <c r="K146" s="117"/>
      <c r="L146" s="117"/>
    </row>
    <row r="147" spans="1:12" ht="15.75">
      <c r="A147" s="23" t="s">
        <v>249</v>
      </c>
      <c r="B147" s="19">
        <v>902</v>
      </c>
      <c r="C147" s="24" t="s">
        <v>167</v>
      </c>
      <c r="D147" s="24"/>
      <c r="E147" s="24"/>
      <c r="F147" s="20"/>
      <c r="G147" s="21">
        <f>G161+G148</f>
        <v>1060</v>
      </c>
      <c r="H147" s="272">
        <f aca="true" t="shared" si="85" ref="H147:I147">H161+H148</f>
        <v>1256.3</v>
      </c>
      <c r="I147" s="272">
        <f t="shared" si="85"/>
        <v>1256.3</v>
      </c>
      <c r="L147" s="117"/>
    </row>
    <row r="148" spans="1:12" ht="15.75">
      <c r="A148" s="23" t="s">
        <v>250</v>
      </c>
      <c r="B148" s="19">
        <v>902</v>
      </c>
      <c r="C148" s="24" t="s">
        <v>167</v>
      </c>
      <c r="D148" s="24" t="s">
        <v>251</v>
      </c>
      <c r="E148" s="24"/>
      <c r="F148" s="20"/>
      <c r="G148" s="21">
        <f>G149</f>
        <v>355</v>
      </c>
      <c r="H148" s="272">
        <f aca="true" t="shared" si="86" ref="H148:I148">H149</f>
        <v>355</v>
      </c>
      <c r="I148" s="272">
        <f t="shared" si="86"/>
        <v>355</v>
      </c>
      <c r="L148" s="117"/>
    </row>
    <row r="149" spans="1:12" ht="51" customHeight="1">
      <c r="A149" s="35" t="s">
        <v>198</v>
      </c>
      <c r="B149" s="19">
        <v>902</v>
      </c>
      <c r="C149" s="24" t="s">
        <v>167</v>
      </c>
      <c r="D149" s="24" t="s">
        <v>251</v>
      </c>
      <c r="E149" s="232" t="s">
        <v>199</v>
      </c>
      <c r="F149" s="324"/>
      <c r="G149" s="21">
        <f>G150+G157</f>
        <v>355</v>
      </c>
      <c r="H149" s="272">
        <f aca="true" t="shared" si="87" ref="H149:I149">H150+H157</f>
        <v>355</v>
      </c>
      <c r="I149" s="272">
        <f t="shared" si="87"/>
        <v>355</v>
      </c>
      <c r="L149" s="117"/>
    </row>
    <row r="150" spans="1:12" s="253" customFormat="1" ht="39.75" customHeight="1">
      <c r="A150" s="35" t="s">
        <v>1168</v>
      </c>
      <c r="B150" s="19">
        <v>902</v>
      </c>
      <c r="C150" s="24" t="s">
        <v>167</v>
      </c>
      <c r="D150" s="24" t="s">
        <v>251</v>
      </c>
      <c r="E150" s="383" t="s">
        <v>928</v>
      </c>
      <c r="F150" s="324"/>
      <c r="G150" s="21">
        <f>G151+G154</f>
        <v>256</v>
      </c>
      <c r="H150" s="272">
        <f aca="true" t="shared" si="88" ref="H150:I150">H151+H154</f>
        <v>256</v>
      </c>
      <c r="I150" s="272">
        <f t="shared" si="88"/>
        <v>256</v>
      </c>
      <c r="J150" s="228"/>
      <c r="K150" s="117"/>
      <c r="L150" s="117"/>
    </row>
    <row r="151" spans="1:12" ht="15.75">
      <c r="A151" s="25" t="s">
        <v>929</v>
      </c>
      <c r="B151" s="16">
        <v>902</v>
      </c>
      <c r="C151" s="20" t="s">
        <v>167</v>
      </c>
      <c r="D151" s="20" t="s">
        <v>251</v>
      </c>
      <c r="E151" s="20" t="s">
        <v>973</v>
      </c>
      <c r="F151" s="33"/>
      <c r="G151" s="26">
        <f>G152</f>
        <v>1</v>
      </c>
      <c r="H151" s="261">
        <f aca="true" t="shared" si="89" ref="H151:I152">H152</f>
        <v>1</v>
      </c>
      <c r="I151" s="261">
        <f t="shared" si="89"/>
        <v>1</v>
      </c>
      <c r="L151" s="117"/>
    </row>
    <row r="152" spans="1:12" ht="15.75">
      <c r="A152" s="30" t="s">
        <v>152</v>
      </c>
      <c r="B152" s="16">
        <v>902</v>
      </c>
      <c r="C152" s="20" t="s">
        <v>167</v>
      </c>
      <c r="D152" s="20" t="s">
        <v>251</v>
      </c>
      <c r="E152" s="20" t="s">
        <v>973</v>
      </c>
      <c r="F152" s="33" t="s">
        <v>162</v>
      </c>
      <c r="G152" s="26">
        <f>G153</f>
        <v>1</v>
      </c>
      <c r="H152" s="261">
        <f t="shared" si="89"/>
        <v>1</v>
      </c>
      <c r="I152" s="261">
        <f t="shared" si="89"/>
        <v>1</v>
      </c>
      <c r="L152" s="117"/>
    </row>
    <row r="153" spans="1:12" ht="47.25">
      <c r="A153" s="30" t="s">
        <v>201</v>
      </c>
      <c r="B153" s="16">
        <v>902</v>
      </c>
      <c r="C153" s="20" t="s">
        <v>167</v>
      </c>
      <c r="D153" s="20" t="s">
        <v>251</v>
      </c>
      <c r="E153" s="20" t="s">
        <v>973</v>
      </c>
      <c r="F153" s="33" t="s">
        <v>177</v>
      </c>
      <c r="G153" s="26">
        <v>1</v>
      </c>
      <c r="H153" s="261">
        <v>1</v>
      </c>
      <c r="I153" s="261">
        <v>1</v>
      </c>
      <c r="J153" s="273"/>
      <c r="L153" s="117"/>
    </row>
    <row r="154" spans="1:12" s="253" customFormat="1" ht="31.5">
      <c r="A154" s="25" t="s">
        <v>252</v>
      </c>
      <c r="B154" s="16">
        <v>902</v>
      </c>
      <c r="C154" s="20" t="s">
        <v>167</v>
      </c>
      <c r="D154" s="20" t="s">
        <v>251</v>
      </c>
      <c r="E154" s="20" t="s">
        <v>932</v>
      </c>
      <c r="F154" s="20"/>
      <c r="G154" s="26">
        <f>G155</f>
        <v>255</v>
      </c>
      <c r="H154" s="261">
        <f aca="true" t="shared" si="90" ref="H154:I155">H155</f>
        <v>255</v>
      </c>
      <c r="I154" s="261">
        <f t="shared" si="90"/>
        <v>255</v>
      </c>
      <c r="J154" s="283"/>
      <c r="K154" s="117"/>
      <c r="L154" s="117"/>
    </row>
    <row r="155" spans="1:12" s="253" customFormat="1" ht="15.75">
      <c r="A155" s="25" t="s">
        <v>152</v>
      </c>
      <c r="B155" s="16">
        <v>902</v>
      </c>
      <c r="C155" s="20" t="s">
        <v>167</v>
      </c>
      <c r="D155" s="20" t="s">
        <v>251</v>
      </c>
      <c r="E155" s="20" t="s">
        <v>932</v>
      </c>
      <c r="F155" s="20" t="s">
        <v>162</v>
      </c>
      <c r="G155" s="26">
        <f>G156</f>
        <v>255</v>
      </c>
      <c r="H155" s="261">
        <f t="shared" si="90"/>
        <v>255</v>
      </c>
      <c r="I155" s="261">
        <f t="shared" si="90"/>
        <v>255</v>
      </c>
      <c r="J155" s="283"/>
      <c r="K155" s="117"/>
      <c r="L155" s="117"/>
    </row>
    <row r="156" spans="1:12" s="253" customFormat="1" ht="47.25">
      <c r="A156" s="25" t="s">
        <v>201</v>
      </c>
      <c r="B156" s="16">
        <v>902</v>
      </c>
      <c r="C156" s="20" t="s">
        <v>167</v>
      </c>
      <c r="D156" s="20" t="s">
        <v>251</v>
      </c>
      <c r="E156" s="20" t="s">
        <v>932</v>
      </c>
      <c r="F156" s="20" t="s">
        <v>177</v>
      </c>
      <c r="G156" s="26">
        <v>255</v>
      </c>
      <c r="H156" s="261">
        <f>G156</f>
        <v>255</v>
      </c>
      <c r="I156" s="261">
        <f>H156</f>
        <v>255</v>
      </c>
      <c r="J156" s="283"/>
      <c r="K156" s="117"/>
      <c r="L156" s="117"/>
    </row>
    <row r="157" spans="1:12" s="253" customFormat="1" ht="31.5">
      <c r="A157" s="314" t="s">
        <v>1169</v>
      </c>
      <c r="B157" s="19">
        <v>902</v>
      </c>
      <c r="C157" s="24" t="s">
        <v>167</v>
      </c>
      <c r="D157" s="24" t="s">
        <v>251</v>
      </c>
      <c r="E157" s="232" t="s">
        <v>931</v>
      </c>
      <c r="F157" s="324"/>
      <c r="G157" s="21">
        <f>G158</f>
        <v>99</v>
      </c>
      <c r="H157" s="272">
        <f aca="true" t="shared" si="91" ref="H157:I159">H158</f>
        <v>99</v>
      </c>
      <c r="I157" s="272">
        <f t="shared" si="91"/>
        <v>99</v>
      </c>
      <c r="J157" s="283"/>
      <c r="K157" s="117"/>
      <c r="L157" s="117"/>
    </row>
    <row r="158" spans="1:12" s="253" customFormat="1" ht="15.75">
      <c r="A158" s="25" t="s">
        <v>930</v>
      </c>
      <c r="B158" s="16">
        <v>902</v>
      </c>
      <c r="C158" s="20" t="s">
        <v>167</v>
      </c>
      <c r="D158" s="20" t="s">
        <v>251</v>
      </c>
      <c r="E158" s="5" t="s">
        <v>974</v>
      </c>
      <c r="F158" s="33"/>
      <c r="G158" s="26">
        <f>G159</f>
        <v>99</v>
      </c>
      <c r="H158" s="261">
        <f t="shared" si="91"/>
        <v>99</v>
      </c>
      <c r="I158" s="261">
        <f t="shared" si="91"/>
        <v>99</v>
      </c>
      <c r="J158" s="283"/>
      <c r="K158" s="117"/>
      <c r="L158" s="117"/>
    </row>
    <row r="159" spans="1:12" s="253" customFormat="1" ht="15.75">
      <c r="A159" s="30" t="s">
        <v>152</v>
      </c>
      <c r="B159" s="16">
        <v>902</v>
      </c>
      <c r="C159" s="20" t="s">
        <v>167</v>
      </c>
      <c r="D159" s="20" t="s">
        <v>251</v>
      </c>
      <c r="E159" s="5" t="s">
        <v>974</v>
      </c>
      <c r="F159" s="33" t="s">
        <v>162</v>
      </c>
      <c r="G159" s="26">
        <f>G160</f>
        <v>99</v>
      </c>
      <c r="H159" s="261">
        <f t="shared" si="91"/>
        <v>99</v>
      </c>
      <c r="I159" s="261">
        <f t="shared" si="91"/>
        <v>99</v>
      </c>
      <c r="J159" s="283"/>
      <c r="K159" s="117"/>
      <c r="L159" s="117"/>
    </row>
    <row r="160" spans="1:12" s="253" customFormat="1" ht="47.25">
      <c r="A160" s="30" t="s">
        <v>201</v>
      </c>
      <c r="B160" s="16">
        <v>902</v>
      </c>
      <c r="C160" s="20" t="s">
        <v>167</v>
      </c>
      <c r="D160" s="20" t="s">
        <v>251</v>
      </c>
      <c r="E160" s="5" t="s">
        <v>974</v>
      </c>
      <c r="F160" s="33" t="s">
        <v>177</v>
      </c>
      <c r="G160" s="26">
        <v>99</v>
      </c>
      <c r="H160" s="261">
        <v>99</v>
      </c>
      <c r="I160" s="261">
        <v>99</v>
      </c>
      <c r="J160" s="283"/>
      <c r="K160" s="117"/>
      <c r="L160" s="117"/>
    </row>
    <row r="161" spans="1:12" ht="15.75">
      <c r="A161" s="23" t="s">
        <v>254</v>
      </c>
      <c r="B161" s="19">
        <v>902</v>
      </c>
      <c r="C161" s="24" t="s">
        <v>167</v>
      </c>
      <c r="D161" s="24" t="s">
        <v>255</v>
      </c>
      <c r="E161" s="24"/>
      <c r="F161" s="24"/>
      <c r="G161" s="21">
        <f>G162+G169</f>
        <v>704.9999999999999</v>
      </c>
      <c r="H161" s="272">
        <f aca="true" t="shared" si="92" ref="H161:I161">H162+H169</f>
        <v>901.3</v>
      </c>
      <c r="I161" s="272">
        <f t="shared" si="92"/>
        <v>901.3</v>
      </c>
      <c r="L161" s="117"/>
    </row>
    <row r="162" spans="1:12" ht="31.5">
      <c r="A162" s="23" t="s">
        <v>995</v>
      </c>
      <c r="B162" s="19">
        <v>902</v>
      </c>
      <c r="C162" s="24" t="s">
        <v>167</v>
      </c>
      <c r="D162" s="24" t="s">
        <v>255</v>
      </c>
      <c r="E162" s="24" t="s">
        <v>909</v>
      </c>
      <c r="F162" s="24"/>
      <c r="G162" s="21">
        <f>G163</f>
        <v>604.9999999999999</v>
      </c>
      <c r="H162" s="272">
        <f aca="true" t="shared" si="93" ref="H162:I162">H163</f>
        <v>901.3</v>
      </c>
      <c r="I162" s="272">
        <f t="shared" si="93"/>
        <v>901.3</v>
      </c>
      <c r="L162" s="117"/>
    </row>
    <row r="163" spans="1:12" ht="31.5">
      <c r="A163" s="23" t="s">
        <v>937</v>
      </c>
      <c r="B163" s="19">
        <v>902</v>
      </c>
      <c r="C163" s="24" t="s">
        <v>167</v>
      </c>
      <c r="D163" s="24" t="s">
        <v>255</v>
      </c>
      <c r="E163" s="24" t="s">
        <v>914</v>
      </c>
      <c r="F163" s="24"/>
      <c r="G163" s="21">
        <f>G164+G174</f>
        <v>604.9999999999999</v>
      </c>
      <c r="H163" s="272">
        <f aca="true" t="shared" si="94" ref="H163:I163">H164+H174</f>
        <v>901.3</v>
      </c>
      <c r="I163" s="272">
        <f t="shared" si="94"/>
        <v>901.3</v>
      </c>
      <c r="L163" s="117"/>
    </row>
    <row r="164" spans="1:12" ht="69.75" customHeight="1">
      <c r="A164" s="32" t="s">
        <v>258</v>
      </c>
      <c r="B164" s="16">
        <v>902</v>
      </c>
      <c r="C164" s="20" t="s">
        <v>167</v>
      </c>
      <c r="D164" s="20" t="s">
        <v>255</v>
      </c>
      <c r="E164" s="20" t="s">
        <v>1004</v>
      </c>
      <c r="F164" s="20"/>
      <c r="G164" s="26">
        <f>G165+G167</f>
        <v>604.9999999999999</v>
      </c>
      <c r="H164" s="261">
        <f aca="true" t="shared" si="95" ref="H164:I164">H165+H167</f>
        <v>901.3</v>
      </c>
      <c r="I164" s="261">
        <f t="shared" si="95"/>
        <v>901.3</v>
      </c>
      <c r="J164" s="275"/>
      <c r="L164" s="117"/>
    </row>
    <row r="165" spans="1:12" ht="63">
      <c r="A165" s="25" t="s">
        <v>144</v>
      </c>
      <c r="B165" s="16">
        <v>902</v>
      </c>
      <c r="C165" s="20" t="s">
        <v>167</v>
      </c>
      <c r="D165" s="20" t="s">
        <v>255</v>
      </c>
      <c r="E165" s="20" t="s">
        <v>1004</v>
      </c>
      <c r="F165" s="20" t="s">
        <v>145</v>
      </c>
      <c r="G165" s="26">
        <f>G166</f>
        <v>393.0599999999999</v>
      </c>
      <c r="H165" s="261">
        <f aca="true" t="shared" si="96" ref="H165:I165">H166</f>
        <v>689.3599999999999</v>
      </c>
      <c r="I165" s="261">
        <f t="shared" si="96"/>
        <v>689.3599999999999</v>
      </c>
      <c r="L165" s="117"/>
    </row>
    <row r="166" spans="1:12" ht="31.5">
      <c r="A166" s="25" t="s">
        <v>146</v>
      </c>
      <c r="B166" s="16">
        <v>902</v>
      </c>
      <c r="C166" s="20" t="s">
        <v>167</v>
      </c>
      <c r="D166" s="20" t="s">
        <v>255</v>
      </c>
      <c r="E166" s="20" t="s">
        <v>1004</v>
      </c>
      <c r="F166" s="20" t="s">
        <v>147</v>
      </c>
      <c r="G166" s="26">
        <f>901.3-361.1+239.5-90.34-296.3</f>
        <v>393.0599999999999</v>
      </c>
      <c r="H166" s="261">
        <f aca="true" t="shared" si="97" ref="H166:I166">901.3-361.1+239.5-90.34</f>
        <v>689.3599999999999</v>
      </c>
      <c r="I166" s="261">
        <f t="shared" si="97"/>
        <v>689.3599999999999</v>
      </c>
      <c r="J166" s="274"/>
      <c r="L166" s="117"/>
    </row>
    <row r="167" spans="1:12" ht="31.5">
      <c r="A167" s="25" t="s">
        <v>148</v>
      </c>
      <c r="B167" s="16">
        <v>902</v>
      </c>
      <c r="C167" s="20" t="s">
        <v>167</v>
      </c>
      <c r="D167" s="20" t="s">
        <v>255</v>
      </c>
      <c r="E167" s="20" t="s">
        <v>1004</v>
      </c>
      <c r="F167" s="20" t="s">
        <v>149</v>
      </c>
      <c r="G167" s="26">
        <f>G168</f>
        <v>211.94000000000003</v>
      </c>
      <c r="H167" s="261">
        <f aca="true" t="shared" si="98" ref="H167:I167">H168</f>
        <v>211.94000000000003</v>
      </c>
      <c r="I167" s="261">
        <f t="shared" si="98"/>
        <v>211.94000000000003</v>
      </c>
      <c r="L167" s="117"/>
    </row>
    <row r="168" spans="1:12" ht="31.5">
      <c r="A168" s="25" t="s">
        <v>150</v>
      </c>
      <c r="B168" s="16">
        <v>902</v>
      </c>
      <c r="C168" s="20" t="s">
        <v>167</v>
      </c>
      <c r="D168" s="20" t="s">
        <v>255</v>
      </c>
      <c r="E168" s="20" t="s">
        <v>1004</v>
      </c>
      <c r="F168" s="20" t="s">
        <v>151</v>
      </c>
      <c r="G168" s="26">
        <f>361.1-239.5+90.34</f>
        <v>211.94000000000003</v>
      </c>
      <c r="H168" s="261">
        <f aca="true" t="shared" si="99" ref="H168:I168">361.1-239.5+90.34</f>
        <v>211.94000000000003</v>
      </c>
      <c r="I168" s="261">
        <f t="shared" si="99"/>
        <v>211.94000000000003</v>
      </c>
      <c r="J168" s="274"/>
      <c r="L168" s="117"/>
    </row>
    <row r="169" spans="1:12" s="253" customFormat="1" ht="47.25">
      <c r="A169" s="23" t="s">
        <v>1256</v>
      </c>
      <c r="B169" s="19">
        <v>902</v>
      </c>
      <c r="C169" s="24" t="s">
        <v>167</v>
      </c>
      <c r="D169" s="24" t="s">
        <v>255</v>
      </c>
      <c r="E169" s="24" t="s">
        <v>173</v>
      </c>
      <c r="F169" s="24"/>
      <c r="G169" s="21">
        <f>G170</f>
        <v>100</v>
      </c>
      <c r="H169" s="272">
        <f aca="true" t="shared" si="100" ref="H169:I169">H170</f>
        <v>0</v>
      </c>
      <c r="I169" s="272">
        <f t="shared" si="100"/>
        <v>0</v>
      </c>
      <c r="J169" s="301"/>
      <c r="K169" s="117"/>
      <c r="L169" s="117"/>
    </row>
    <row r="170" spans="1:12" s="253" customFormat="1" ht="31.5">
      <c r="A170" s="23" t="s">
        <v>1260</v>
      </c>
      <c r="B170" s="19">
        <v>902</v>
      </c>
      <c r="C170" s="24" t="s">
        <v>167</v>
      </c>
      <c r="D170" s="24" t="s">
        <v>255</v>
      </c>
      <c r="E170" s="24" t="s">
        <v>1257</v>
      </c>
      <c r="F170" s="24"/>
      <c r="G170" s="21">
        <f>G171+G174</f>
        <v>100</v>
      </c>
      <c r="H170" s="272">
        <f aca="true" t="shared" si="101" ref="H170:I170">H171+H174</f>
        <v>0</v>
      </c>
      <c r="I170" s="272">
        <f t="shared" si="101"/>
        <v>0</v>
      </c>
      <c r="J170" s="301"/>
      <c r="K170" s="117"/>
      <c r="L170" s="117"/>
    </row>
    <row r="171" spans="1:12" s="253" customFormat="1" ht="31.5">
      <c r="A171" s="25" t="s">
        <v>1261</v>
      </c>
      <c r="B171" s="16">
        <v>902</v>
      </c>
      <c r="C171" s="20" t="s">
        <v>167</v>
      </c>
      <c r="D171" s="20" t="s">
        <v>255</v>
      </c>
      <c r="E171" s="20" t="s">
        <v>1258</v>
      </c>
      <c r="F171" s="20"/>
      <c r="G171" s="26">
        <f>G172</f>
        <v>100</v>
      </c>
      <c r="H171" s="261">
        <f aca="true" t="shared" si="102" ref="H171:I172">H172</f>
        <v>0</v>
      </c>
      <c r="I171" s="261">
        <f t="shared" si="102"/>
        <v>0</v>
      </c>
      <c r="J171" s="301"/>
      <c r="K171" s="117"/>
      <c r="L171" s="117"/>
    </row>
    <row r="172" spans="1:12" s="253" customFormat="1" ht="15.75">
      <c r="A172" s="25" t="s">
        <v>152</v>
      </c>
      <c r="B172" s="16">
        <v>902</v>
      </c>
      <c r="C172" s="20" t="s">
        <v>167</v>
      </c>
      <c r="D172" s="20" t="s">
        <v>255</v>
      </c>
      <c r="E172" s="20" t="s">
        <v>1258</v>
      </c>
      <c r="F172" s="20" t="s">
        <v>162</v>
      </c>
      <c r="G172" s="26">
        <f>G173</f>
        <v>100</v>
      </c>
      <c r="H172" s="26">
        <f t="shared" si="102"/>
        <v>0</v>
      </c>
      <c r="I172" s="26">
        <f t="shared" si="102"/>
        <v>0</v>
      </c>
      <c r="J172" s="301"/>
      <c r="K172" s="117"/>
      <c r="L172" s="117"/>
    </row>
    <row r="173" spans="1:12" s="253" customFormat="1" ht="47.25">
      <c r="A173" s="25" t="s">
        <v>201</v>
      </c>
      <c r="B173" s="16">
        <v>902</v>
      </c>
      <c r="C173" s="20" t="s">
        <v>167</v>
      </c>
      <c r="D173" s="20" t="s">
        <v>255</v>
      </c>
      <c r="E173" s="20" t="s">
        <v>1258</v>
      </c>
      <c r="F173" s="20" t="s">
        <v>177</v>
      </c>
      <c r="G173" s="26">
        <v>100</v>
      </c>
      <c r="H173" s="26">
        <v>0</v>
      </c>
      <c r="I173" s="26">
        <v>0</v>
      </c>
      <c r="J173" s="301"/>
      <c r="K173" s="117"/>
      <c r="L173" s="117"/>
    </row>
    <row r="174" spans="1:12" s="253" customFormat="1" ht="31.5" hidden="1">
      <c r="A174" s="25" t="s">
        <v>256</v>
      </c>
      <c r="B174" s="16">
        <v>902</v>
      </c>
      <c r="C174" s="20" t="s">
        <v>167</v>
      </c>
      <c r="D174" s="20" t="s">
        <v>255</v>
      </c>
      <c r="E174" s="20" t="s">
        <v>1259</v>
      </c>
      <c r="F174" s="24"/>
      <c r="G174" s="26">
        <f>G175</f>
        <v>0</v>
      </c>
      <c r="H174" s="26">
        <f aca="true" t="shared" si="103" ref="H174:I175">H175</f>
        <v>0</v>
      </c>
      <c r="I174" s="26">
        <f t="shared" si="103"/>
        <v>0</v>
      </c>
      <c r="J174" s="301"/>
      <c r="K174" s="117"/>
      <c r="L174" s="117"/>
    </row>
    <row r="175" spans="1:12" s="253" customFormat="1" ht="15.75" hidden="1">
      <c r="A175" s="25" t="s">
        <v>152</v>
      </c>
      <c r="B175" s="16">
        <v>902</v>
      </c>
      <c r="C175" s="20" t="s">
        <v>167</v>
      </c>
      <c r="D175" s="20" t="s">
        <v>255</v>
      </c>
      <c r="E175" s="20" t="s">
        <v>1259</v>
      </c>
      <c r="F175" s="20" t="s">
        <v>162</v>
      </c>
      <c r="G175" s="26">
        <f>G176</f>
        <v>0</v>
      </c>
      <c r="H175" s="26">
        <f t="shared" si="103"/>
        <v>0</v>
      </c>
      <c r="I175" s="26">
        <f t="shared" si="103"/>
        <v>0</v>
      </c>
      <c r="J175" s="301"/>
      <c r="K175" s="117"/>
      <c r="L175" s="117"/>
    </row>
    <row r="176" spans="1:12" s="253" customFormat="1" ht="47.25" hidden="1">
      <c r="A176" s="25" t="s">
        <v>201</v>
      </c>
      <c r="B176" s="16">
        <v>902</v>
      </c>
      <c r="C176" s="20" t="s">
        <v>167</v>
      </c>
      <c r="D176" s="20" t="s">
        <v>255</v>
      </c>
      <c r="E176" s="20" t="s">
        <v>1259</v>
      </c>
      <c r="F176" s="20" t="s">
        <v>177</v>
      </c>
      <c r="G176" s="26">
        <v>0</v>
      </c>
      <c r="H176" s="26">
        <v>0</v>
      </c>
      <c r="I176" s="26">
        <v>0</v>
      </c>
      <c r="J176" s="301"/>
      <c r="K176" s="117"/>
      <c r="L176" s="117"/>
    </row>
    <row r="177" spans="1:12" ht="16.5" customHeight="1">
      <c r="A177" s="23" t="s">
        <v>260</v>
      </c>
      <c r="B177" s="19">
        <v>902</v>
      </c>
      <c r="C177" s="24" t="s">
        <v>261</v>
      </c>
      <c r="D177" s="24"/>
      <c r="E177" s="24"/>
      <c r="F177" s="24"/>
      <c r="G177" s="21">
        <f>G178+G184+G190</f>
        <v>12729.9</v>
      </c>
      <c r="H177" s="272">
        <f aca="true" t="shared" si="104" ref="H177:I177">H178+H184+H190</f>
        <v>12340.3</v>
      </c>
      <c r="I177" s="272">
        <f t="shared" si="104"/>
        <v>12340.3</v>
      </c>
      <c r="L177" s="117"/>
    </row>
    <row r="178" spans="1:12" ht="15.75">
      <c r="A178" s="23" t="s">
        <v>262</v>
      </c>
      <c r="B178" s="19">
        <v>902</v>
      </c>
      <c r="C178" s="24" t="s">
        <v>261</v>
      </c>
      <c r="D178" s="24" t="s">
        <v>135</v>
      </c>
      <c r="E178" s="24"/>
      <c r="F178" s="24"/>
      <c r="G178" s="21">
        <f>G179</f>
        <v>9456</v>
      </c>
      <c r="H178" s="272">
        <f aca="true" t="shared" si="105" ref="H178:I182">H179</f>
        <v>9066.4</v>
      </c>
      <c r="I178" s="272">
        <f t="shared" si="105"/>
        <v>9066.4</v>
      </c>
      <c r="L178" s="117"/>
    </row>
    <row r="179" spans="1:12" ht="15.75">
      <c r="A179" s="23" t="s">
        <v>158</v>
      </c>
      <c r="B179" s="19">
        <v>902</v>
      </c>
      <c r="C179" s="24" t="s">
        <v>261</v>
      </c>
      <c r="D179" s="24" t="s">
        <v>135</v>
      </c>
      <c r="E179" s="24" t="s">
        <v>917</v>
      </c>
      <c r="F179" s="24"/>
      <c r="G179" s="21">
        <f>G180</f>
        <v>9456</v>
      </c>
      <c r="H179" s="272">
        <f t="shared" si="105"/>
        <v>9066.4</v>
      </c>
      <c r="I179" s="272">
        <f t="shared" si="105"/>
        <v>9066.4</v>
      </c>
      <c r="L179" s="117"/>
    </row>
    <row r="180" spans="1:12" ht="31.5">
      <c r="A180" s="23" t="s">
        <v>921</v>
      </c>
      <c r="B180" s="19">
        <v>902</v>
      </c>
      <c r="C180" s="24" t="s">
        <v>261</v>
      </c>
      <c r="D180" s="24" t="s">
        <v>135</v>
      </c>
      <c r="E180" s="24" t="s">
        <v>916</v>
      </c>
      <c r="F180" s="24"/>
      <c r="G180" s="21">
        <f>G181</f>
        <v>9456</v>
      </c>
      <c r="H180" s="272">
        <f t="shared" si="105"/>
        <v>9066.4</v>
      </c>
      <c r="I180" s="272">
        <f t="shared" si="105"/>
        <v>9066.4</v>
      </c>
      <c r="L180" s="117"/>
    </row>
    <row r="181" spans="1:12" ht="15.75">
      <c r="A181" s="25" t="s">
        <v>263</v>
      </c>
      <c r="B181" s="16">
        <v>902</v>
      </c>
      <c r="C181" s="20" t="s">
        <v>261</v>
      </c>
      <c r="D181" s="20" t="s">
        <v>135</v>
      </c>
      <c r="E181" s="20" t="s">
        <v>933</v>
      </c>
      <c r="F181" s="20"/>
      <c r="G181" s="26">
        <f>G182</f>
        <v>9456</v>
      </c>
      <c r="H181" s="261">
        <f t="shared" si="105"/>
        <v>9066.4</v>
      </c>
      <c r="I181" s="261">
        <f t="shared" si="105"/>
        <v>9066.4</v>
      </c>
      <c r="L181" s="117"/>
    </row>
    <row r="182" spans="1:12" ht="15.75">
      <c r="A182" s="25" t="s">
        <v>265</v>
      </c>
      <c r="B182" s="16">
        <v>902</v>
      </c>
      <c r="C182" s="20" t="s">
        <v>261</v>
      </c>
      <c r="D182" s="20" t="s">
        <v>135</v>
      </c>
      <c r="E182" s="20" t="s">
        <v>933</v>
      </c>
      <c r="F182" s="20" t="s">
        <v>266</v>
      </c>
      <c r="G182" s="26">
        <f>G183</f>
        <v>9456</v>
      </c>
      <c r="H182" s="261">
        <f t="shared" si="105"/>
        <v>9066.4</v>
      </c>
      <c r="I182" s="261">
        <f t="shared" si="105"/>
        <v>9066.4</v>
      </c>
      <c r="L182" s="117"/>
    </row>
    <row r="183" spans="1:12" ht="31.5">
      <c r="A183" s="25" t="s">
        <v>267</v>
      </c>
      <c r="B183" s="16">
        <v>902</v>
      </c>
      <c r="C183" s="20" t="s">
        <v>261</v>
      </c>
      <c r="D183" s="20" t="s">
        <v>135</v>
      </c>
      <c r="E183" s="20" t="s">
        <v>933</v>
      </c>
      <c r="F183" s="20" t="s">
        <v>268</v>
      </c>
      <c r="G183" s="27">
        <f>9066.4+389.6</f>
        <v>9456</v>
      </c>
      <c r="H183" s="262">
        <v>9066.4</v>
      </c>
      <c r="I183" s="262">
        <v>9066.4</v>
      </c>
      <c r="L183" s="117"/>
    </row>
    <row r="184" spans="1:12" ht="15.75">
      <c r="A184" s="23" t="s">
        <v>269</v>
      </c>
      <c r="B184" s="19">
        <v>902</v>
      </c>
      <c r="C184" s="24" t="s">
        <v>261</v>
      </c>
      <c r="D184" s="24" t="s">
        <v>232</v>
      </c>
      <c r="E184" s="20"/>
      <c r="F184" s="20"/>
      <c r="G184" s="21">
        <f>G185</f>
        <v>10</v>
      </c>
      <c r="H184" s="272">
        <f aca="true" t="shared" si="106" ref="H184:I184">H185</f>
        <v>10</v>
      </c>
      <c r="I184" s="272">
        <f t="shared" si="106"/>
        <v>10</v>
      </c>
      <c r="L184" s="117"/>
    </row>
    <row r="185" spans="1:12" ht="63">
      <c r="A185" s="23" t="s">
        <v>270</v>
      </c>
      <c r="B185" s="19">
        <v>902</v>
      </c>
      <c r="C185" s="24" t="s">
        <v>261</v>
      </c>
      <c r="D185" s="24" t="s">
        <v>232</v>
      </c>
      <c r="E185" s="24" t="s">
        <v>271</v>
      </c>
      <c r="F185" s="24"/>
      <c r="G185" s="21">
        <f>G187</f>
        <v>10</v>
      </c>
      <c r="H185" s="272">
        <f aca="true" t="shared" si="107" ref="H185:I185">H187</f>
        <v>10</v>
      </c>
      <c r="I185" s="272">
        <f t="shared" si="107"/>
        <v>10</v>
      </c>
      <c r="L185" s="117"/>
    </row>
    <row r="186" spans="1:12" s="253" customFormat="1" ht="31.5">
      <c r="A186" s="23" t="s">
        <v>936</v>
      </c>
      <c r="B186" s="19">
        <v>902</v>
      </c>
      <c r="C186" s="24" t="s">
        <v>261</v>
      </c>
      <c r="D186" s="24" t="s">
        <v>232</v>
      </c>
      <c r="E186" s="24" t="s">
        <v>934</v>
      </c>
      <c r="F186" s="24"/>
      <c r="G186" s="21">
        <f>G187</f>
        <v>10</v>
      </c>
      <c r="H186" s="272">
        <f aca="true" t="shared" si="108" ref="H186:I188">H187</f>
        <v>10</v>
      </c>
      <c r="I186" s="272">
        <f t="shared" si="108"/>
        <v>10</v>
      </c>
      <c r="J186" s="228"/>
      <c r="K186" s="117"/>
      <c r="L186" s="117"/>
    </row>
    <row r="187" spans="1:12" ht="18.75" customHeight="1">
      <c r="A187" s="25" t="s">
        <v>935</v>
      </c>
      <c r="B187" s="16">
        <v>902</v>
      </c>
      <c r="C187" s="20" t="s">
        <v>261</v>
      </c>
      <c r="D187" s="20" t="s">
        <v>232</v>
      </c>
      <c r="E187" s="20" t="s">
        <v>1158</v>
      </c>
      <c r="F187" s="20"/>
      <c r="G187" s="26">
        <f>G188</f>
        <v>10</v>
      </c>
      <c r="H187" s="261">
        <f t="shared" si="108"/>
        <v>10</v>
      </c>
      <c r="I187" s="261">
        <f t="shared" si="108"/>
        <v>10</v>
      </c>
      <c r="L187" s="117"/>
    </row>
    <row r="188" spans="1:12" ht="15.75">
      <c r="A188" s="25" t="s">
        <v>265</v>
      </c>
      <c r="B188" s="16">
        <v>902</v>
      </c>
      <c r="C188" s="20" t="s">
        <v>261</v>
      </c>
      <c r="D188" s="20" t="s">
        <v>232</v>
      </c>
      <c r="E188" s="20" t="s">
        <v>1158</v>
      </c>
      <c r="F188" s="20" t="s">
        <v>266</v>
      </c>
      <c r="G188" s="26">
        <f>G189</f>
        <v>10</v>
      </c>
      <c r="H188" s="261">
        <f t="shared" si="108"/>
        <v>10</v>
      </c>
      <c r="I188" s="261">
        <f t="shared" si="108"/>
        <v>10</v>
      </c>
      <c r="L188" s="117"/>
    </row>
    <row r="189" spans="1:12" ht="31.5">
      <c r="A189" s="25" t="s">
        <v>267</v>
      </c>
      <c r="B189" s="16">
        <v>902</v>
      </c>
      <c r="C189" s="20" t="s">
        <v>261</v>
      </c>
      <c r="D189" s="20" t="s">
        <v>232</v>
      </c>
      <c r="E189" s="20" t="s">
        <v>1158</v>
      </c>
      <c r="F189" s="20" t="s">
        <v>268</v>
      </c>
      <c r="G189" s="26">
        <v>10</v>
      </c>
      <c r="H189" s="261">
        <v>10</v>
      </c>
      <c r="I189" s="261">
        <v>10</v>
      </c>
      <c r="L189" s="117"/>
    </row>
    <row r="190" spans="1:12" ht="15.75">
      <c r="A190" s="23" t="s">
        <v>275</v>
      </c>
      <c r="B190" s="19">
        <v>902</v>
      </c>
      <c r="C190" s="24" t="s">
        <v>261</v>
      </c>
      <c r="D190" s="24" t="s">
        <v>137</v>
      </c>
      <c r="E190" s="24"/>
      <c r="F190" s="24"/>
      <c r="G190" s="21">
        <f>G191</f>
        <v>3263.9</v>
      </c>
      <c r="H190" s="272">
        <f aca="true" t="shared" si="109" ref="H190:I192">H191</f>
        <v>3263.9</v>
      </c>
      <c r="I190" s="272">
        <f t="shared" si="109"/>
        <v>3263.9</v>
      </c>
      <c r="L190" s="117"/>
    </row>
    <row r="191" spans="1:12" ht="31.5">
      <c r="A191" s="23" t="s">
        <v>995</v>
      </c>
      <c r="B191" s="19">
        <v>902</v>
      </c>
      <c r="C191" s="24" t="s">
        <v>261</v>
      </c>
      <c r="D191" s="24" t="s">
        <v>137</v>
      </c>
      <c r="E191" s="24" t="s">
        <v>909</v>
      </c>
      <c r="F191" s="24"/>
      <c r="G191" s="21">
        <f>G192</f>
        <v>3263.9</v>
      </c>
      <c r="H191" s="272">
        <f t="shared" si="109"/>
        <v>3263.9</v>
      </c>
      <c r="I191" s="272">
        <f t="shared" si="109"/>
        <v>3263.9</v>
      </c>
      <c r="L191" s="117"/>
    </row>
    <row r="192" spans="1:12" ht="31.5">
      <c r="A192" s="23" t="s">
        <v>937</v>
      </c>
      <c r="B192" s="19">
        <v>902</v>
      </c>
      <c r="C192" s="24" t="s">
        <v>261</v>
      </c>
      <c r="D192" s="24" t="s">
        <v>137</v>
      </c>
      <c r="E192" s="24" t="s">
        <v>914</v>
      </c>
      <c r="F192" s="24"/>
      <c r="G192" s="21">
        <f>G193</f>
        <v>3263.9</v>
      </c>
      <c r="H192" s="272">
        <f t="shared" si="109"/>
        <v>3263.9</v>
      </c>
      <c r="I192" s="272">
        <f t="shared" si="109"/>
        <v>3263.9</v>
      </c>
      <c r="L192" s="117"/>
    </row>
    <row r="193" spans="1:12" ht="47.25" customHeight="1">
      <c r="A193" s="32" t="s">
        <v>276</v>
      </c>
      <c r="B193" s="16">
        <v>902</v>
      </c>
      <c r="C193" s="20" t="s">
        <v>261</v>
      </c>
      <c r="D193" s="20" t="s">
        <v>137</v>
      </c>
      <c r="E193" s="20" t="s">
        <v>1005</v>
      </c>
      <c r="F193" s="20"/>
      <c r="G193" s="26">
        <f>G194+G196</f>
        <v>3263.9</v>
      </c>
      <c r="H193" s="261">
        <f aca="true" t="shared" si="110" ref="H193:I193">H194+H196</f>
        <v>3263.9</v>
      </c>
      <c r="I193" s="261">
        <f t="shared" si="110"/>
        <v>3263.9</v>
      </c>
      <c r="L193" s="117"/>
    </row>
    <row r="194" spans="1:12" ht="63">
      <c r="A194" s="25" t="s">
        <v>144</v>
      </c>
      <c r="B194" s="16">
        <v>902</v>
      </c>
      <c r="C194" s="20" t="s">
        <v>261</v>
      </c>
      <c r="D194" s="20" t="s">
        <v>137</v>
      </c>
      <c r="E194" s="20" t="s">
        <v>1005</v>
      </c>
      <c r="F194" s="20" t="s">
        <v>145</v>
      </c>
      <c r="G194" s="26">
        <f>G195</f>
        <v>2995.8</v>
      </c>
      <c r="H194" s="261">
        <f aca="true" t="shared" si="111" ref="H194:I194">H195</f>
        <v>2995.8</v>
      </c>
      <c r="I194" s="261">
        <f t="shared" si="111"/>
        <v>2995.8</v>
      </c>
      <c r="L194" s="117"/>
    </row>
    <row r="195" spans="1:12" ht="31.5">
      <c r="A195" s="25" t="s">
        <v>146</v>
      </c>
      <c r="B195" s="16">
        <v>902</v>
      </c>
      <c r="C195" s="20" t="s">
        <v>261</v>
      </c>
      <c r="D195" s="20" t="s">
        <v>137</v>
      </c>
      <c r="E195" s="20" t="s">
        <v>1005</v>
      </c>
      <c r="F195" s="20" t="s">
        <v>147</v>
      </c>
      <c r="G195" s="27">
        <f>2972.5+23.3</f>
        <v>2995.8</v>
      </c>
      <c r="H195" s="262">
        <f aca="true" t="shared" si="112" ref="H195:I195">2972.5+23.3</f>
        <v>2995.8</v>
      </c>
      <c r="I195" s="262">
        <f t="shared" si="112"/>
        <v>2995.8</v>
      </c>
      <c r="J195" s="274"/>
      <c r="L195" s="117"/>
    </row>
    <row r="196" spans="1:12" ht="31.5">
      <c r="A196" s="25" t="s">
        <v>148</v>
      </c>
      <c r="B196" s="16">
        <v>902</v>
      </c>
      <c r="C196" s="20" t="s">
        <v>261</v>
      </c>
      <c r="D196" s="20" t="s">
        <v>137</v>
      </c>
      <c r="E196" s="20" t="s">
        <v>1005</v>
      </c>
      <c r="F196" s="20" t="s">
        <v>149</v>
      </c>
      <c r="G196" s="26">
        <f>G197</f>
        <v>268.09999999999997</v>
      </c>
      <c r="H196" s="261">
        <f aca="true" t="shared" si="113" ref="H196:I196">H197</f>
        <v>268.09999999999997</v>
      </c>
      <c r="I196" s="261">
        <f t="shared" si="113"/>
        <v>268.09999999999997</v>
      </c>
      <c r="L196" s="117"/>
    </row>
    <row r="197" spans="1:12" ht="31.5">
      <c r="A197" s="25" t="s">
        <v>150</v>
      </c>
      <c r="B197" s="16">
        <v>902</v>
      </c>
      <c r="C197" s="20" t="s">
        <v>261</v>
      </c>
      <c r="D197" s="20" t="s">
        <v>137</v>
      </c>
      <c r="E197" s="20" t="s">
        <v>1005</v>
      </c>
      <c r="F197" s="20" t="s">
        <v>151</v>
      </c>
      <c r="G197" s="27">
        <f>291.4-23.3</f>
        <v>268.09999999999997</v>
      </c>
      <c r="H197" s="262">
        <f aca="true" t="shared" si="114" ref="H197:I197">291.4-23.3</f>
        <v>268.09999999999997</v>
      </c>
      <c r="I197" s="262">
        <f t="shared" si="114"/>
        <v>268.09999999999997</v>
      </c>
      <c r="J197" s="274"/>
      <c r="L197" s="117"/>
    </row>
    <row r="198" spans="1:12" ht="48.75" customHeight="1">
      <c r="A198" s="19" t="s">
        <v>278</v>
      </c>
      <c r="B198" s="19">
        <v>903</v>
      </c>
      <c r="C198" s="20"/>
      <c r="D198" s="20"/>
      <c r="E198" s="20"/>
      <c r="F198" s="20"/>
      <c r="G198" s="21">
        <f>G261+G322+G418+G199+G232</f>
        <v>89469.004</v>
      </c>
      <c r="H198" s="272" t="e">
        <f>H261+H322+H418+H199+H232</f>
        <v>#REF!</v>
      </c>
      <c r="I198" s="272" t="e">
        <f>I261+I322+I418+I199+I232</f>
        <v>#REF!</v>
      </c>
      <c r="J198" s="275">
        <f>G204+G210+G227+G237+G244+G251+G265+G273+G277+G283+G297+G305+G312+G318+G326+G334+G340+G349+G357+G361+G366+G379+G384+G391+G401+G414+G422+G426+G431+G442</f>
        <v>86495.504</v>
      </c>
      <c r="K198" s="122"/>
      <c r="L198" s="117"/>
    </row>
    <row r="199" spans="1:12" ht="15.75">
      <c r="A199" s="23" t="s">
        <v>134</v>
      </c>
      <c r="B199" s="19">
        <v>903</v>
      </c>
      <c r="C199" s="24" t="s">
        <v>135</v>
      </c>
      <c r="D199" s="20"/>
      <c r="E199" s="20"/>
      <c r="F199" s="20"/>
      <c r="G199" s="21">
        <f>G200</f>
        <v>120</v>
      </c>
      <c r="H199" s="272">
        <f aca="true" t="shared" si="115" ref="H199:I199">H200</f>
        <v>746</v>
      </c>
      <c r="I199" s="272">
        <f t="shared" si="115"/>
        <v>746</v>
      </c>
      <c r="L199" s="117"/>
    </row>
    <row r="200" spans="1:12" ht="15.75">
      <c r="A200" s="23" t="s">
        <v>156</v>
      </c>
      <c r="B200" s="19">
        <v>903</v>
      </c>
      <c r="C200" s="24" t="s">
        <v>135</v>
      </c>
      <c r="D200" s="24" t="s">
        <v>157</v>
      </c>
      <c r="E200" s="20"/>
      <c r="F200" s="20"/>
      <c r="G200" s="21">
        <f>G201+G210+G227</f>
        <v>120</v>
      </c>
      <c r="H200" s="272">
        <f aca="true" t="shared" si="116" ref="H200:I200">H201+H210+H227</f>
        <v>746</v>
      </c>
      <c r="I200" s="272">
        <f t="shared" si="116"/>
        <v>746</v>
      </c>
      <c r="L200" s="117"/>
    </row>
    <row r="201" spans="1:12" ht="47.25">
      <c r="A201" s="23" t="s">
        <v>360</v>
      </c>
      <c r="B201" s="19">
        <v>903</v>
      </c>
      <c r="C201" s="8" t="s">
        <v>135</v>
      </c>
      <c r="D201" s="8" t="s">
        <v>157</v>
      </c>
      <c r="E201" s="232" t="s">
        <v>361</v>
      </c>
      <c r="F201" s="8"/>
      <c r="G201" s="21">
        <f>G202</f>
        <v>60</v>
      </c>
      <c r="H201" s="272">
        <f aca="true" t="shared" si="117" ref="H201:I202">H202</f>
        <v>486</v>
      </c>
      <c r="I201" s="272">
        <f t="shared" si="117"/>
        <v>486</v>
      </c>
      <c r="L201" s="117"/>
    </row>
    <row r="202" spans="1:12" ht="81.75" customHeight="1">
      <c r="A202" s="42" t="s">
        <v>397</v>
      </c>
      <c r="B202" s="19">
        <v>903</v>
      </c>
      <c r="C202" s="7" t="s">
        <v>135</v>
      </c>
      <c r="D202" s="7" t="s">
        <v>157</v>
      </c>
      <c r="E202" s="7" t="s">
        <v>398</v>
      </c>
      <c r="F202" s="7"/>
      <c r="G202" s="21">
        <f>G203</f>
        <v>60</v>
      </c>
      <c r="H202" s="272">
        <f t="shared" si="117"/>
        <v>486</v>
      </c>
      <c r="I202" s="272">
        <f t="shared" si="117"/>
        <v>486</v>
      </c>
      <c r="L202" s="117"/>
    </row>
    <row r="203" spans="1:12" s="253" customFormat="1" ht="47.25">
      <c r="A203" s="382" t="s">
        <v>1236</v>
      </c>
      <c r="B203" s="19">
        <v>903</v>
      </c>
      <c r="C203" s="7" t="s">
        <v>135</v>
      </c>
      <c r="D203" s="7" t="s">
        <v>157</v>
      </c>
      <c r="E203" s="7" t="s">
        <v>938</v>
      </c>
      <c r="F203" s="7"/>
      <c r="G203" s="21">
        <f>G204+G207</f>
        <v>60</v>
      </c>
      <c r="H203" s="272">
        <f aca="true" t="shared" si="118" ref="H203:I203">H204+H207</f>
        <v>486</v>
      </c>
      <c r="I203" s="272">
        <f t="shared" si="118"/>
        <v>486</v>
      </c>
      <c r="J203" s="228"/>
      <c r="K203" s="117"/>
      <c r="L203" s="117"/>
    </row>
    <row r="204" spans="1:12" ht="31.5">
      <c r="A204" s="107" t="s">
        <v>1322</v>
      </c>
      <c r="B204" s="16">
        <v>903</v>
      </c>
      <c r="C204" s="41" t="s">
        <v>135</v>
      </c>
      <c r="D204" s="41" t="s">
        <v>157</v>
      </c>
      <c r="E204" s="41" t="s">
        <v>939</v>
      </c>
      <c r="F204" s="41"/>
      <c r="G204" s="26">
        <f>G205</f>
        <v>60</v>
      </c>
      <c r="H204" s="261">
        <f aca="true" t="shared" si="119" ref="H204:I205">H205</f>
        <v>350</v>
      </c>
      <c r="I204" s="261">
        <f t="shared" si="119"/>
        <v>350</v>
      </c>
      <c r="L204" s="117"/>
    </row>
    <row r="205" spans="1:12" ht="31.5">
      <c r="A205" s="30" t="s">
        <v>148</v>
      </c>
      <c r="B205" s="16">
        <v>903</v>
      </c>
      <c r="C205" s="41" t="s">
        <v>135</v>
      </c>
      <c r="D205" s="41" t="s">
        <v>157</v>
      </c>
      <c r="E205" s="41" t="s">
        <v>939</v>
      </c>
      <c r="F205" s="41" t="s">
        <v>149</v>
      </c>
      <c r="G205" s="26">
        <f>G206</f>
        <v>60</v>
      </c>
      <c r="H205" s="261">
        <f t="shared" si="119"/>
        <v>350</v>
      </c>
      <c r="I205" s="261">
        <f t="shared" si="119"/>
        <v>350</v>
      </c>
      <c r="J205" s="278"/>
      <c r="L205" s="117"/>
    </row>
    <row r="206" spans="1:12" ht="31.5">
      <c r="A206" s="30" t="s">
        <v>150</v>
      </c>
      <c r="B206" s="16">
        <v>903</v>
      </c>
      <c r="C206" s="41" t="s">
        <v>135</v>
      </c>
      <c r="D206" s="41" t="s">
        <v>157</v>
      </c>
      <c r="E206" s="41" t="s">
        <v>939</v>
      </c>
      <c r="F206" s="41" t="s">
        <v>151</v>
      </c>
      <c r="G206" s="26">
        <v>60</v>
      </c>
      <c r="H206" s="261">
        <f aca="true" t="shared" si="120" ref="H206:I206">200+150</f>
        <v>350</v>
      </c>
      <c r="I206" s="261">
        <f t="shared" si="120"/>
        <v>350</v>
      </c>
      <c r="J206" s="278"/>
      <c r="L206" s="117"/>
    </row>
    <row r="207" spans="1:12" s="253" customFormat="1" ht="31.5" hidden="1">
      <c r="A207" s="36" t="s">
        <v>941</v>
      </c>
      <c r="B207" s="16">
        <v>903</v>
      </c>
      <c r="C207" s="20" t="s">
        <v>135</v>
      </c>
      <c r="D207" s="20" t="s">
        <v>157</v>
      </c>
      <c r="E207" s="20" t="s">
        <v>940</v>
      </c>
      <c r="F207" s="24"/>
      <c r="G207" s="26">
        <f>G208</f>
        <v>0</v>
      </c>
      <c r="H207" s="261">
        <f aca="true" t="shared" si="121" ref="H207:I208">H208</f>
        <v>136</v>
      </c>
      <c r="I207" s="261">
        <f t="shared" si="121"/>
        <v>136</v>
      </c>
      <c r="J207" s="302"/>
      <c r="K207" s="117"/>
      <c r="L207" s="117"/>
    </row>
    <row r="208" spans="1:12" s="253" customFormat="1" ht="31.5" hidden="1">
      <c r="A208" s="25" t="s">
        <v>148</v>
      </c>
      <c r="B208" s="16">
        <v>903</v>
      </c>
      <c r="C208" s="20" t="s">
        <v>135</v>
      </c>
      <c r="D208" s="20" t="s">
        <v>157</v>
      </c>
      <c r="E208" s="20" t="s">
        <v>940</v>
      </c>
      <c r="F208" s="20" t="s">
        <v>149</v>
      </c>
      <c r="G208" s="26">
        <f>G209</f>
        <v>0</v>
      </c>
      <c r="H208" s="261">
        <f t="shared" si="121"/>
        <v>136</v>
      </c>
      <c r="I208" s="261">
        <f t="shared" si="121"/>
        <v>136</v>
      </c>
      <c r="J208" s="302"/>
      <c r="K208" s="117"/>
      <c r="L208" s="117"/>
    </row>
    <row r="209" spans="1:12" s="253" customFormat="1" ht="31.5" hidden="1">
      <c r="A209" s="25" t="s">
        <v>150</v>
      </c>
      <c r="B209" s="16">
        <v>903</v>
      </c>
      <c r="C209" s="20" t="s">
        <v>135</v>
      </c>
      <c r="D209" s="20" t="s">
        <v>157</v>
      </c>
      <c r="E209" s="20" t="s">
        <v>940</v>
      </c>
      <c r="F209" s="20" t="s">
        <v>151</v>
      </c>
      <c r="G209" s="26">
        <v>0</v>
      </c>
      <c r="H209" s="261">
        <v>136</v>
      </c>
      <c r="I209" s="261">
        <v>136</v>
      </c>
      <c r="J209" s="302"/>
      <c r="K209" s="117"/>
      <c r="L209" s="117"/>
    </row>
    <row r="210" spans="1:12" ht="47.25">
      <c r="A210" s="23" t="s">
        <v>351</v>
      </c>
      <c r="B210" s="19">
        <v>903</v>
      </c>
      <c r="C210" s="24" t="s">
        <v>135</v>
      </c>
      <c r="D210" s="24" t="s">
        <v>157</v>
      </c>
      <c r="E210" s="24" t="s">
        <v>352</v>
      </c>
      <c r="F210" s="24"/>
      <c r="G210" s="21">
        <f>G211</f>
        <v>55</v>
      </c>
      <c r="H210" s="272">
        <f aca="true" t="shared" si="122" ref="H210:I210">H211</f>
        <v>255</v>
      </c>
      <c r="I210" s="272">
        <f t="shared" si="122"/>
        <v>255</v>
      </c>
      <c r="L210" s="117"/>
    </row>
    <row r="211" spans="1:12" s="253" customFormat="1" ht="31.5">
      <c r="A211" s="23" t="s">
        <v>1242</v>
      </c>
      <c r="B211" s="19">
        <v>903</v>
      </c>
      <c r="C211" s="24" t="s">
        <v>135</v>
      </c>
      <c r="D211" s="24" t="s">
        <v>157</v>
      </c>
      <c r="E211" s="24" t="s">
        <v>1243</v>
      </c>
      <c r="F211" s="24"/>
      <c r="G211" s="21">
        <f>G212+G215+G218+G221+G224</f>
        <v>55</v>
      </c>
      <c r="H211" s="272">
        <f aca="true" t="shared" si="123" ref="H211:I211">H212+H215+H218+H221+H224</f>
        <v>255</v>
      </c>
      <c r="I211" s="272">
        <f t="shared" si="123"/>
        <v>255</v>
      </c>
      <c r="J211" s="228"/>
      <c r="K211" s="117"/>
      <c r="L211" s="117"/>
    </row>
    <row r="212" spans="1:12" ht="31.5">
      <c r="A212" s="105" t="s">
        <v>353</v>
      </c>
      <c r="B212" s="16">
        <v>903</v>
      </c>
      <c r="C212" s="20" t="s">
        <v>135</v>
      </c>
      <c r="D212" s="20" t="s">
        <v>157</v>
      </c>
      <c r="E212" s="20" t="s">
        <v>1244</v>
      </c>
      <c r="F212" s="20"/>
      <c r="G212" s="26">
        <f>G213</f>
        <v>0</v>
      </c>
      <c r="H212" s="261">
        <f aca="true" t="shared" si="124" ref="H212:I213">H213</f>
        <v>230</v>
      </c>
      <c r="I212" s="261">
        <f t="shared" si="124"/>
        <v>230</v>
      </c>
      <c r="L212" s="117"/>
    </row>
    <row r="213" spans="1:12" ht="31.5">
      <c r="A213" s="25" t="s">
        <v>148</v>
      </c>
      <c r="B213" s="16">
        <v>903</v>
      </c>
      <c r="C213" s="20" t="s">
        <v>135</v>
      </c>
      <c r="D213" s="20" t="s">
        <v>157</v>
      </c>
      <c r="E213" s="20" t="s">
        <v>1244</v>
      </c>
      <c r="F213" s="20" t="s">
        <v>149</v>
      </c>
      <c r="G213" s="26">
        <f>G214</f>
        <v>0</v>
      </c>
      <c r="H213" s="261">
        <f t="shared" si="124"/>
        <v>230</v>
      </c>
      <c r="I213" s="261">
        <f t="shared" si="124"/>
        <v>230</v>
      </c>
      <c r="L213" s="117"/>
    </row>
    <row r="214" spans="1:12" ht="31.5">
      <c r="A214" s="25" t="s">
        <v>150</v>
      </c>
      <c r="B214" s="16">
        <v>903</v>
      </c>
      <c r="C214" s="20" t="s">
        <v>135</v>
      </c>
      <c r="D214" s="20" t="s">
        <v>157</v>
      </c>
      <c r="E214" s="20" t="s">
        <v>1244</v>
      </c>
      <c r="F214" s="20" t="s">
        <v>151</v>
      </c>
      <c r="G214" s="26">
        <v>0</v>
      </c>
      <c r="H214" s="261">
        <v>230</v>
      </c>
      <c r="I214" s="261">
        <v>230</v>
      </c>
      <c r="L214" s="117"/>
    </row>
    <row r="215" spans="1:12" ht="15.75">
      <c r="A215" s="25" t="s">
        <v>355</v>
      </c>
      <c r="B215" s="16">
        <v>903</v>
      </c>
      <c r="C215" s="20" t="s">
        <v>135</v>
      </c>
      <c r="D215" s="20" t="s">
        <v>157</v>
      </c>
      <c r="E215" s="20" t="s">
        <v>1245</v>
      </c>
      <c r="F215" s="20"/>
      <c r="G215" s="26">
        <f>G216</f>
        <v>25</v>
      </c>
      <c r="H215" s="261">
        <f aca="true" t="shared" si="125" ref="H215:I216">H216</f>
        <v>25</v>
      </c>
      <c r="I215" s="261">
        <f t="shared" si="125"/>
        <v>25</v>
      </c>
      <c r="L215" s="117"/>
    </row>
    <row r="216" spans="1:12" ht="31.5">
      <c r="A216" s="25" t="s">
        <v>148</v>
      </c>
      <c r="B216" s="16">
        <v>903</v>
      </c>
      <c r="C216" s="20" t="s">
        <v>135</v>
      </c>
      <c r="D216" s="20" t="s">
        <v>157</v>
      </c>
      <c r="E216" s="20" t="s">
        <v>1245</v>
      </c>
      <c r="F216" s="20" t="s">
        <v>149</v>
      </c>
      <c r="G216" s="26">
        <f>G217</f>
        <v>25</v>
      </c>
      <c r="H216" s="261">
        <f t="shared" si="125"/>
        <v>25</v>
      </c>
      <c r="I216" s="261">
        <f t="shared" si="125"/>
        <v>25</v>
      </c>
      <c r="L216" s="117"/>
    </row>
    <row r="217" spans="1:12" ht="31.5">
      <c r="A217" s="25" t="s">
        <v>150</v>
      </c>
      <c r="B217" s="16">
        <v>903</v>
      </c>
      <c r="C217" s="20" t="s">
        <v>135</v>
      </c>
      <c r="D217" s="20" t="s">
        <v>157</v>
      </c>
      <c r="E217" s="20" t="s">
        <v>1245</v>
      </c>
      <c r="F217" s="20" t="s">
        <v>151</v>
      </c>
      <c r="G217" s="26">
        <v>25</v>
      </c>
      <c r="H217" s="261">
        <v>25</v>
      </c>
      <c r="I217" s="261">
        <v>25</v>
      </c>
      <c r="L217" s="117"/>
    </row>
    <row r="218" spans="1:12" ht="47.25">
      <c r="A218" s="32" t="s">
        <v>796</v>
      </c>
      <c r="B218" s="16">
        <v>903</v>
      </c>
      <c r="C218" s="20" t="s">
        <v>135</v>
      </c>
      <c r="D218" s="20" t="s">
        <v>157</v>
      </c>
      <c r="E218" s="20" t="s">
        <v>1246</v>
      </c>
      <c r="F218" s="20"/>
      <c r="G218" s="26">
        <f>G219</f>
        <v>10</v>
      </c>
      <c r="H218" s="261">
        <f aca="true" t="shared" si="126" ref="H218:I219">H219</f>
        <v>0</v>
      </c>
      <c r="I218" s="261">
        <f t="shared" si="126"/>
        <v>0</v>
      </c>
      <c r="L218" s="117"/>
    </row>
    <row r="219" spans="1:12" ht="31.5">
      <c r="A219" s="25" t="s">
        <v>148</v>
      </c>
      <c r="B219" s="16">
        <v>903</v>
      </c>
      <c r="C219" s="20" t="s">
        <v>135</v>
      </c>
      <c r="D219" s="20" t="s">
        <v>157</v>
      </c>
      <c r="E219" s="20" t="s">
        <v>1246</v>
      </c>
      <c r="F219" s="20" t="s">
        <v>149</v>
      </c>
      <c r="G219" s="26">
        <f>G220</f>
        <v>10</v>
      </c>
      <c r="H219" s="261">
        <f t="shared" si="126"/>
        <v>0</v>
      </c>
      <c r="I219" s="261">
        <f t="shared" si="126"/>
        <v>0</v>
      </c>
      <c r="L219" s="117"/>
    </row>
    <row r="220" spans="1:12" ht="31.5">
      <c r="A220" s="25" t="s">
        <v>150</v>
      </c>
      <c r="B220" s="16">
        <v>903</v>
      </c>
      <c r="C220" s="20" t="s">
        <v>135</v>
      </c>
      <c r="D220" s="20" t="s">
        <v>157</v>
      </c>
      <c r="E220" s="20" t="s">
        <v>1246</v>
      </c>
      <c r="F220" s="20" t="s">
        <v>151</v>
      </c>
      <c r="G220" s="26">
        <v>10</v>
      </c>
      <c r="H220" s="261">
        <v>0</v>
      </c>
      <c r="I220" s="261">
        <v>0</v>
      </c>
      <c r="L220" s="117"/>
    </row>
    <row r="221" spans="1:12" ht="15.75" hidden="1">
      <c r="A221" s="25" t="s">
        <v>1152</v>
      </c>
      <c r="B221" s="16">
        <v>903</v>
      </c>
      <c r="C221" s="20" t="s">
        <v>135</v>
      </c>
      <c r="D221" s="20" t="s">
        <v>157</v>
      </c>
      <c r="E221" s="20" t="s">
        <v>1247</v>
      </c>
      <c r="F221" s="20"/>
      <c r="G221" s="26">
        <f>G222</f>
        <v>0</v>
      </c>
      <c r="H221" s="261">
        <f aca="true" t="shared" si="127" ref="H221:I222">H222</f>
        <v>0</v>
      </c>
      <c r="I221" s="261">
        <f t="shared" si="127"/>
        <v>0</v>
      </c>
      <c r="L221" s="117"/>
    </row>
    <row r="222" spans="1:12" ht="31.5" hidden="1">
      <c r="A222" s="25" t="s">
        <v>148</v>
      </c>
      <c r="B222" s="16">
        <v>903</v>
      </c>
      <c r="C222" s="20" t="s">
        <v>135</v>
      </c>
      <c r="D222" s="20" t="s">
        <v>157</v>
      </c>
      <c r="E222" s="20" t="s">
        <v>1247</v>
      </c>
      <c r="F222" s="20" t="s">
        <v>149</v>
      </c>
      <c r="G222" s="26">
        <f>G223</f>
        <v>0</v>
      </c>
      <c r="H222" s="261">
        <f t="shared" si="127"/>
        <v>0</v>
      </c>
      <c r="I222" s="261">
        <f t="shared" si="127"/>
        <v>0</v>
      </c>
      <c r="L222" s="117"/>
    </row>
    <row r="223" spans="1:12" ht="31.5" hidden="1">
      <c r="A223" s="25" t="s">
        <v>150</v>
      </c>
      <c r="B223" s="16">
        <v>903</v>
      </c>
      <c r="C223" s="20" t="s">
        <v>135</v>
      </c>
      <c r="D223" s="20" t="s">
        <v>157</v>
      </c>
      <c r="E223" s="20" t="s">
        <v>1247</v>
      </c>
      <c r="F223" s="20" t="s">
        <v>151</v>
      </c>
      <c r="G223" s="26">
        <v>0</v>
      </c>
      <c r="H223" s="261">
        <v>0</v>
      </c>
      <c r="I223" s="261">
        <v>0</v>
      </c>
      <c r="L223" s="117"/>
    </row>
    <row r="224" spans="1:12" ht="47.25" customHeight="1">
      <c r="A224" s="32" t="s">
        <v>797</v>
      </c>
      <c r="B224" s="16">
        <v>903</v>
      </c>
      <c r="C224" s="20" t="s">
        <v>135</v>
      </c>
      <c r="D224" s="20" t="s">
        <v>157</v>
      </c>
      <c r="E224" s="20" t="s">
        <v>1248</v>
      </c>
      <c r="F224" s="20"/>
      <c r="G224" s="26">
        <f>G225</f>
        <v>20</v>
      </c>
      <c r="H224" s="261">
        <f aca="true" t="shared" si="128" ref="H224:I225">H225</f>
        <v>0</v>
      </c>
      <c r="I224" s="261">
        <f t="shared" si="128"/>
        <v>0</v>
      </c>
      <c r="L224" s="117"/>
    </row>
    <row r="225" spans="1:12" ht="31.5">
      <c r="A225" s="25" t="s">
        <v>148</v>
      </c>
      <c r="B225" s="16">
        <v>903</v>
      </c>
      <c r="C225" s="20" t="s">
        <v>135</v>
      </c>
      <c r="D225" s="20" t="s">
        <v>157</v>
      </c>
      <c r="E225" s="20" t="s">
        <v>1248</v>
      </c>
      <c r="F225" s="20" t="s">
        <v>149</v>
      </c>
      <c r="G225" s="26">
        <f>G226</f>
        <v>20</v>
      </c>
      <c r="H225" s="261">
        <f t="shared" si="128"/>
        <v>0</v>
      </c>
      <c r="I225" s="261">
        <f t="shared" si="128"/>
        <v>0</v>
      </c>
      <c r="L225" s="117"/>
    </row>
    <row r="226" spans="1:12" ht="31.5">
      <c r="A226" s="25" t="s">
        <v>150</v>
      </c>
      <c r="B226" s="16">
        <v>903</v>
      </c>
      <c r="C226" s="20" t="s">
        <v>135</v>
      </c>
      <c r="D226" s="20" t="s">
        <v>157</v>
      </c>
      <c r="E226" s="20" t="s">
        <v>1248</v>
      </c>
      <c r="F226" s="20" t="s">
        <v>151</v>
      </c>
      <c r="G226" s="26">
        <v>20</v>
      </c>
      <c r="H226" s="261">
        <v>0</v>
      </c>
      <c r="I226" s="261">
        <v>0</v>
      </c>
      <c r="L226" s="117"/>
    </row>
    <row r="227" spans="1:12" ht="47.25">
      <c r="A227" s="42" t="s">
        <v>1188</v>
      </c>
      <c r="B227" s="19">
        <v>903</v>
      </c>
      <c r="C227" s="24" t="s">
        <v>135</v>
      </c>
      <c r="D227" s="24" t="s">
        <v>157</v>
      </c>
      <c r="E227" s="24" t="s">
        <v>730</v>
      </c>
      <c r="F227" s="24"/>
      <c r="G227" s="21">
        <f>G229</f>
        <v>5</v>
      </c>
      <c r="H227" s="272">
        <f aca="true" t="shared" si="129" ref="H227:I227">H229</f>
        <v>5</v>
      </c>
      <c r="I227" s="272">
        <f t="shared" si="129"/>
        <v>5</v>
      </c>
      <c r="J227" s="228" t="s">
        <v>1189</v>
      </c>
      <c r="L227" s="117"/>
    </row>
    <row r="228" spans="1:12" s="253" customFormat="1" ht="44.25" customHeight="1">
      <c r="A228" s="311" t="s">
        <v>897</v>
      </c>
      <c r="B228" s="19">
        <v>903</v>
      </c>
      <c r="C228" s="24" t="s">
        <v>135</v>
      </c>
      <c r="D228" s="24" t="s">
        <v>157</v>
      </c>
      <c r="E228" s="24" t="s">
        <v>903</v>
      </c>
      <c r="F228" s="24"/>
      <c r="G228" s="21">
        <f>G229</f>
        <v>5</v>
      </c>
      <c r="H228" s="272">
        <f aca="true" t="shared" si="130" ref="H228:I230">H229</f>
        <v>5</v>
      </c>
      <c r="I228" s="272">
        <f t="shared" si="130"/>
        <v>5</v>
      </c>
      <c r="J228" s="228"/>
      <c r="K228" s="117"/>
      <c r="L228" s="117"/>
    </row>
    <row r="229" spans="1:12" ht="31.5">
      <c r="A229" s="107" t="s">
        <v>801</v>
      </c>
      <c r="B229" s="16">
        <v>903</v>
      </c>
      <c r="C229" s="20" t="s">
        <v>135</v>
      </c>
      <c r="D229" s="20" t="s">
        <v>157</v>
      </c>
      <c r="E229" s="20" t="s">
        <v>898</v>
      </c>
      <c r="F229" s="20"/>
      <c r="G229" s="26">
        <f>G230</f>
        <v>5</v>
      </c>
      <c r="H229" s="261">
        <f t="shared" si="130"/>
        <v>5</v>
      </c>
      <c r="I229" s="261">
        <f t="shared" si="130"/>
        <v>5</v>
      </c>
      <c r="L229" s="117"/>
    </row>
    <row r="230" spans="1:12" ht="31.5">
      <c r="A230" s="25" t="s">
        <v>148</v>
      </c>
      <c r="B230" s="16">
        <v>903</v>
      </c>
      <c r="C230" s="20" t="s">
        <v>135</v>
      </c>
      <c r="D230" s="20" t="s">
        <v>157</v>
      </c>
      <c r="E230" s="20" t="s">
        <v>898</v>
      </c>
      <c r="F230" s="20" t="s">
        <v>149</v>
      </c>
      <c r="G230" s="26">
        <f>G231</f>
        <v>5</v>
      </c>
      <c r="H230" s="261">
        <f t="shared" si="130"/>
        <v>5</v>
      </c>
      <c r="I230" s="261">
        <f t="shared" si="130"/>
        <v>5</v>
      </c>
      <c r="L230" s="117"/>
    </row>
    <row r="231" spans="1:12" ht="31.5">
      <c r="A231" s="25" t="s">
        <v>150</v>
      </c>
      <c r="B231" s="16">
        <v>903</v>
      </c>
      <c r="C231" s="20" t="s">
        <v>135</v>
      </c>
      <c r="D231" s="20" t="s">
        <v>157</v>
      </c>
      <c r="E231" s="20" t="s">
        <v>898</v>
      </c>
      <c r="F231" s="20" t="s">
        <v>151</v>
      </c>
      <c r="G231" s="26">
        <v>5</v>
      </c>
      <c r="H231" s="261">
        <v>5</v>
      </c>
      <c r="I231" s="261">
        <v>5</v>
      </c>
      <c r="L231" s="117"/>
    </row>
    <row r="232" spans="1:12" ht="21" customHeight="1">
      <c r="A232" s="317" t="s">
        <v>249</v>
      </c>
      <c r="B232" s="19">
        <v>903</v>
      </c>
      <c r="C232" s="24" t="s">
        <v>167</v>
      </c>
      <c r="D232" s="20"/>
      <c r="E232" s="20"/>
      <c r="F232" s="33"/>
      <c r="G232" s="21">
        <f>G233</f>
        <v>70</v>
      </c>
      <c r="H232" s="272">
        <f aca="true" t="shared" si="131" ref="H232:I234">H233</f>
        <v>20</v>
      </c>
      <c r="I232" s="272">
        <f t="shared" si="131"/>
        <v>20</v>
      </c>
      <c r="J232" s="280"/>
      <c r="L232" s="117"/>
    </row>
    <row r="233" spans="1:12" ht="21" customHeight="1">
      <c r="A233" s="23" t="s">
        <v>254</v>
      </c>
      <c r="B233" s="19">
        <v>903</v>
      </c>
      <c r="C233" s="24" t="s">
        <v>167</v>
      </c>
      <c r="D233" s="24" t="s">
        <v>255</v>
      </c>
      <c r="E233" s="20"/>
      <c r="F233" s="33"/>
      <c r="G233" s="21">
        <f>G234</f>
        <v>70</v>
      </c>
      <c r="H233" s="272">
        <f t="shared" si="131"/>
        <v>20</v>
      </c>
      <c r="I233" s="272">
        <f t="shared" si="131"/>
        <v>20</v>
      </c>
      <c r="J233" s="280"/>
      <c r="L233" s="117"/>
    </row>
    <row r="234" spans="1:12" ht="47.25" customHeight="1">
      <c r="A234" s="23" t="s">
        <v>360</v>
      </c>
      <c r="B234" s="19">
        <v>903</v>
      </c>
      <c r="C234" s="24" t="s">
        <v>167</v>
      </c>
      <c r="D234" s="24" t="s">
        <v>255</v>
      </c>
      <c r="E234" s="24" t="s">
        <v>361</v>
      </c>
      <c r="F234" s="324"/>
      <c r="G234" s="21">
        <f>G235</f>
        <v>70</v>
      </c>
      <c r="H234" s="272">
        <f t="shared" si="131"/>
        <v>20</v>
      </c>
      <c r="I234" s="272">
        <f t="shared" si="131"/>
        <v>20</v>
      </c>
      <c r="J234" s="280"/>
      <c r="L234" s="117"/>
    </row>
    <row r="235" spans="1:12" ht="53.25" customHeight="1">
      <c r="A235" s="23" t="s">
        <v>384</v>
      </c>
      <c r="B235" s="19">
        <v>903</v>
      </c>
      <c r="C235" s="24" t="s">
        <v>167</v>
      </c>
      <c r="D235" s="24" t="s">
        <v>255</v>
      </c>
      <c r="E235" s="24" t="s">
        <v>385</v>
      </c>
      <c r="F235" s="24"/>
      <c r="G235" s="21">
        <f>G236+G243+G250+G257</f>
        <v>70</v>
      </c>
      <c r="H235" s="272">
        <f aca="true" t="shared" si="132" ref="H235:I235">H236+H243+H250</f>
        <v>20</v>
      </c>
      <c r="I235" s="272">
        <f t="shared" si="132"/>
        <v>20</v>
      </c>
      <c r="J235" s="280"/>
      <c r="L235" s="117"/>
    </row>
    <row r="236" spans="1:12" s="253" customFormat="1" ht="33" customHeight="1" hidden="1">
      <c r="A236" s="315" t="s">
        <v>1228</v>
      </c>
      <c r="B236" s="19">
        <v>903</v>
      </c>
      <c r="C236" s="24" t="s">
        <v>167</v>
      </c>
      <c r="D236" s="24" t="s">
        <v>255</v>
      </c>
      <c r="E236" s="24" t="s">
        <v>942</v>
      </c>
      <c r="F236" s="24"/>
      <c r="G236" s="21">
        <f>G237+G240</f>
        <v>0</v>
      </c>
      <c r="H236" s="272">
        <f aca="true" t="shared" si="133" ref="H236:I236">H237+H240</f>
        <v>10</v>
      </c>
      <c r="I236" s="272">
        <f t="shared" si="133"/>
        <v>10</v>
      </c>
      <c r="J236" s="280"/>
      <c r="K236" s="117"/>
      <c r="L236" s="117"/>
    </row>
    <row r="237" spans="1:12" ht="47.25" customHeight="1" hidden="1">
      <c r="A237" s="25" t="s">
        <v>1320</v>
      </c>
      <c r="B237" s="16">
        <v>903</v>
      </c>
      <c r="C237" s="20" t="s">
        <v>167</v>
      </c>
      <c r="D237" s="20" t="s">
        <v>255</v>
      </c>
      <c r="E237" s="20" t="s">
        <v>1229</v>
      </c>
      <c r="F237" s="20"/>
      <c r="G237" s="26">
        <f>G238</f>
        <v>0</v>
      </c>
      <c r="H237" s="261">
        <f aca="true" t="shared" si="134" ref="H237:I238">H238</f>
        <v>10</v>
      </c>
      <c r="I237" s="261">
        <f t="shared" si="134"/>
        <v>10</v>
      </c>
      <c r="J237" s="280"/>
      <c r="L237" s="117"/>
    </row>
    <row r="238" spans="1:12" ht="21" customHeight="1" hidden="1">
      <c r="A238" s="25" t="s">
        <v>265</v>
      </c>
      <c r="B238" s="16">
        <v>903</v>
      </c>
      <c r="C238" s="20" t="s">
        <v>167</v>
      </c>
      <c r="D238" s="20" t="s">
        <v>255</v>
      </c>
      <c r="E238" s="20" t="s">
        <v>1229</v>
      </c>
      <c r="F238" s="20" t="s">
        <v>266</v>
      </c>
      <c r="G238" s="26">
        <f>G239</f>
        <v>0</v>
      </c>
      <c r="H238" s="261">
        <f t="shared" si="134"/>
        <v>10</v>
      </c>
      <c r="I238" s="261">
        <f t="shared" si="134"/>
        <v>10</v>
      </c>
      <c r="J238" s="280"/>
      <c r="L238" s="117"/>
    </row>
    <row r="239" spans="1:12" ht="29.25" customHeight="1" hidden="1">
      <c r="A239" s="25" t="s">
        <v>267</v>
      </c>
      <c r="B239" s="16">
        <v>903</v>
      </c>
      <c r="C239" s="20" t="s">
        <v>167</v>
      </c>
      <c r="D239" s="20" t="s">
        <v>255</v>
      </c>
      <c r="E239" s="20" t="s">
        <v>1229</v>
      </c>
      <c r="F239" s="20" t="s">
        <v>268</v>
      </c>
      <c r="G239" s="26">
        <v>0</v>
      </c>
      <c r="H239" s="261">
        <v>10</v>
      </c>
      <c r="I239" s="261">
        <v>10</v>
      </c>
      <c r="J239" s="280"/>
      <c r="L239" s="117"/>
    </row>
    <row r="240" spans="1:12" s="253" customFormat="1" ht="50.25" customHeight="1" hidden="1">
      <c r="A240" s="25" t="s">
        <v>392</v>
      </c>
      <c r="B240" s="16">
        <v>903</v>
      </c>
      <c r="C240" s="20" t="s">
        <v>167</v>
      </c>
      <c r="D240" s="20" t="s">
        <v>255</v>
      </c>
      <c r="E240" s="20" t="s">
        <v>1230</v>
      </c>
      <c r="F240" s="20"/>
      <c r="G240" s="26">
        <f>G241</f>
        <v>0</v>
      </c>
      <c r="H240" s="261">
        <f aca="true" t="shared" si="135" ref="H240:I241">H241</f>
        <v>0</v>
      </c>
      <c r="I240" s="261">
        <f t="shared" si="135"/>
        <v>0</v>
      </c>
      <c r="J240" s="280"/>
      <c r="K240" s="117"/>
      <c r="L240" s="117"/>
    </row>
    <row r="241" spans="1:12" s="253" customFormat="1" ht="21.75" customHeight="1" hidden="1">
      <c r="A241" s="25" t="s">
        <v>265</v>
      </c>
      <c r="B241" s="16">
        <v>903</v>
      </c>
      <c r="C241" s="20" t="s">
        <v>167</v>
      </c>
      <c r="D241" s="20" t="s">
        <v>255</v>
      </c>
      <c r="E241" s="20" t="s">
        <v>1230</v>
      </c>
      <c r="F241" s="20" t="s">
        <v>266</v>
      </c>
      <c r="G241" s="26">
        <f>G242</f>
        <v>0</v>
      </c>
      <c r="H241" s="261">
        <f t="shared" si="135"/>
        <v>0</v>
      </c>
      <c r="I241" s="261">
        <f t="shared" si="135"/>
        <v>0</v>
      </c>
      <c r="J241" s="280"/>
      <c r="K241" s="117"/>
      <c r="L241" s="117"/>
    </row>
    <row r="242" spans="1:12" s="253" customFormat="1" ht="29.25" customHeight="1" hidden="1">
      <c r="A242" s="25" t="s">
        <v>267</v>
      </c>
      <c r="B242" s="16">
        <v>903</v>
      </c>
      <c r="C242" s="20" t="s">
        <v>167</v>
      </c>
      <c r="D242" s="20" t="s">
        <v>255</v>
      </c>
      <c r="E242" s="20" t="s">
        <v>1230</v>
      </c>
      <c r="F242" s="20" t="s">
        <v>268</v>
      </c>
      <c r="G242" s="26">
        <v>0</v>
      </c>
      <c r="H242" s="261">
        <v>0</v>
      </c>
      <c r="I242" s="261">
        <v>0</v>
      </c>
      <c r="J242" s="280"/>
      <c r="K242" s="117"/>
      <c r="L242" s="117"/>
    </row>
    <row r="243" spans="1:12" s="253" customFormat="1" ht="33" customHeight="1">
      <c r="A243" s="23" t="s">
        <v>1226</v>
      </c>
      <c r="B243" s="19">
        <v>903</v>
      </c>
      <c r="C243" s="24" t="s">
        <v>167</v>
      </c>
      <c r="D243" s="24" t="s">
        <v>255</v>
      </c>
      <c r="E243" s="24" t="s">
        <v>943</v>
      </c>
      <c r="F243" s="24"/>
      <c r="G243" s="21">
        <f>G244+G247</f>
        <v>60</v>
      </c>
      <c r="H243" s="272">
        <f aca="true" t="shared" si="136" ref="H243:I243">H244+H247</f>
        <v>10</v>
      </c>
      <c r="I243" s="272">
        <f t="shared" si="136"/>
        <v>10</v>
      </c>
      <c r="J243" s="280"/>
      <c r="K243" s="117"/>
      <c r="L243" s="117"/>
    </row>
    <row r="244" spans="1:12" s="253" customFormat="1" ht="18" customHeight="1">
      <c r="A244" s="25" t="s">
        <v>1227</v>
      </c>
      <c r="B244" s="16">
        <v>903</v>
      </c>
      <c r="C244" s="20" t="s">
        <v>167</v>
      </c>
      <c r="D244" s="20" t="s">
        <v>255</v>
      </c>
      <c r="E244" s="20" t="s">
        <v>1231</v>
      </c>
      <c r="F244" s="20"/>
      <c r="G244" s="26">
        <f>G245</f>
        <v>60</v>
      </c>
      <c r="H244" s="261">
        <f aca="true" t="shared" si="137" ref="H244:I245">H245</f>
        <v>10</v>
      </c>
      <c r="I244" s="261">
        <f t="shared" si="137"/>
        <v>10</v>
      </c>
      <c r="J244" s="280"/>
      <c r="K244" s="117"/>
      <c r="L244" s="117"/>
    </row>
    <row r="245" spans="1:12" s="253" customFormat="1" ht="39" customHeight="1">
      <c r="A245" s="25" t="s">
        <v>289</v>
      </c>
      <c r="B245" s="16">
        <v>903</v>
      </c>
      <c r="C245" s="20" t="s">
        <v>167</v>
      </c>
      <c r="D245" s="20" t="s">
        <v>255</v>
      </c>
      <c r="E245" s="20" t="s">
        <v>1231</v>
      </c>
      <c r="F245" s="20" t="s">
        <v>290</v>
      </c>
      <c r="G245" s="26">
        <f>G246</f>
        <v>60</v>
      </c>
      <c r="H245" s="261">
        <f t="shared" si="137"/>
        <v>10</v>
      </c>
      <c r="I245" s="261">
        <f t="shared" si="137"/>
        <v>10</v>
      </c>
      <c r="J245" s="280"/>
      <c r="K245" s="117"/>
      <c r="L245" s="117"/>
    </row>
    <row r="246" spans="1:12" s="253" customFormat="1" ht="73.5" customHeight="1">
      <c r="A246" s="25" t="s">
        <v>1314</v>
      </c>
      <c r="B246" s="16">
        <v>903</v>
      </c>
      <c r="C246" s="20" t="s">
        <v>167</v>
      </c>
      <c r="D246" s="20" t="s">
        <v>255</v>
      </c>
      <c r="E246" s="20" t="s">
        <v>1231</v>
      </c>
      <c r="F246" s="20" t="s">
        <v>389</v>
      </c>
      <c r="G246" s="26">
        <v>60</v>
      </c>
      <c r="H246" s="261">
        <v>10</v>
      </c>
      <c r="I246" s="261">
        <v>10</v>
      </c>
      <c r="J246" s="280"/>
      <c r="K246" s="117"/>
      <c r="L246" s="117"/>
    </row>
    <row r="247" spans="1:12" s="253" customFormat="1" ht="93" customHeight="1" hidden="1">
      <c r="A247" s="25" t="s">
        <v>390</v>
      </c>
      <c r="B247" s="16">
        <v>903</v>
      </c>
      <c r="C247" s="20" t="s">
        <v>167</v>
      </c>
      <c r="D247" s="20" t="s">
        <v>255</v>
      </c>
      <c r="E247" s="20" t="s">
        <v>1232</v>
      </c>
      <c r="F247" s="20"/>
      <c r="G247" s="26">
        <f>G248</f>
        <v>0</v>
      </c>
      <c r="H247" s="261">
        <f aca="true" t="shared" si="138" ref="H247:I248">H248</f>
        <v>0</v>
      </c>
      <c r="I247" s="261">
        <f t="shared" si="138"/>
        <v>0</v>
      </c>
      <c r="J247" s="280"/>
      <c r="K247" s="117"/>
      <c r="L247" s="117"/>
    </row>
    <row r="248" spans="1:12" s="253" customFormat="1" ht="39.75" customHeight="1" hidden="1">
      <c r="A248" s="25" t="s">
        <v>289</v>
      </c>
      <c r="B248" s="16">
        <v>903</v>
      </c>
      <c r="C248" s="20" t="s">
        <v>167</v>
      </c>
      <c r="D248" s="20" t="s">
        <v>255</v>
      </c>
      <c r="E248" s="20" t="s">
        <v>1232</v>
      </c>
      <c r="F248" s="20" t="s">
        <v>290</v>
      </c>
      <c r="G248" s="26">
        <f>G249</f>
        <v>0</v>
      </c>
      <c r="H248" s="261">
        <f t="shared" si="138"/>
        <v>0</v>
      </c>
      <c r="I248" s="261">
        <f t="shared" si="138"/>
        <v>0</v>
      </c>
      <c r="J248" s="280"/>
      <c r="K248" s="117"/>
      <c r="L248" s="117"/>
    </row>
    <row r="249" spans="1:12" s="253" customFormat="1" ht="61.5" customHeight="1" hidden="1">
      <c r="A249" s="25" t="s">
        <v>1314</v>
      </c>
      <c r="B249" s="16">
        <v>903</v>
      </c>
      <c r="C249" s="20" t="s">
        <v>167</v>
      </c>
      <c r="D249" s="20" t="s">
        <v>255</v>
      </c>
      <c r="E249" s="20" t="s">
        <v>1232</v>
      </c>
      <c r="F249" s="20" t="s">
        <v>389</v>
      </c>
      <c r="G249" s="26">
        <v>0</v>
      </c>
      <c r="H249" s="261">
        <v>0</v>
      </c>
      <c r="I249" s="261">
        <v>0</v>
      </c>
      <c r="J249" s="280"/>
      <c r="K249" s="117"/>
      <c r="L249" s="117"/>
    </row>
    <row r="250" spans="1:12" s="253" customFormat="1" ht="21" customHeight="1" hidden="1">
      <c r="A250" s="23" t="s">
        <v>1153</v>
      </c>
      <c r="B250" s="19">
        <v>903</v>
      </c>
      <c r="C250" s="24" t="s">
        <v>167</v>
      </c>
      <c r="D250" s="24" t="s">
        <v>255</v>
      </c>
      <c r="E250" s="24" t="s">
        <v>944</v>
      </c>
      <c r="F250" s="24"/>
      <c r="G250" s="21">
        <f>G251+G254</f>
        <v>0</v>
      </c>
      <c r="H250" s="272">
        <f aca="true" t="shared" si="139" ref="H250:I250">H251+H254</f>
        <v>0</v>
      </c>
      <c r="I250" s="272">
        <f t="shared" si="139"/>
        <v>0</v>
      </c>
      <c r="J250" s="280"/>
      <c r="K250" s="117"/>
      <c r="L250" s="117"/>
    </row>
    <row r="251" spans="1:12" s="253" customFormat="1" ht="41.25" customHeight="1" hidden="1">
      <c r="A251" s="384" t="s">
        <v>1235</v>
      </c>
      <c r="B251" s="16">
        <v>903</v>
      </c>
      <c r="C251" s="20" t="s">
        <v>167</v>
      </c>
      <c r="D251" s="20" t="s">
        <v>255</v>
      </c>
      <c r="E251" s="20" t="s">
        <v>1233</v>
      </c>
      <c r="F251" s="20"/>
      <c r="G251" s="26">
        <f>G252</f>
        <v>0</v>
      </c>
      <c r="H251" s="261">
        <f aca="true" t="shared" si="140" ref="H251:I252">H252</f>
        <v>0</v>
      </c>
      <c r="I251" s="261">
        <f t="shared" si="140"/>
        <v>0</v>
      </c>
      <c r="J251" s="280"/>
      <c r="K251" s="117"/>
      <c r="L251" s="117"/>
    </row>
    <row r="252" spans="1:12" s="253" customFormat="1" ht="29.25" customHeight="1" hidden="1">
      <c r="A252" s="25" t="s">
        <v>148</v>
      </c>
      <c r="B252" s="16">
        <v>903</v>
      </c>
      <c r="C252" s="20" t="s">
        <v>167</v>
      </c>
      <c r="D252" s="20" t="s">
        <v>255</v>
      </c>
      <c r="E252" s="20" t="s">
        <v>1233</v>
      </c>
      <c r="F252" s="20" t="s">
        <v>149</v>
      </c>
      <c r="G252" s="26">
        <f>G253</f>
        <v>0</v>
      </c>
      <c r="H252" s="261">
        <f t="shared" si="140"/>
        <v>0</v>
      </c>
      <c r="I252" s="261">
        <f t="shared" si="140"/>
        <v>0</v>
      </c>
      <c r="J252" s="280"/>
      <c r="K252" s="117"/>
      <c r="L252" s="117"/>
    </row>
    <row r="253" spans="1:12" s="253" customFormat="1" ht="29.25" customHeight="1" hidden="1">
      <c r="A253" s="25" t="s">
        <v>150</v>
      </c>
      <c r="B253" s="16">
        <v>903</v>
      </c>
      <c r="C253" s="20" t="s">
        <v>167</v>
      </c>
      <c r="D253" s="20" t="s">
        <v>255</v>
      </c>
      <c r="E253" s="20" t="s">
        <v>1233</v>
      </c>
      <c r="F253" s="20" t="s">
        <v>151</v>
      </c>
      <c r="G253" s="26">
        <v>0</v>
      </c>
      <c r="H253" s="261">
        <v>0</v>
      </c>
      <c r="I253" s="261">
        <v>0</v>
      </c>
      <c r="J253" s="280"/>
      <c r="K253" s="117"/>
      <c r="L253" s="117"/>
    </row>
    <row r="254" spans="1:12" s="253" customFormat="1" ht="29.25" customHeight="1" hidden="1">
      <c r="A254" s="25" t="s">
        <v>394</v>
      </c>
      <c r="B254" s="16">
        <v>903</v>
      </c>
      <c r="C254" s="20" t="s">
        <v>167</v>
      </c>
      <c r="D254" s="20" t="s">
        <v>255</v>
      </c>
      <c r="E254" s="20" t="s">
        <v>1234</v>
      </c>
      <c r="F254" s="20"/>
      <c r="G254" s="26">
        <f>G255</f>
        <v>0</v>
      </c>
      <c r="H254" s="261">
        <f aca="true" t="shared" si="141" ref="H254:I255">H255</f>
        <v>0</v>
      </c>
      <c r="I254" s="261">
        <f t="shared" si="141"/>
        <v>0</v>
      </c>
      <c r="J254" s="280"/>
      <c r="K254" s="117"/>
      <c r="L254" s="117"/>
    </row>
    <row r="255" spans="1:12" s="253" customFormat="1" ht="29.25" customHeight="1" hidden="1">
      <c r="A255" s="25" t="s">
        <v>148</v>
      </c>
      <c r="B255" s="16">
        <v>903</v>
      </c>
      <c r="C255" s="20" t="s">
        <v>167</v>
      </c>
      <c r="D255" s="20" t="s">
        <v>255</v>
      </c>
      <c r="E255" s="20" t="s">
        <v>1234</v>
      </c>
      <c r="F255" s="20" t="s">
        <v>149</v>
      </c>
      <c r="G255" s="26">
        <f>G256</f>
        <v>0</v>
      </c>
      <c r="H255" s="261">
        <f t="shared" si="141"/>
        <v>0</v>
      </c>
      <c r="I255" s="261">
        <f t="shared" si="141"/>
        <v>0</v>
      </c>
      <c r="J255" s="280"/>
      <c r="K255" s="117"/>
      <c r="L255" s="117"/>
    </row>
    <row r="256" spans="1:12" s="253" customFormat="1" ht="29.25" customHeight="1" hidden="1">
      <c r="A256" s="25" t="s">
        <v>150</v>
      </c>
      <c r="B256" s="16">
        <v>903</v>
      </c>
      <c r="C256" s="20" t="s">
        <v>167</v>
      </c>
      <c r="D256" s="20" t="s">
        <v>255</v>
      </c>
      <c r="E256" s="20" t="s">
        <v>1234</v>
      </c>
      <c r="F256" s="20" t="s">
        <v>151</v>
      </c>
      <c r="G256" s="26">
        <v>0</v>
      </c>
      <c r="H256" s="261">
        <v>0</v>
      </c>
      <c r="I256" s="261">
        <v>0</v>
      </c>
      <c r="J256" s="280"/>
      <c r="K256" s="117"/>
      <c r="L256" s="117"/>
    </row>
    <row r="257" spans="1:12" s="253" customFormat="1" ht="33.75" customHeight="1">
      <c r="A257" s="312" t="s">
        <v>1334</v>
      </c>
      <c r="B257" s="19">
        <v>903</v>
      </c>
      <c r="C257" s="24" t="s">
        <v>167</v>
      </c>
      <c r="D257" s="24" t="s">
        <v>255</v>
      </c>
      <c r="E257" s="24" t="s">
        <v>1333</v>
      </c>
      <c r="F257" s="24"/>
      <c r="G257" s="21">
        <f>G258</f>
        <v>10</v>
      </c>
      <c r="H257" s="261"/>
      <c r="I257" s="261"/>
      <c r="J257" s="280"/>
      <c r="K257" s="117"/>
      <c r="L257" s="117"/>
    </row>
    <row r="258" spans="1:12" s="253" customFormat="1" ht="29.25" customHeight="1">
      <c r="A258" s="352" t="s">
        <v>1376</v>
      </c>
      <c r="B258" s="16">
        <v>903</v>
      </c>
      <c r="C258" s="20" t="s">
        <v>167</v>
      </c>
      <c r="D258" s="20" t="s">
        <v>255</v>
      </c>
      <c r="E258" s="20" t="s">
        <v>1377</v>
      </c>
      <c r="F258" s="20"/>
      <c r="G258" s="26">
        <f>G259</f>
        <v>10</v>
      </c>
      <c r="H258" s="261"/>
      <c r="I258" s="261"/>
      <c r="J258" s="280"/>
      <c r="K258" s="117"/>
      <c r="L258" s="117"/>
    </row>
    <row r="259" spans="1:12" s="253" customFormat="1" ht="29.25" customHeight="1">
      <c r="A259" s="25" t="s">
        <v>148</v>
      </c>
      <c r="B259" s="16">
        <v>903</v>
      </c>
      <c r="C259" s="20" t="s">
        <v>167</v>
      </c>
      <c r="D259" s="20" t="s">
        <v>255</v>
      </c>
      <c r="E259" s="20" t="s">
        <v>1377</v>
      </c>
      <c r="F259" s="20" t="s">
        <v>149</v>
      </c>
      <c r="G259" s="26">
        <f>G260</f>
        <v>10</v>
      </c>
      <c r="H259" s="261"/>
      <c r="I259" s="261"/>
      <c r="J259" s="280"/>
      <c r="K259" s="117"/>
      <c r="L259" s="117"/>
    </row>
    <row r="260" spans="1:12" s="253" customFormat="1" ht="29.25" customHeight="1">
      <c r="A260" s="25" t="s">
        <v>150</v>
      </c>
      <c r="B260" s="16">
        <v>903</v>
      </c>
      <c r="C260" s="20" t="s">
        <v>167</v>
      </c>
      <c r="D260" s="20" t="s">
        <v>255</v>
      </c>
      <c r="E260" s="20" t="s">
        <v>1377</v>
      </c>
      <c r="F260" s="20" t="s">
        <v>151</v>
      </c>
      <c r="G260" s="26">
        <v>10</v>
      </c>
      <c r="H260" s="261"/>
      <c r="I260" s="261"/>
      <c r="J260" s="280"/>
      <c r="K260" s="117"/>
      <c r="L260" s="117"/>
    </row>
    <row r="261" spans="1:12" ht="15.75">
      <c r="A261" s="23" t="s">
        <v>280</v>
      </c>
      <c r="B261" s="19">
        <v>903</v>
      </c>
      <c r="C261" s="24" t="s">
        <v>281</v>
      </c>
      <c r="D261" s="20"/>
      <c r="E261" s="20"/>
      <c r="F261" s="20"/>
      <c r="G261" s="21">
        <f>G262+G302</f>
        <v>18478.05</v>
      </c>
      <c r="H261" s="272">
        <f aca="true" t="shared" si="142" ref="H261:I261">H262+H302</f>
        <v>17722.4</v>
      </c>
      <c r="I261" s="272">
        <f t="shared" si="142"/>
        <v>17722.4</v>
      </c>
      <c r="L261" s="117"/>
    </row>
    <row r="262" spans="1:12" ht="15.75">
      <c r="A262" s="23" t="s">
        <v>282</v>
      </c>
      <c r="B262" s="19">
        <v>903</v>
      </c>
      <c r="C262" s="24" t="s">
        <v>281</v>
      </c>
      <c r="D262" s="24" t="s">
        <v>232</v>
      </c>
      <c r="E262" s="24"/>
      <c r="F262" s="24"/>
      <c r="G262" s="21">
        <f>G263+G297</f>
        <v>17443.05</v>
      </c>
      <c r="H262" s="272">
        <f>H263+H297</f>
        <v>16822.4</v>
      </c>
      <c r="I262" s="272">
        <f>I263+I297</f>
        <v>16822.4</v>
      </c>
      <c r="L262" s="117"/>
    </row>
    <row r="263" spans="1:12" ht="31.5">
      <c r="A263" s="23" t="s">
        <v>283</v>
      </c>
      <c r="B263" s="19">
        <v>903</v>
      </c>
      <c r="C263" s="24" t="s">
        <v>281</v>
      </c>
      <c r="D263" s="24" t="s">
        <v>232</v>
      </c>
      <c r="E263" s="24" t="s">
        <v>284</v>
      </c>
      <c r="F263" s="24"/>
      <c r="G263" s="21">
        <f>G264</f>
        <v>17222.05</v>
      </c>
      <c r="H263" s="272">
        <f aca="true" t="shared" si="143" ref="H263:I263">H264</f>
        <v>16601.4</v>
      </c>
      <c r="I263" s="272">
        <f t="shared" si="143"/>
        <v>16601.4</v>
      </c>
      <c r="L263" s="117"/>
    </row>
    <row r="264" spans="1:12" ht="47.25">
      <c r="A264" s="23" t="s">
        <v>285</v>
      </c>
      <c r="B264" s="19">
        <v>903</v>
      </c>
      <c r="C264" s="24" t="s">
        <v>281</v>
      </c>
      <c r="D264" s="24" t="s">
        <v>232</v>
      </c>
      <c r="E264" s="24" t="s">
        <v>286</v>
      </c>
      <c r="F264" s="24"/>
      <c r="G264" s="21">
        <f>G265+G273+G277+G287+G283</f>
        <v>17222.05</v>
      </c>
      <c r="H264" s="272">
        <f>H265+H273+H277+H287+H283</f>
        <v>16601.4</v>
      </c>
      <c r="I264" s="272">
        <f>I265+I273+I277+I287+I283</f>
        <v>16601.4</v>
      </c>
      <c r="L264" s="117"/>
    </row>
    <row r="265" spans="1:12" s="253" customFormat="1" ht="31.5">
      <c r="A265" s="23" t="s">
        <v>946</v>
      </c>
      <c r="B265" s="19">
        <v>903</v>
      </c>
      <c r="C265" s="24" t="s">
        <v>281</v>
      </c>
      <c r="D265" s="24" t="s">
        <v>232</v>
      </c>
      <c r="E265" s="24" t="s">
        <v>947</v>
      </c>
      <c r="F265" s="24"/>
      <c r="G265" s="45">
        <f>G266</f>
        <v>15639.65</v>
      </c>
      <c r="H265" s="284">
        <f aca="true" t="shared" si="144" ref="H265:I265">H266</f>
        <v>15344.4</v>
      </c>
      <c r="I265" s="284">
        <f t="shared" si="144"/>
        <v>15344.4</v>
      </c>
      <c r="J265" s="228"/>
      <c r="K265" s="117"/>
      <c r="L265" s="117"/>
    </row>
    <row r="266" spans="1:12" s="253" customFormat="1" ht="15.75">
      <c r="A266" s="25" t="s">
        <v>835</v>
      </c>
      <c r="B266" s="16">
        <v>903</v>
      </c>
      <c r="C266" s="20" t="s">
        <v>281</v>
      </c>
      <c r="D266" s="20" t="s">
        <v>232</v>
      </c>
      <c r="E266" s="20" t="s">
        <v>945</v>
      </c>
      <c r="F266" s="20"/>
      <c r="G266" s="27">
        <f>G267+G269+G271</f>
        <v>15639.65</v>
      </c>
      <c r="H266" s="262">
        <f aca="true" t="shared" si="145" ref="H266:I266">H267+H269+H271</f>
        <v>15344.4</v>
      </c>
      <c r="I266" s="262">
        <f t="shared" si="145"/>
        <v>15344.4</v>
      </c>
      <c r="J266" s="275">
        <f>G266+G273+G277+G283+G297</f>
        <v>16495.65</v>
      </c>
      <c r="K266" s="117"/>
      <c r="L266" s="117"/>
    </row>
    <row r="267" spans="1:12" s="253" customFormat="1" ht="63">
      <c r="A267" s="25" t="s">
        <v>144</v>
      </c>
      <c r="B267" s="16">
        <v>903</v>
      </c>
      <c r="C267" s="20" t="s">
        <v>281</v>
      </c>
      <c r="D267" s="20" t="s">
        <v>232</v>
      </c>
      <c r="E267" s="20" t="s">
        <v>945</v>
      </c>
      <c r="F267" s="20" t="s">
        <v>145</v>
      </c>
      <c r="G267" s="27">
        <f>G268</f>
        <v>13361.25</v>
      </c>
      <c r="H267" s="262">
        <f aca="true" t="shared" si="146" ref="H267:I267">H268</f>
        <v>13065.1</v>
      </c>
      <c r="I267" s="262">
        <f t="shared" si="146"/>
        <v>13065.1</v>
      </c>
      <c r="J267" s="228"/>
      <c r="K267" s="117"/>
      <c r="L267" s="117"/>
    </row>
    <row r="268" spans="1:12" s="253" customFormat="1" ht="30">
      <c r="A268" s="47" t="s">
        <v>359</v>
      </c>
      <c r="B268" s="16">
        <v>903</v>
      </c>
      <c r="C268" s="20" t="s">
        <v>281</v>
      </c>
      <c r="D268" s="20" t="s">
        <v>232</v>
      </c>
      <c r="E268" s="20" t="s">
        <v>945</v>
      </c>
      <c r="F268" s="20" t="s">
        <v>226</v>
      </c>
      <c r="G268" s="27">
        <f>12725*1.05</f>
        <v>13361.25</v>
      </c>
      <c r="H268" s="262">
        <v>13065.1</v>
      </c>
      <c r="I268" s="262">
        <v>13065.1</v>
      </c>
      <c r="J268" s="361" t="s">
        <v>891</v>
      </c>
      <c r="K268" s="117">
        <v>1.05</v>
      </c>
      <c r="L268" s="117"/>
    </row>
    <row r="269" spans="1:12" s="253" customFormat="1" ht="31.5">
      <c r="A269" s="25" t="s">
        <v>148</v>
      </c>
      <c r="B269" s="16">
        <v>903</v>
      </c>
      <c r="C269" s="20" t="s">
        <v>281</v>
      </c>
      <c r="D269" s="20" t="s">
        <v>232</v>
      </c>
      <c r="E269" s="20" t="s">
        <v>945</v>
      </c>
      <c r="F269" s="20" t="s">
        <v>149</v>
      </c>
      <c r="G269" s="27">
        <f>G270</f>
        <v>2200</v>
      </c>
      <c r="H269" s="262">
        <f aca="true" t="shared" si="147" ref="H269:I269">H270</f>
        <v>2200.7</v>
      </c>
      <c r="I269" s="262">
        <f t="shared" si="147"/>
        <v>2200.7</v>
      </c>
      <c r="J269" s="228"/>
      <c r="K269" s="117"/>
      <c r="L269" s="117"/>
    </row>
    <row r="270" spans="1:12" s="253" customFormat="1" ht="31.5">
      <c r="A270" s="25" t="s">
        <v>150</v>
      </c>
      <c r="B270" s="16">
        <v>903</v>
      </c>
      <c r="C270" s="20" t="s">
        <v>281</v>
      </c>
      <c r="D270" s="20" t="s">
        <v>232</v>
      </c>
      <c r="E270" s="20" t="s">
        <v>945</v>
      </c>
      <c r="F270" s="20" t="s">
        <v>151</v>
      </c>
      <c r="G270" s="27">
        <f>2200.7-0.7</f>
        <v>2200</v>
      </c>
      <c r="H270" s="262">
        <v>2200.7</v>
      </c>
      <c r="I270" s="262">
        <v>2200.7</v>
      </c>
      <c r="J270" s="228"/>
      <c r="K270" s="117"/>
      <c r="L270" s="117"/>
    </row>
    <row r="271" spans="1:12" s="253" customFormat="1" ht="15.75">
      <c r="A271" s="25" t="s">
        <v>152</v>
      </c>
      <c r="B271" s="16">
        <v>903</v>
      </c>
      <c r="C271" s="20" t="s">
        <v>281</v>
      </c>
      <c r="D271" s="20" t="s">
        <v>232</v>
      </c>
      <c r="E271" s="20" t="s">
        <v>945</v>
      </c>
      <c r="F271" s="20" t="s">
        <v>162</v>
      </c>
      <c r="G271" s="27">
        <f>G272</f>
        <v>78.4</v>
      </c>
      <c r="H271" s="262">
        <f aca="true" t="shared" si="148" ref="H271:I271">H272</f>
        <v>78.6</v>
      </c>
      <c r="I271" s="262">
        <f t="shared" si="148"/>
        <v>78.6</v>
      </c>
      <c r="J271" s="228"/>
      <c r="K271" s="117"/>
      <c r="L271" s="117"/>
    </row>
    <row r="272" spans="1:12" s="253" customFormat="1" ht="15.75">
      <c r="A272" s="25" t="s">
        <v>729</v>
      </c>
      <c r="B272" s="16">
        <v>903</v>
      </c>
      <c r="C272" s="20" t="s">
        <v>281</v>
      </c>
      <c r="D272" s="20" t="s">
        <v>232</v>
      </c>
      <c r="E272" s="20" t="s">
        <v>945</v>
      </c>
      <c r="F272" s="20" t="s">
        <v>155</v>
      </c>
      <c r="G272" s="27">
        <v>78.4</v>
      </c>
      <c r="H272" s="262">
        <v>78.6</v>
      </c>
      <c r="I272" s="262">
        <v>78.6</v>
      </c>
      <c r="J272" s="228"/>
      <c r="K272" s="117"/>
      <c r="L272" s="117"/>
    </row>
    <row r="273" spans="1:12" s="253" customFormat="1" ht="31.5">
      <c r="A273" s="316" t="s">
        <v>1200</v>
      </c>
      <c r="B273" s="19">
        <v>903</v>
      </c>
      <c r="C273" s="24" t="s">
        <v>281</v>
      </c>
      <c r="D273" s="24" t="s">
        <v>232</v>
      </c>
      <c r="E273" s="24" t="s">
        <v>949</v>
      </c>
      <c r="F273" s="24"/>
      <c r="G273" s="45">
        <f>G274</f>
        <v>45</v>
      </c>
      <c r="H273" s="284">
        <f aca="true" t="shared" si="149" ref="H273:I275">H274</f>
        <v>45</v>
      </c>
      <c r="I273" s="284">
        <f t="shared" si="149"/>
        <v>45</v>
      </c>
      <c r="J273" s="228"/>
      <c r="K273" s="117"/>
      <c r="L273" s="117"/>
    </row>
    <row r="274" spans="1:12" ht="15.75">
      <c r="A274" s="234" t="s">
        <v>834</v>
      </c>
      <c r="B274" s="16">
        <v>903</v>
      </c>
      <c r="C274" s="20" t="s">
        <v>281</v>
      </c>
      <c r="D274" s="20" t="s">
        <v>232</v>
      </c>
      <c r="E274" s="20" t="s">
        <v>948</v>
      </c>
      <c r="F274" s="20"/>
      <c r="G274" s="27">
        <f>G275</f>
        <v>45</v>
      </c>
      <c r="H274" s="262">
        <f t="shared" si="149"/>
        <v>45</v>
      </c>
      <c r="I274" s="262">
        <f t="shared" si="149"/>
        <v>45</v>
      </c>
      <c r="L274" s="117"/>
    </row>
    <row r="275" spans="1:12" ht="15.75">
      <c r="A275" s="25" t="s">
        <v>265</v>
      </c>
      <c r="B275" s="16">
        <v>903</v>
      </c>
      <c r="C275" s="20" t="s">
        <v>281</v>
      </c>
      <c r="D275" s="20" t="s">
        <v>232</v>
      </c>
      <c r="E275" s="20" t="s">
        <v>948</v>
      </c>
      <c r="F275" s="20" t="s">
        <v>266</v>
      </c>
      <c r="G275" s="27">
        <f>G276</f>
        <v>45</v>
      </c>
      <c r="H275" s="262">
        <f t="shared" si="149"/>
        <v>45</v>
      </c>
      <c r="I275" s="262">
        <f t="shared" si="149"/>
        <v>45</v>
      </c>
      <c r="L275" s="117"/>
    </row>
    <row r="276" spans="1:12" ht="15.75">
      <c r="A276" s="25" t="s">
        <v>869</v>
      </c>
      <c r="B276" s="16">
        <v>903</v>
      </c>
      <c r="C276" s="20" t="s">
        <v>281</v>
      </c>
      <c r="D276" s="20" t="s">
        <v>232</v>
      </c>
      <c r="E276" s="20" t="s">
        <v>948</v>
      </c>
      <c r="F276" s="20" t="s">
        <v>868</v>
      </c>
      <c r="G276" s="27">
        <v>45</v>
      </c>
      <c r="H276" s="262">
        <v>45</v>
      </c>
      <c r="I276" s="262">
        <v>45</v>
      </c>
      <c r="L276" s="117"/>
    </row>
    <row r="277" spans="1:12" s="253" customFormat="1" ht="45" customHeight="1">
      <c r="A277" s="322" t="s">
        <v>1177</v>
      </c>
      <c r="B277" s="19">
        <v>903</v>
      </c>
      <c r="C277" s="24" t="s">
        <v>281</v>
      </c>
      <c r="D277" s="24" t="s">
        <v>232</v>
      </c>
      <c r="E277" s="24" t="s">
        <v>950</v>
      </c>
      <c r="F277" s="24"/>
      <c r="G277" s="21">
        <f>G278</f>
        <v>250.00000000000003</v>
      </c>
      <c r="H277" s="272">
        <f aca="true" t="shared" si="150" ref="H277:I277">H278</f>
        <v>264.6</v>
      </c>
      <c r="I277" s="272">
        <f t="shared" si="150"/>
        <v>264.6</v>
      </c>
      <c r="J277" s="228"/>
      <c r="K277" s="117"/>
      <c r="L277" s="117"/>
    </row>
    <row r="278" spans="1:12" ht="36" customHeight="1">
      <c r="A278" s="32" t="s">
        <v>864</v>
      </c>
      <c r="B278" s="16">
        <v>903</v>
      </c>
      <c r="C278" s="20" t="s">
        <v>281</v>
      </c>
      <c r="D278" s="20" t="s">
        <v>232</v>
      </c>
      <c r="E278" s="20" t="s">
        <v>951</v>
      </c>
      <c r="F278" s="20"/>
      <c r="G278" s="27">
        <f>G281+G279</f>
        <v>250.00000000000003</v>
      </c>
      <c r="H278" s="262">
        <f aca="true" t="shared" si="151" ref="H278:I278">H281+H279</f>
        <v>264.6</v>
      </c>
      <c r="I278" s="262">
        <f t="shared" si="151"/>
        <v>264.6</v>
      </c>
      <c r="L278" s="117"/>
    </row>
    <row r="279" spans="1:12" ht="63">
      <c r="A279" s="25" t="s">
        <v>144</v>
      </c>
      <c r="B279" s="16">
        <v>903</v>
      </c>
      <c r="C279" s="20" t="s">
        <v>281</v>
      </c>
      <c r="D279" s="20" t="s">
        <v>232</v>
      </c>
      <c r="E279" s="20" t="s">
        <v>951</v>
      </c>
      <c r="F279" s="20" t="s">
        <v>145</v>
      </c>
      <c r="G279" s="27">
        <f>G280</f>
        <v>250.00000000000003</v>
      </c>
      <c r="H279" s="262">
        <f aca="true" t="shared" si="152" ref="H279:I279">H280</f>
        <v>264.6</v>
      </c>
      <c r="I279" s="262">
        <f t="shared" si="152"/>
        <v>264.6</v>
      </c>
      <c r="L279" s="117"/>
    </row>
    <row r="280" spans="1:12" ht="24.75" customHeight="1">
      <c r="A280" s="47" t="s">
        <v>359</v>
      </c>
      <c r="B280" s="16">
        <v>903</v>
      </c>
      <c r="C280" s="20" t="s">
        <v>281</v>
      </c>
      <c r="D280" s="20" t="s">
        <v>232</v>
      </c>
      <c r="E280" s="20" t="s">
        <v>951</v>
      </c>
      <c r="F280" s="20" t="s">
        <v>226</v>
      </c>
      <c r="G280" s="27">
        <f>264.6-14.6</f>
        <v>250.00000000000003</v>
      </c>
      <c r="H280" s="262">
        <v>264.6</v>
      </c>
      <c r="I280" s="262">
        <v>264.6</v>
      </c>
      <c r="J280" s="273"/>
      <c r="L280" s="117"/>
    </row>
    <row r="281" spans="1:12" ht="30.75" customHeight="1" hidden="1">
      <c r="A281" s="25" t="s">
        <v>148</v>
      </c>
      <c r="B281" s="16">
        <v>903</v>
      </c>
      <c r="C281" s="20" t="s">
        <v>281</v>
      </c>
      <c r="D281" s="20" t="s">
        <v>232</v>
      </c>
      <c r="E281" s="20" t="s">
        <v>951</v>
      </c>
      <c r="F281" s="20" t="s">
        <v>149</v>
      </c>
      <c r="G281" s="27">
        <f>G282</f>
        <v>0</v>
      </c>
      <c r="H281" s="262">
        <f aca="true" t="shared" si="153" ref="H281:I281">H282</f>
        <v>0</v>
      </c>
      <c r="I281" s="262">
        <f t="shared" si="153"/>
        <v>0</v>
      </c>
      <c r="L281" s="117"/>
    </row>
    <row r="282" spans="1:12" ht="39" customHeight="1" hidden="1">
      <c r="A282" s="25" t="s">
        <v>150</v>
      </c>
      <c r="B282" s="16">
        <v>903</v>
      </c>
      <c r="C282" s="20" t="s">
        <v>281</v>
      </c>
      <c r="D282" s="20" t="s">
        <v>232</v>
      </c>
      <c r="E282" s="20" t="s">
        <v>951</v>
      </c>
      <c r="F282" s="20" t="s">
        <v>151</v>
      </c>
      <c r="G282" s="27">
        <f>300-300</f>
        <v>0</v>
      </c>
      <c r="H282" s="262">
        <f aca="true" t="shared" si="154" ref="H282:I282">300-300</f>
        <v>0</v>
      </c>
      <c r="I282" s="262">
        <f t="shared" si="154"/>
        <v>0</v>
      </c>
      <c r="J282" s="273"/>
      <c r="L282" s="117"/>
    </row>
    <row r="283" spans="1:12" s="253" customFormat="1" ht="39" customHeight="1">
      <c r="A283" s="23" t="s">
        <v>1084</v>
      </c>
      <c r="B283" s="19">
        <v>903</v>
      </c>
      <c r="C283" s="24" t="s">
        <v>281</v>
      </c>
      <c r="D283" s="24" t="s">
        <v>232</v>
      </c>
      <c r="E283" s="24" t="s">
        <v>956</v>
      </c>
      <c r="F283" s="24"/>
      <c r="G283" s="45">
        <f>G284</f>
        <v>340</v>
      </c>
      <c r="H283" s="284">
        <f aca="true" t="shared" si="155" ref="H283">H284</f>
        <v>0</v>
      </c>
      <c r="I283" s="284">
        <f aca="true" t="shared" si="156" ref="I283">I284</f>
        <v>0</v>
      </c>
      <c r="J283" s="283"/>
      <c r="K283" s="117"/>
      <c r="L283" s="117"/>
    </row>
    <row r="284" spans="1:12" s="253" customFormat="1" ht="39" customHeight="1">
      <c r="A284" s="25" t="s">
        <v>889</v>
      </c>
      <c r="B284" s="16">
        <v>903</v>
      </c>
      <c r="C284" s="20" t="s">
        <v>281</v>
      </c>
      <c r="D284" s="20" t="s">
        <v>232</v>
      </c>
      <c r="E284" s="20" t="s">
        <v>1280</v>
      </c>
      <c r="F284" s="20"/>
      <c r="G284" s="26">
        <f>G285</f>
        <v>340</v>
      </c>
      <c r="H284" s="261">
        <f aca="true" t="shared" si="157" ref="H284:H285">H285</f>
        <v>0</v>
      </c>
      <c r="I284" s="261">
        <f aca="true" t="shared" si="158" ref="I284:I285">I285</f>
        <v>0</v>
      </c>
      <c r="J284" s="283"/>
      <c r="K284" s="117"/>
      <c r="L284" s="117"/>
    </row>
    <row r="285" spans="1:12" s="253" customFormat="1" ht="70.5" customHeight="1">
      <c r="A285" s="25" t="s">
        <v>144</v>
      </c>
      <c r="B285" s="16">
        <v>903</v>
      </c>
      <c r="C285" s="20" t="s">
        <v>281</v>
      </c>
      <c r="D285" s="20" t="s">
        <v>232</v>
      </c>
      <c r="E285" s="20" t="s">
        <v>1280</v>
      </c>
      <c r="F285" s="20" t="s">
        <v>145</v>
      </c>
      <c r="G285" s="26">
        <f>G286</f>
        <v>340</v>
      </c>
      <c r="H285" s="261">
        <f t="shared" si="157"/>
        <v>0</v>
      </c>
      <c r="I285" s="261">
        <f t="shared" si="158"/>
        <v>0</v>
      </c>
      <c r="J285" s="283"/>
      <c r="K285" s="117"/>
      <c r="L285" s="117"/>
    </row>
    <row r="286" spans="1:12" s="253" customFormat="1" ht="25.5" customHeight="1">
      <c r="A286" s="25" t="s">
        <v>359</v>
      </c>
      <c r="B286" s="16">
        <v>903</v>
      </c>
      <c r="C286" s="20" t="s">
        <v>281</v>
      </c>
      <c r="D286" s="20" t="s">
        <v>232</v>
      </c>
      <c r="E286" s="20" t="s">
        <v>1280</v>
      </c>
      <c r="F286" s="20" t="s">
        <v>226</v>
      </c>
      <c r="G286" s="26">
        <v>340</v>
      </c>
      <c r="H286" s="260"/>
      <c r="I286" s="260"/>
      <c r="J286" s="283"/>
      <c r="K286" s="117"/>
      <c r="L286" s="117"/>
    </row>
    <row r="287" spans="1:12" s="253" customFormat="1" ht="39" customHeight="1">
      <c r="A287" s="23" t="s">
        <v>976</v>
      </c>
      <c r="B287" s="19">
        <v>903</v>
      </c>
      <c r="C287" s="24" t="s">
        <v>281</v>
      </c>
      <c r="D287" s="24" t="s">
        <v>232</v>
      </c>
      <c r="E287" s="24" t="s">
        <v>1281</v>
      </c>
      <c r="F287" s="24"/>
      <c r="G287" s="45">
        <f>G288+G291+G294</f>
        <v>947.4000000000001</v>
      </c>
      <c r="H287" s="284">
        <f aca="true" t="shared" si="159" ref="H287:I287">H288+H291+H294</f>
        <v>947.4000000000001</v>
      </c>
      <c r="I287" s="284">
        <f t="shared" si="159"/>
        <v>947.4000000000001</v>
      </c>
      <c r="J287" s="283"/>
      <c r="K287" s="117"/>
      <c r="L287" s="117"/>
    </row>
    <row r="288" spans="1:12" s="253" customFormat="1" ht="54" customHeight="1">
      <c r="A288" s="32" t="s">
        <v>306</v>
      </c>
      <c r="B288" s="16">
        <v>903</v>
      </c>
      <c r="C288" s="20" t="s">
        <v>281</v>
      </c>
      <c r="D288" s="20" t="s">
        <v>232</v>
      </c>
      <c r="E288" s="20" t="s">
        <v>1282</v>
      </c>
      <c r="F288" s="20"/>
      <c r="G288" s="26">
        <f>G289</f>
        <v>65.5</v>
      </c>
      <c r="H288" s="261">
        <f aca="true" t="shared" si="160" ref="H288:I289">H289</f>
        <v>65.5</v>
      </c>
      <c r="I288" s="261">
        <f t="shared" si="160"/>
        <v>65.5</v>
      </c>
      <c r="J288" s="350">
        <f>G288+G509+G576+G645</f>
        <v>1348.6</v>
      </c>
      <c r="K288" s="117">
        <v>1348.6</v>
      </c>
      <c r="L288" s="127">
        <f>K288-J288</f>
        <v>0</v>
      </c>
    </row>
    <row r="289" spans="1:12" s="253" customFormat="1" ht="70.5" customHeight="1">
      <c r="A289" s="25" t="s">
        <v>144</v>
      </c>
      <c r="B289" s="16">
        <v>903</v>
      </c>
      <c r="C289" s="20" t="s">
        <v>281</v>
      </c>
      <c r="D289" s="20" t="s">
        <v>232</v>
      </c>
      <c r="E289" s="20" t="s">
        <v>1282</v>
      </c>
      <c r="F289" s="20" t="s">
        <v>145</v>
      </c>
      <c r="G289" s="26">
        <f>G290</f>
        <v>65.5</v>
      </c>
      <c r="H289" s="261">
        <f t="shared" si="160"/>
        <v>65.5</v>
      </c>
      <c r="I289" s="261">
        <f t="shared" si="160"/>
        <v>65.5</v>
      </c>
      <c r="J289" s="283"/>
      <c r="K289" s="117"/>
      <c r="L289" s="117"/>
    </row>
    <row r="290" spans="1:12" s="253" customFormat="1" ht="21.75" customHeight="1">
      <c r="A290" s="47" t="s">
        <v>359</v>
      </c>
      <c r="B290" s="16">
        <v>903</v>
      </c>
      <c r="C290" s="20" t="s">
        <v>281</v>
      </c>
      <c r="D290" s="20" t="s">
        <v>232</v>
      </c>
      <c r="E290" s="20" t="s">
        <v>1282</v>
      </c>
      <c r="F290" s="20" t="s">
        <v>226</v>
      </c>
      <c r="G290" s="26">
        <f>126.7-61.2</f>
        <v>65.5</v>
      </c>
      <c r="H290" s="261">
        <f aca="true" t="shared" si="161" ref="H290:I290">126.7-61.2</f>
        <v>65.5</v>
      </c>
      <c r="I290" s="261">
        <f t="shared" si="161"/>
        <v>65.5</v>
      </c>
      <c r="J290" s="283"/>
      <c r="K290" s="117"/>
      <c r="L290" s="117"/>
    </row>
    <row r="291" spans="1:12" s="253" customFormat="1" ht="67.5" customHeight="1">
      <c r="A291" s="32" t="s">
        <v>308</v>
      </c>
      <c r="B291" s="16">
        <v>903</v>
      </c>
      <c r="C291" s="20" t="s">
        <v>281</v>
      </c>
      <c r="D291" s="20" t="s">
        <v>232</v>
      </c>
      <c r="E291" s="20" t="s">
        <v>1283</v>
      </c>
      <c r="F291" s="20"/>
      <c r="G291" s="26">
        <f>G292</f>
        <v>321.50000000000006</v>
      </c>
      <c r="H291" s="261">
        <f aca="true" t="shared" si="162" ref="H291:I292">H292</f>
        <v>321.50000000000006</v>
      </c>
      <c r="I291" s="261">
        <f t="shared" si="162"/>
        <v>321.50000000000006</v>
      </c>
      <c r="J291" s="350">
        <f>G512+G579+G648+G291</f>
        <v>5112</v>
      </c>
      <c r="K291" s="117">
        <v>5112</v>
      </c>
      <c r="L291" s="127">
        <f>K291-J291</f>
        <v>0</v>
      </c>
    </row>
    <row r="292" spans="1:12" s="253" customFormat="1" ht="69.75" customHeight="1">
      <c r="A292" s="25" t="s">
        <v>144</v>
      </c>
      <c r="B292" s="16">
        <v>903</v>
      </c>
      <c r="C292" s="20" t="s">
        <v>281</v>
      </c>
      <c r="D292" s="20" t="s">
        <v>232</v>
      </c>
      <c r="E292" s="20" t="s">
        <v>1283</v>
      </c>
      <c r="F292" s="20" t="s">
        <v>145</v>
      </c>
      <c r="G292" s="26">
        <f>G293</f>
        <v>321.50000000000006</v>
      </c>
      <c r="H292" s="261">
        <f t="shared" si="162"/>
        <v>321.50000000000006</v>
      </c>
      <c r="I292" s="261">
        <f t="shared" si="162"/>
        <v>321.50000000000006</v>
      </c>
      <c r="J292" s="350"/>
      <c r="K292" s="117"/>
      <c r="L292" s="117"/>
    </row>
    <row r="293" spans="1:12" s="253" customFormat="1" ht="21" customHeight="1">
      <c r="A293" s="47" t="s">
        <v>359</v>
      </c>
      <c r="B293" s="16">
        <v>903</v>
      </c>
      <c r="C293" s="20" t="s">
        <v>281</v>
      </c>
      <c r="D293" s="20" t="s">
        <v>232</v>
      </c>
      <c r="E293" s="20" t="s">
        <v>1283</v>
      </c>
      <c r="F293" s="20" t="s">
        <v>226</v>
      </c>
      <c r="G293" s="26">
        <f>393.3-82.6+10.8</f>
        <v>321.50000000000006</v>
      </c>
      <c r="H293" s="261">
        <f aca="true" t="shared" si="163" ref="H293:I293">393.3-82.6+10.8</f>
        <v>321.50000000000006</v>
      </c>
      <c r="I293" s="261">
        <f t="shared" si="163"/>
        <v>321.50000000000006</v>
      </c>
      <c r="J293" s="350"/>
      <c r="K293" s="117"/>
      <c r="L293" s="117"/>
    </row>
    <row r="294" spans="1:12" s="253" customFormat="1" ht="87.75" customHeight="1">
      <c r="A294" s="32" t="s">
        <v>310</v>
      </c>
      <c r="B294" s="16">
        <v>903</v>
      </c>
      <c r="C294" s="20" t="s">
        <v>281</v>
      </c>
      <c r="D294" s="20" t="s">
        <v>232</v>
      </c>
      <c r="E294" s="20" t="s">
        <v>1284</v>
      </c>
      <c r="F294" s="20"/>
      <c r="G294" s="26">
        <f>G295</f>
        <v>560.4</v>
      </c>
      <c r="H294" s="261">
        <f aca="true" t="shared" si="164" ref="H294:I295">H295</f>
        <v>560.4</v>
      </c>
      <c r="I294" s="261">
        <f t="shared" si="164"/>
        <v>560.4</v>
      </c>
      <c r="J294" s="350">
        <f>G294+G345+G376+G518+G585+G651+G745</f>
        <v>11326.2</v>
      </c>
      <c r="K294" s="117"/>
      <c r="L294" s="117"/>
    </row>
    <row r="295" spans="1:12" s="253" customFormat="1" ht="62.25" customHeight="1">
      <c r="A295" s="25" t="s">
        <v>144</v>
      </c>
      <c r="B295" s="16">
        <v>903</v>
      </c>
      <c r="C295" s="20" t="s">
        <v>281</v>
      </c>
      <c r="D295" s="20" t="s">
        <v>232</v>
      </c>
      <c r="E295" s="20" t="s">
        <v>1284</v>
      </c>
      <c r="F295" s="20" t="s">
        <v>145</v>
      </c>
      <c r="G295" s="26">
        <f>G296</f>
        <v>560.4</v>
      </c>
      <c r="H295" s="261">
        <f t="shared" si="164"/>
        <v>560.4</v>
      </c>
      <c r="I295" s="261">
        <f t="shared" si="164"/>
        <v>560.4</v>
      </c>
      <c r="J295" s="283"/>
      <c r="K295" s="117"/>
      <c r="L295" s="117"/>
    </row>
    <row r="296" spans="1:12" s="253" customFormat="1" ht="16.5" customHeight="1">
      <c r="A296" s="47" t="s">
        <v>359</v>
      </c>
      <c r="B296" s="16">
        <v>903</v>
      </c>
      <c r="C296" s="20" t="s">
        <v>281</v>
      </c>
      <c r="D296" s="20" t="s">
        <v>232</v>
      </c>
      <c r="E296" s="20" t="s">
        <v>1284</v>
      </c>
      <c r="F296" s="20" t="s">
        <v>226</v>
      </c>
      <c r="G296" s="26">
        <f>600-0.3-10.2-29.1</f>
        <v>560.4</v>
      </c>
      <c r="H296" s="261">
        <f aca="true" t="shared" si="165" ref="H296:I296">600-0.3-10.2-29.1</f>
        <v>560.4</v>
      </c>
      <c r="I296" s="261">
        <f t="shared" si="165"/>
        <v>560.4</v>
      </c>
      <c r="J296" s="283"/>
      <c r="K296" s="117"/>
      <c r="L296" s="117"/>
    </row>
    <row r="297" spans="1:12" ht="51" customHeight="1">
      <c r="A297" s="42" t="s">
        <v>732</v>
      </c>
      <c r="B297" s="19">
        <v>903</v>
      </c>
      <c r="C297" s="24" t="s">
        <v>281</v>
      </c>
      <c r="D297" s="24" t="s">
        <v>232</v>
      </c>
      <c r="E297" s="24" t="s">
        <v>730</v>
      </c>
      <c r="F297" s="24"/>
      <c r="G297" s="21">
        <f>G299</f>
        <v>221</v>
      </c>
      <c r="H297" s="272">
        <f aca="true" t="shared" si="166" ref="H297:I297">H299</f>
        <v>221</v>
      </c>
      <c r="I297" s="272">
        <f t="shared" si="166"/>
        <v>221</v>
      </c>
      <c r="L297" s="117"/>
    </row>
    <row r="298" spans="1:12" s="253" customFormat="1" ht="48.75" customHeight="1">
      <c r="A298" s="42" t="s">
        <v>954</v>
      </c>
      <c r="B298" s="19">
        <v>903</v>
      </c>
      <c r="C298" s="24" t="s">
        <v>281</v>
      </c>
      <c r="D298" s="24" t="s">
        <v>232</v>
      </c>
      <c r="E298" s="24" t="s">
        <v>952</v>
      </c>
      <c r="F298" s="24"/>
      <c r="G298" s="21">
        <f>G299</f>
        <v>221</v>
      </c>
      <c r="H298" s="272">
        <f aca="true" t="shared" si="167" ref="H298:I300">H299</f>
        <v>221</v>
      </c>
      <c r="I298" s="272">
        <f t="shared" si="167"/>
        <v>221</v>
      </c>
      <c r="J298" s="228"/>
      <c r="K298" s="117"/>
      <c r="L298" s="117"/>
    </row>
    <row r="299" spans="1:12" ht="32.25" customHeight="1">
      <c r="A299" s="107" t="s">
        <v>1166</v>
      </c>
      <c r="B299" s="20" t="s">
        <v>645</v>
      </c>
      <c r="C299" s="20" t="s">
        <v>281</v>
      </c>
      <c r="D299" s="20" t="s">
        <v>232</v>
      </c>
      <c r="E299" s="20" t="s">
        <v>953</v>
      </c>
      <c r="F299" s="33"/>
      <c r="G299" s="26">
        <f>G300</f>
        <v>221</v>
      </c>
      <c r="H299" s="261">
        <f t="shared" si="167"/>
        <v>221</v>
      </c>
      <c r="I299" s="261">
        <f t="shared" si="167"/>
        <v>221</v>
      </c>
      <c r="L299" s="117"/>
    </row>
    <row r="300" spans="1:12" ht="33" customHeight="1">
      <c r="A300" s="25" t="s">
        <v>148</v>
      </c>
      <c r="B300" s="16">
        <v>903</v>
      </c>
      <c r="C300" s="20" t="s">
        <v>281</v>
      </c>
      <c r="D300" s="20" t="s">
        <v>232</v>
      </c>
      <c r="E300" s="20" t="s">
        <v>953</v>
      </c>
      <c r="F300" s="33" t="s">
        <v>149</v>
      </c>
      <c r="G300" s="26">
        <f>G301</f>
        <v>221</v>
      </c>
      <c r="H300" s="261">
        <f t="shared" si="167"/>
        <v>221</v>
      </c>
      <c r="I300" s="261">
        <f t="shared" si="167"/>
        <v>221</v>
      </c>
      <c r="L300" s="117"/>
    </row>
    <row r="301" spans="1:12" ht="34.5" customHeight="1">
      <c r="A301" s="25" t="s">
        <v>150</v>
      </c>
      <c r="B301" s="16">
        <v>903</v>
      </c>
      <c r="C301" s="20" t="s">
        <v>281</v>
      </c>
      <c r="D301" s="20" t="s">
        <v>232</v>
      </c>
      <c r="E301" s="20" t="s">
        <v>953</v>
      </c>
      <c r="F301" s="33" t="s">
        <v>151</v>
      </c>
      <c r="G301" s="26">
        <v>221</v>
      </c>
      <c r="H301" s="261">
        <v>221</v>
      </c>
      <c r="I301" s="261">
        <v>221</v>
      </c>
      <c r="L301" s="117"/>
    </row>
    <row r="302" spans="1:12" ht="19.5" customHeight="1">
      <c r="A302" s="23" t="s">
        <v>483</v>
      </c>
      <c r="B302" s="19">
        <v>903</v>
      </c>
      <c r="C302" s="24" t="s">
        <v>281</v>
      </c>
      <c r="D302" s="24" t="s">
        <v>281</v>
      </c>
      <c r="E302" s="20"/>
      <c r="F302" s="20"/>
      <c r="G302" s="21">
        <f>G303</f>
        <v>1035</v>
      </c>
      <c r="H302" s="272">
        <f aca="true" t="shared" si="168" ref="H302:I303">H303</f>
        <v>900</v>
      </c>
      <c r="I302" s="272">
        <f t="shared" si="168"/>
        <v>900</v>
      </c>
      <c r="L302" s="117"/>
    </row>
    <row r="303" spans="1:12" ht="52.5" customHeight="1">
      <c r="A303" s="23" t="s">
        <v>360</v>
      </c>
      <c r="B303" s="19">
        <v>903</v>
      </c>
      <c r="C303" s="24" t="s">
        <v>281</v>
      </c>
      <c r="D303" s="24" t="s">
        <v>281</v>
      </c>
      <c r="E303" s="24" t="s">
        <v>361</v>
      </c>
      <c r="F303" s="24"/>
      <c r="G303" s="21">
        <f>G304</f>
        <v>1035</v>
      </c>
      <c r="H303" s="272">
        <f t="shared" si="168"/>
        <v>900</v>
      </c>
      <c r="I303" s="272">
        <f t="shared" si="168"/>
        <v>900</v>
      </c>
      <c r="L303" s="117"/>
    </row>
    <row r="304" spans="1:12" ht="32.25" customHeight="1">
      <c r="A304" s="23" t="s">
        <v>362</v>
      </c>
      <c r="B304" s="19">
        <v>903</v>
      </c>
      <c r="C304" s="24" t="s">
        <v>281</v>
      </c>
      <c r="D304" s="24" t="s">
        <v>281</v>
      </c>
      <c r="E304" s="24" t="s">
        <v>363</v>
      </c>
      <c r="F304" s="24"/>
      <c r="G304" s="21">
        <f>G305+G312+G318</f>
        <v>1035</v>
      </c>
      <c r="H304" s="272">
        <f aca="true" t="shared" si="169" ref="H304:I304">H305+H312+H318</f>
        <v>900</v>
      </c>
      <c r="I304" s="272">
        <f t="shared" si="169"/>
        <v>900</v>
      </c>
      <c r="L304" s="117"/>
    </row>
    <row r="305" spans="1:12" s="253" customFormat="1" ht="48.75" customHeight="1">
      <c r="A305" s="311" t="s">
        <v>1213</v>
      </c>
      <c r="B305" s="19">
        <v>903</v>
      </c>
      <c r="C305" s="24" t="s">
        <v>281</v>
      </c>
      <c r="D305" s="24" t="s">
        <v>281</v>
      </c>
      <c r="E305" s="24" t="s">
        <v>957</v>
      </c>
      <c r="F305" s="24"/>
      <c r="G305" s="21">
        <f>G306+G309</f>
        <v>30</v>
      </c>
      <c r="H305" s="272">
        <f aca="true" t="shared" si="170" ref="H305:I305">H306+H309</f>
        <v>298.6</v>
      </c>
      <c r="I305" s="272">
        <f t="shared" si="170"/>
        <v>298.6</v>
      </c>
      <c r="J305" s="228"/>
      <c r="K305" s="117"/>
      <c r="L305" s="117"/>
    </row>
    <row r="306" spans="1:12" s="253" customFormat="1" ht="23.25" customHeight="1">
      <c r="A306" s="107" t="s">
        <v>1219</v>
      </c>
      <c r="B306" s="16">
        <v>903</v>
      </c>
      <c r="C306" s="20" t="s">
        <v>281</v>
      </c>
      <c r="D306" s="20" t="s">
        <v>281</v>
      </c>
      <c r="E306" s="20" t="s">
        <v>958</v>
      </c>
      <c r="F306" s="20"/>
      <c r="G306" s="26">
        <f>G307</f>
        <v>30</v>
      </c>
      <c r="H306" s="261">
        <f aca="true" t="shared" si="171" ref="H306:I307">H307</f>
        <v>298.6</v>
      </c>
      <c r="I306" s="261">
        <f t="shared" si="171"/>
        <v>298.6</v>
      </c>
      <c r="J306" s="228" t="s">
        <v>1203</v>
      </c>
      <c r="K306" s="117"/>
      <c r="L306" s="117"/>
    </row>
    <row r="307" spans="1:12" s="253" customFormat="1" ht="72" customHeight="1">
      <c r="A307" s="25" t="s">
        <v>144</v>
      </c>
      <c r="B307" s="16">
        <v>903</v>
      </c>
      <c r="C307" s="20" t="s">
        <v>281</v>
      </c>
      <c r="D307" s="20" t="s">
        <v>281</v>
      </c>
      <c r="E307" s="20" t="s">
        <v>958</v>
      </c>
      <c r="F307" s="20" t="s">
        <v>145</v>
      </c>
      <c r="G307" s="26">
        <f>G308</f>
        <v>30</v>
      </c>
      <c r="H307" s="261">
        <f t="shared" si="171"/>
        <v>298.6</v>
      </c>
      <c r="I307" s="261">
        <f t="shared" si="171"/>
        <v>298.6</v>
      </c>
      <c r="J307" s="228"/>
      <c r="K307" s="117"/>
      <c r="L307" s="117"/>
    </row>
    <row r="308" spans="1:12" s="253" customFormat="1" ht="18" customHeight="1">
      <c r="A308" s="25" t="s">
        <v>359</v>
      </c>
      <c r="B308" s="16">
        <v>903</v>
      </c>
      <c r="C308" s="20" t="s">
        <v>281</v>
      </c>
      <c r="D308" s="20" t="s">
        <v>281</v>
      </c>
      <c r="E308" s="20" t="s">
        <v>958</v>
      </c>
      <c r="F308" s="20" t="s">
        <v>226</v>
      </c>
      <c r="G308" s="26">
        <v>30</v>
      </c>
      <c r="H308" s="261">
        <v>298.6</v>
      </c>
      <c r="I308" s="261">
        <v>298.6</v>
      </c>
      <c r="J308" s="228"/>
      <c r="K308" s="117"/>
      <c r="L308" s="117"/>
    </row>
    <row r="309" spans="1:12" s="253" customFormat="1" ht="19.5" customHeight="1" hidden="1">
      <c r="A309" s="25" t="s">
        <v>1214</v>
      </c>
      <c r="B309" s="16">
        <v>903</v>
      </c>
      <c r="C309" s="20" t="s">
        <v>281</v>
      </c>
      <c r="D309" s="20" t="s">
        <v>281</v>
      </c>
      <c r="E309" s="20" t="s">
        <v>1238</v>
      </c>
      <c r="F309" s="20"/>
      <c r="G309" s="26">
        <f>G310</f>
        <v>0</v>
      </c>
      <c r="H309" s="261">
        <f aca="true" t="shared" si="172" ref="H309:I310">H310</f>
        <v>0</v>
      </c>
      <c r="I309" s="261">
        <f t="shared" si="172"/>
        <v>0</v>
      </c>
      <c r="J309" s="228"/>
      <c r="K309" s="117"/>
      <c r="L309" s="117"/>
    </row>
    <row r="310" spans="1:12" s="253" customFormat="1" ht="32.25" customHeight="1" hidden="1">
      <c r="A310" s="25" t="s">
        <v>148</v>
      </c>
      <c r="B310" s="16">
        <v>903</v>
      </c>
      <c r="C310" s="20" t="s">
        <v>281</v>
      </c>
      <c r="D310" s="20" t="s">
        <v>281</v>
      </c>
      <c r="E310" s="20" t="s">
        <v>1238</v>
      </c>
      <c r="F310" s="20" t="s">
        <v>149</v>
      </c>
      <c r="G310" s="26">
        <f>G311</f>
        <v>0</v>
      </c>
      <c r="H310" s="261">
        <f t="shared" si="172"/>
        <v>0</v>
      </c>
      <c r="I310" s="261">
        <f t="shared" si="172"/>
        <v>0</v>
      </c>
      <c r="J310" s="228"/>
      <c r="K310" s="117"/>
      <c r="L310" s="117"/>
    </row>
    <row r="311" spans="1:12" s="253" customFormat="1" ht="37.5" customHeight="1" hidden="1">
      <c r="A311" s="25" t="s">
        <v>150</v>
      </c>
      <c r="B311" s="16">
        <v>903</v>
      </c>
      <c r="C311" s="20" t="s">
        <v>281</v>
      </c>
      <c r="D311" s="20" t="s">
        <v>281</v>
      </c>
      <c r="E311" s="20" t="s">
        <v>1238</v>
      </c>
      <c r="F311" s="20" t="s">
        <v>151</v>
      </c>
      <c r="G311" s="26">
        <v>0</v>
      </c>
      <c r="H311" s="261">
        <v>0</v>
      </c>
      <c r="I311" s="261">
        <v>0</v>
      </c>
      <c r="J311" s="228"/>
      <c r="K311" s="117"/>
      <c r="L311" s="117"/>
    </row>
    <row r="312" spans="1:12" s="253" customFormat="1" ht="64.5" customHeight="1">
      <c r="A312" s="23" t="s">
        <v>1215</v>
      </c>
      <c r="B312" s="19">
        <v>903</v>
      </c>
      <c r="C312" s="24" t="s">
        <v>281</v>
      </c>
      <c r="D312" s="24" t="s">
        <v>281</v>
      </c>
      <c r="E312" s="24" t="s">
        <v>959</v>
      </c>
      <c r="F312" s="24"/>
      <c r="G312" s="21">
        <f>G313</f>
        <v>955</v>
      </c>
      <c r="H312" s="272">
        <f aca="true" t="shared" si="173" ref="H312:I312">H313</f>
        <v>576.4</v>
      </c>
      <c r="I312" s="272">
        <f t="shared" si="173"/>
        <v>576.4</v>
      </c>
      <c r="J312" s="228"/>
      <c r="K312" s="117"/>
      <c r="L312" s="117"/>
    </row>
    <row r="313" spans="1:12" ht="15.75" customHeight="1">
      <c r="A313" s="25" t="s">
        <v>1216</v>
      </c>
      <c r="B313" s="16">
        <v>903</v>
      </c>
      <c r="C313" s="20" t="s">
        <v>281</v>
      </c>
      <c r="D313" s="20" t="s">
        <v>281</v>
      </c>
      <c r="E313" s="20" t="s">
        <v>977</v>
      </c>
      <c r="F313" s="20"/>
      <c r="G313" s="26">
        <f>G316+G315</f>
        <v>955</v>
      </c>
      <c r="H313" s="261">
        <f aca="true" t="shared" si="174" ref="H313:I313">H316+H315</f>
        <v>576.4</v>
      </c>
      <c r="I313" s="261">
        <f t="shared" si="174"/>
        <v>576.4</v>
      </c>
      <c r="L313" s="117"/>
    </row>
    <row r="314" spans="1:12" ht="63" customHeight="1">
      <c r="A314" s="25" t="s">
        <v>144</v>
      </c>
      <c r="B314" s="16">
        <v>903</v>
      </c>
      <c r="C314" s="20" t="s">
        <v>281</v>
      </c>
      <c r="D314" s="20" t="s">
        <v>281</v>
      </c>
      <c r="E314" s="20" t="s">
        <v>977</v>
      </c>
      <c r="F314" s="20" t="s">
        <v>145</v>
      </c>
      <c r="G314" s="26">
        <f>G315</f>
        <v>40</v>
      </c>
      <c r="H314" s="261">
        <f aca="true" t="shared" si="175" ref="H314:I314">H315</f>
        <v>40</v>
      </c>
      <c r="I314" s="261">
        <f t="shared" si="175"/>
        <v>40</v>
      </c>
      <c r="L314" s="117"/>
    </row>
    <row r="315" spans="1:12" ht="20.25" customHeight="1">
      <c r="A315" s="25" t="s">
        <v>359</v>
      </c>
      <c r="B315" s="16">
        <v>903</v>
      </c>
      <c r="C315" s="20" t="s">
        <v>281</v>
      </c>
      <c r="D315" s="20" t="s">
        <v>281</v>
      </c>
      <c r="E315" s="20" t="s">
        <v>977</v>
      </c>
      <c r="F315" s="20" t="s">
        <v>226</v>
      </c>
      <c r="G315" s="26">
        <f>40</f>
        <v>40</v>
      </c>
      <c r="H315" s="261">
        <f>40</f>
        <v>40</v>
      </c>
      <c r="I315" s="261">
        <f>40</f>
        <v>40</v>
      </c>
      <c r="L315" s="117"/>
    </row>
    <row r="316" spans="1:12" ht="27" customHeight="1">
      <c r="A316" s="25" t="s">
        <v>148</v>
      </c>
      <c r="B316" s="16">
        <v>903</v>
      </c>
      <c r="C316" s="20" t="s">
        <v>281</v>
      </c>
      <c r="D316" s="20" t="s">
        <v>281</v>
      </c>
      <c r="E316" s="20" t="s">
        <v>977</v>
      </c>
      <c r="F316" s="20" t="s">
        <v>149</v>
      </c>
      <c r="G316" s="26">
        <f>G317</f>
        <v>915</v>
      </c>
      <c r="H316" s="261">
        <f aca="true" t="shared" si="176" ref="H316:I316">H317</f>
        <v>536.4</v>
      </c>
      <c r="I316" s="261">
        <f t="shared" si="176"/>
        <v>536.4</v>
      </c>
      <c r="L316" s="117"/>
    </row>
    <row r="317" spans="1:12" ht="39" customHeight="1">
      <c r="A317" s="25" t="s">
        <v>150</v>
      </c>
      <c r="B317" s="16">
        <v>903</v>
      </c>
      <c r="C317" s="20" t="s">
        <v>281</v>
      </c>
      <c r="D317" s="20" t="s">
        <v>281</v>
      </c>
      <c r="E317" s="20" t="s">
        <v>977</v>
      </c>
      <c r="F317" s="20" t="s">
        <v>151</v>
      </c>
      <c r="G317" s="26">
        <v>915</v>
      </c>
      <c r="H317" s="261">
        <v>536.4</v>
      </c>
      <c r="I317" s="261">
        <v>536.4</v>
      </c>
      <c r="L317" s="117"/>
    </row>
    <row r="318" spans="1:12" s="253" customFormat="1" ht="35.25" customHeight="1">
      <c r="A318" s="23" t="s">
        <v>1221</v>
      </c>
      <c r="B318" s="19">
        <v>903</v>
      </c>
      <c r="C318" s="24" t="s">
        <v>281</v>
      </c>
      <c r="D318" s="24" t="s">
        <v>281</v>
      </c>
      <c r="E318" s="24" t="s">
        <v>1217</v>
      </c>
      <c r="F318" s="24"/>
      <c r="G318" s="21">
        <f>G319</f>
        <v>50</v>
      </c>
      <c r="H318" s="272">
        <f aca="true" t="shared" si="177" ref="H318:I320">H319</f>
        <v>25</v>
      </c>
      <c r="I318" s="272">
        <f t="shared" si="177"/>
        <v>25</v>
      </c>
      <c r="J318" s="228"/>
      <c r="K318" s="117"/>
      <c r="L318" s="117"/>
    </row>
    <row r="319" spans="1:12" s="253" customFormat="1" ht="39.75" customHeight="1">
      <c r="A319" s="352" t="s">
        <v>1218</v>
      </c>
      <c r="B319" s="16">
        <v>903</v>
      </c>
      <c r="C319" s="20" t="s">
        <v>281</v>
      </c>
      <c r="D319" s="20" t="s">
        <v>281</v>
      </c>
      <c r="E319" s="20" t="s">
        <v>1239</v>
      </c>
      <c r="F319" s="20"/>
      <c r="G319" s="26">
        <f>G320</f>
        <v>50</v>
      </c>
      <c r="H319" s="261">
        <f t="shared" si="177"/>
        <v>25</v>
      </c>
      <c r="I319" s="261">
        <f t="shared" si="177"/>
        <v>25</v>
      </c>
      <c r="J319" s="228"/>
      <c r="K319" s="117"/>
      <c r="L319" s="117"/>
    </row>
    <row r="320" spans="1:12" s="253" customFormat="1" ht="17.25" customHeight="1">
      <c r="A320" s="25" t="s">
        <v>265</v>
      </c>
      <c r="B320" s="16">
        <v>903</v>
      </c>
      <c r="C320" s="20" t="s">
        <v>281</v>
      </c>
      <c r="D320" s="20" t="s">
        <v>281</v>
      </c>
      <c r="E320" s="20" t="s">
        <v>1239</v>
      </c>
      <c r="F320" s="20" t="s">
        <v>266</v>
      </c>
      <c r="G320" s="26">
        <f>G321</f>
        <v>50</v>
      </c>
      <c r="H320" s="261">
        <f t="shared" si="177"/>
        <v>25</v>
      </c>
      <c r="I320" s="261">
        <f t="shared" si="177"/>
        <v>25</v>
      </c>
      <c r="J320" s="228"/>
      <c r="K320" s="117"/>
      <c r="L320" s="117"/>
    </row>
    <row r="321" spans="1:12" s="253" customFormat="1" ht="17.25" customHeight="1">
      <c r="A321" s="25" t="s">
        <v>365</v>
      </c>
      <c r="B321" s="16">
        <v>903</v>
      </c>
      <c r="C321" s="20" t="s">
        <v>281</v>
      </c>
      <c r="D321" s="20" t="s">
        <v>281</v>
      </c>
      <c r="E321" s="20" t="s">
        <v>1239</v>
      </c>
      <c r="F321" s="20" t="s">
        <v>366</v>
      </c>
      <c r="G321" s="26">
        <v>50</v>
      </c>
      <c r="H321" s="261">
        <v>25</v>
      </c>
      <c r="I321" s="261">
        <v>25</v>
      </c>
      <c r="J321" s="228"/>
      <c r="K321" s="117"/>
      <c r="L321" s="117"/>
    </row>
    <row r="322" spans="1:12" ht="15.75">
      <c r="A322" s="23" t="s">
        <v>315</v>
      </c>
      <c r="B322" s="19">
        <v>903</v>
      </c>
      <c r="C322" s="24" t="s">
        <v>316</v>
      </c>
      <c r="D322" s="24"/>
      <c r="E322" s="24"/>
      <c r="F322" s="24"/>
      <c r="G322" s="21">
        <f>G323+G389</f>
        <v>68580.954</v>
      </c>
      <c r="H322" s="272" t="e">
        <f>H323+H389</f>
        <v>#REF!</v>
      </c>
      <c r="I322" s="272" t="e">
        <f>I323+I389</f>
        <v>#REF!</v>
      </c>
      <c r="L322" s="117"/>
    </row>
    <row r="323" spans="1:12" ht="15.75">
      <c r="A323" s="23" t="s">
        <v>317</v>
      </c>
      <c r="B323" s="19">
        <v>903</v>
      </c>
      <c r="C323" s="24" t="s">
        <v>316</v>
      </c>
      <c r="D323" s="24" t="s">
        <v>135</v>
      </c>
      <c r="E323" s="24"/>
      <c r="F323" s="24"/>
      <c r="G323" s="21">
        <f>G324+G384+G379</f>
        <v>48790.81999999999</v>
      </c>
      <c r="H323" s="272" t="e">
        <f>H324+H384</f>
        <v>#REF!</v>
      </c>
      <c r="I323" s="272" t="e">
        <f>I324+I384</f>
        <v>#REF!</v>
      </c>
      <c r="J323" s="228">
        <v>49157.2</v>
      </c>
      <c r="K323" s="122">
        <f>J323-G323</f>
        <v>366.38000000000466</v>
      </c>
      <c r="L323" s="117"/>
    </row>
    <row r="324" spans="1:12" ht="35.25" customHeight="1">
      <c r="A324" s="23" t="s">
        <v>283</v>
      </c>
      <c r="B324" s="19">
        <v>903</v>
      </c>
      <c r="C324" s="24" t="s">
        <v>316</v>
      </c>
      <c r="D324" s="24" t="s">
        <v>135</v>
      </c>
      <c r="E324" s="24" t="s">
        <v>284</v>
      </c>
      <c r="F324" s="24"/>
      <c r="G324" s="21">
        <f>G325+G348</f>
        <v>47897.619999999995</v>
      </c>
      <c r="H324" s="272" t="e">
        <f aca="true" t="shared" si="178" ref="H324:I324">H325+H348+H344</f>
        <v>#REF!</v>
      </c>
      <c r="I324" s="272" t="e">
        <f t="shared" si="178"/>
        <v>#REF!</v>
      </c>
      <c r="J324" s="275"/>
      <c r="L324" s="117"/>
    </row>
    <row r="325" spans="1:12" ht="46.5" customHeight="1">
      <c r="A325" s="23" t="s">
        <v>318</v>
      </c>
      <c r="B325" s="19">
        <v>903</v>
      </c>
      <c r="C325" s="24" t="s">
        <v>316</v>
      </c>
      <c r="D325" s="24" t="s">
        <v>135</v>
      </c>
      <c r="E325" s="24" t="s">
        <v>319</v>
      </c>
      <c r="F325" s="24"/>
      <c r="G325" s="21">
        <f>G326+G334+G340+G344</f>
        <v>26022.3</v>
      </c>
      <c r="H325" s="272">
        <f aca="true" t="shared" si="179" ref="H325:I325">H326+H334+H340+H344</f>
        <v>25924.600000000002</v>
      </c>
      <c r="I325" s="272">
        <f t="shared" si="179"/>
        <v>25924.600000000002</v>
      </c>
      <c r="J325" s="275">
        <f>G325-G344</f>
        <v>25349</v>
      </c>
      <c r="L325" s="117"/>
    </row>
    <row r="326" spans="1:12" s="253" customFormat="1" ht="30" customHeight="1">
      <c r="A326" s="23" t="s">
        <v>961</v>
      </c>
      <c r="B326" s="19">
        <v>903</v>
      </c>
      <c r="C326" s="24" t="s">
        <v>316</v>
      </c>
      <c r="D326" s="24" t="s">
        <v>135</v>
      </c>
      <c r="E326" s="24" t="s">
        <v>962</v>
      </c>
      <c r="F326" s="24"/>
      <c r="G326" s="21">
        <f>G327</f>
        <v>24514</v>
      </c>
      <c r="H326" s="272">
        <f aca="true" t="shared" si="180" ref="H326:I326">H327</f>
        <v>23289.600000000002</v>
      </c>
      <c r="I326" s="272">
        <f t="shared" si="180"/>
        <v>23289.600000000002</v>
      </c>
      <c r="J326" s="228"/>
      <c r="K326" s="117" t="s">
        <v>1336</v>
      </c>
      <c r="L326" s="117"/>
    </row>
    <row r="327" spans="1:12" s="253" customFormat="1" ht="17.25" customHeight="1">
      <c r="A327" s="25" t="s">
        <v>835</v>
      </c>
      <c r="B327" s="16">
        <v>903</v>
      </c>
      <c r="C327" s="20" t="s">
        <v>316</v>
      </c>
      <c r="D327" s="20" t="s">
        <v>135</v>
      </c>
      <c r="E327" s="20" t="s">
        <v>960</v>
      </c>
      <c r="F327" s="20"/>
      <c r="G327" s="26">
        <f>G328+G330+G332</f>
        <v>24514</v>
      </c>
      <c r="H327" s="261">
        <f aca="true" t="shared" si="181" ref="H327:I327">H328+H330+H332</f>
        <v>23289.600000000002</v>
      </c>
      <c r="I327" s="261">
        <f t="shared" si="181"/>
        <v>23289.600000000002</v>
      </c>
      <c r="J327" s="228"/>
      <c r="K327" s="117"/>
      <c r="L327" s="117"/>
    </row>
    <row r="328" spans="1:12" s="253" customFormat="1" ht="46.5" customHeight="1">
      <c r="A328" s="25" t="s">
        <v>144</v>
      </c>
      <c r="B328" s="16">
        <v>903</v>
      </c>
      <c r="C328" s="20" t="s">
        <v>316</v>
      </c>
      <c r="D328" s="20" t="s">
        <v>135</v>
      </c>
      <c r="E328" s="20" t="s">
        <v>960</v>
      </c>
      <c r="F328" s="20" t="s">
        <v>145</v>
      </c>
      <c r="G328" s="26">
        <f>G329</f>
        <v>18725</v>
      </c>
      <c r="H328" s="261">
        <f aca="true" t="shared" si="182" ref="H328:I328">H329</f>
        <v>17500.4</v>
      </c>
      <c r="I328" s="261">
        <f t="shared" si="182"/>
        <v>17500.4</v>
      </c>
      <c r="J328" s="228"/>
      <c r="K328" s="117"/>
      <c r="L328" s="117"/>
    </row>
    <row r="329" spans="1:12" s="253" customFormat="1" ht="33" customHeight="1">
      <c r="A329" s="25" t="s">
        <v>225</v>
      </c>
      <c r="B329" s="16">
        <v>903</v>
      </c>
      <c r="C329" s="20" t="s">
        <v>316</v>
      </c>
      <c r="D329" s="20" t="s">
        <v>135</v>
      </c>
      <c r="E329" s="20" t="s">
        <v>960</v>
      </c>
      <c r="F329" s="20" t="s">
        <v>226</v>
      </c>
      <c r="G329" s="27">
        <f>17500*1.07</f>
        <v>18725</v>
      </c>
      <c r="H329" s="262">
        <f aca="true" t="shared" si="183" ref="H329:I329">18085.4-585</f>
        <v>17500.4</v>
      </c>
      <c r="I329" s="262">
        <f t="shared" si="183"/>
        <v>17500.4</v>
      </c>
      <c r="J329" s="361" t="s">
        <v>891</v>
      </c>
      <c r="K329" s="117">
        <v>1.07</v>
      </c>
      <c r="L329" s="117"/>
    </row>
    <row r="330" spans="1:12" s="253" customFormat="1" ht="36.75" customHeight="1">
      <c r="A330" s="25" t="s">
        <v>148</v>
      </c>
      <c r="B330" s="16">
        <v>903</v>
      </c>
      <c r="C330" s="20" t="s">
        <v>316</v>
      </c>
      <c r="D330" s="20" t="s">
        <v>135</v>
      </c>
      <c r="E330" s="20" t="s">
        <v>960</v>
      </c>
      <c r="F330" s="20" t="s">
        <v>149</v>
      </c>
      <c r="G330" s="26">
        <f>G331</f>
        <v>5681</v>
      </c>
      <c r="H330" s="261">
        <f aca="true" t="shared" si="184" ref="H330:I330">H331</f>
        <v>5681.2</v>
      </c>
      <c r="I330" s="261">
        <f t="shared" si="184"/>
        <v>5681.2</v>
      </c>
      <c r="J330" s="228"/>
      <c r="K330" s="117"/>
      <c r="L330" s="117"/>
    </row>
    <row r="331" spans="1:12" s="253" customFormat="1" ht="33" customHeight="1">
      <c r="A331" s="25" t="s">
        <v>150</v>
      </c>
      <c r="B331" s="16">
        <v>903</v>
      </c>
      <c r="C331" s="20" t="s">
        <v>316</v>
      </c>
      <c r="D331" s="20" t="s">
        <v>135</v>
      </c>
      <c r="E331" s="20" t="s">
        <v>960</v>
      </c>
      <c r="F331" s="20" t="s">
        <v>151</v>
      </c>
      <c r="G331" s="27">
        <f>5681.2-0.2</f>
        <v>5681</v>
      </c>
      <c r="H331" s="262">
        <v>5681.2</v>
      </c>
      <c r="I331" s="262">
        <v>5681.2</v>
      </c>
      <c r="J331" s="228"/>
      <c r="K331" s="117"/>
      <c r="L331" s="117"/>
    </row>
    <row r="332" spans="1:12" s="253" customFormat="1" ht="18" customHeight="1">
      <c r="A332" s="25" t="s">
        <v>152</v>
      </c>
      <c r="B332" s="16">
        <v>903</v>
      </c>
      <c r="C332" s="20" t="s">
        <v>316</v>
      </c>
      <c r="D332" s="20" t="s">
        <v>135</v>
      </c>
      <c r="E332" s="20" t="s">
        <v>960</v>
      </c>
      <c r="F332" s="20" t="s">
        <v>162</v>
      </c>
      <c r="G332" s="26">
        <f>G333</f>
        <v>108</v>
      </c>
      <c r="H332" s="261">
        <f aca="true" t="shared" si="185" ref="H332:I332">H333</f>
        <v>108</v>
      </c>
      <c r="I332" s="261">
        <f t="shared" si="185"/>
        <v>108</v>
      </c>
      <c r="J332" s="228"/>
      <c r="K332" s="117"/>
      <c r="L332" s="117"/>
    </row>
    <row r="333" spans="1:12" s="253" customFormat="1" ht="16.5" customHeight="1">
      <c r="A333" s="25" t="s">
        <v>585</v>
      </c>
      <c r="B333" s="16">
        <v>903</v>
      </c>
      <c r="C333" s="20" t="s">
        <v>316</v>
      </c>
      <c r="D333" s="20" t="s">
        <v>135</v>
      </c>
      <c r="E333" s="20" t="s">
        <v>960</v>
      </c>
      <c r="F333" s="20" t="s">
        <v>155</v>
      </c>
      <c r="G333" s="26">
        <v>108</v>
      </c>
      <c r="H333" s="261">
        <v>108</v>
      </c>
      <c r="I333" s="261">
        <v>108</v>
      </c>
      <c r="J333" s="228"/>
      <c r="K333" s="117"/>
      <c r="L333" s="117"/>
    </row>
    <row r="334" spans="1:12" s="253" customFormat="1" ht="35.25" customHeight="1">
      <c r="A334" s="317" t="s">
        <v>975</v>
      </c>
      <c r="B334" s="19">
        <v>903</v>
      </c>
      <c r="C334" s="24" t="s">
        <v>316</v>
      </c>
      <c r="D334" s="24" t="s">
        <v>135</v>
      </c>
      <c r="E334" s="24" t="s">
        <v>963</v>
      </c>
      <c r="F334" s="24"/>
      <c r="G334" s="21">
        <f>G335</f>
        <v>250</v>
      </c>
      <c r="H334" s="272">
        <f aca="true" t="shared" si="186" ref="H334:I334">H335</f>
        <v>2050</v>
      </c>
      <c r="I334" s="272">
        <f t="shared" si="186"/>
        <v>2050</v>
      </c>
      <c r="J334" s="228"/>
      <c r="K334" s="117"/>
      <c r="L334" s="117"/>
    </row>
    <row r="335" spans="1:12" ht="35.25" customHeight="1">
      <c r="A335" s="32" t="s">
        <v>864</v>
      </c>
      <c r="B335" s="16">
        <v>903</v>
      </c>
      <c r="C335" s="20" t="s">
        <v>316</v>
      </c>
      <c r="D335" s="20" t="s">
        <v>135</v>
      </c>
      <c r="E335" s="20" t="s">
        <v>964</v>
      </c>
      <c r="F335" s="20"/>
      <c r="G335" s="27">
        <f>G338+G336</f>
        <v>250</v>
      </c>
      <c r="H335" s="262">
        <f aca="true" t="shared" si="187" ref="H335:I335">H338+H336</f>
        <v>2050</v>
      </c>
      <c r="I335" s="262">
        <f t="shared" si="187"/>
        <v>2050</v>
      </c>
      <c r="L335" s="117"/>
    </row>
    <row r="336" spans="1:12" ht="66" customHeight="1" hidden="1">
      <c r="A336" s="25" t="s">
        <v>144</v>
      </c>
      <c r="B336" s="16">
        <v>903</v>
      </c>
      <c r="C336" s="20" t="s">
        <v>316</v>
      </c>
      <c r="D336" s="20" t="s">
        <v>135</v>
      </c>
      <c r="E336" s="20" t="s">
        <v>964</v>
      </c>
      <c r="F336" s="20" t="s">
        <v>145</v>
      </c>
      <c r="G336" s="27">
        <f>G337</f>
        <v>0</v>
      </c>
      <c r="H336" s="262">
        <f aca="true" t="shared" si="188" ref="H336:I336">H337</f>
        <v>925</v>
      </c>
      <c r="I336" s="262">
        <f t="shared" si="188"/>
        <v>925</v>
      </c>
      <c r="L336" s="117"/>
    </row>
    <row r="337" spans="1:12" ht="20.25" customHeight="1" hidden="1">
      <c r="A337" s="25" t="s">
        <v>225</v>
      </c>
      <c r="B337" s="16">
        <v>903</v>
      </c>
      <c r="C337" s="20" t="s">
        <v>316</v>
      </c>
      <c r="D337" s="20" t="s">
        <v>135</v>
      </c>
      <c r="E337" s="20" t="s">
        <v>964</v>
      </c>
      <c r="F337" s="20" t="s">
        <v>226</v>
      </c>
      <c r="G337" s="27">
        <v>0</v>
      </c>
      <c r="H337" s="262">
        <v>925</v>
      </c>
      <c r="I337" s="262">
        <v>925</v>
      </c>
      <c r="J337" s="273"/>
      <c r="L337" s="117"/>
    </row>
    <row r="338" spans="1:12" ht="33.75" customHeight="1">
      <c r="A338" s="25" t="s">
        <v>148</v>
      </c>
      <c r="B338" s="16">
        <v>903</v>
      </c>
      <c r="C338" s="20" t="s">
        <v>316</v>
      </c>
      <c r="D338" s="20" t="s">
        <v>135</v>
      </c>
      <c r="E338" s="20" t="s">
        <v>964</v>
      </c>
      <c r="F338" s="20" t="s">
        <v>149</v>
      </c>
      <c r="G338" s="27">
        <f>G339</f>
        <v>250</v>
      </c>
      <c r="H338" s="262">
        <f aca="true" t="shared" si="189" ref="H338:I338">H339</f>
        <v>1125</v>
      </c>
      <c r="I338" s="262">
        <f t="shared" si="189"/>
        <v>1125</v>
      </c>
      <c r="L338" s="117"/>
    </row>
    <row r="339" spans="1:12" ht="36.75" customHeight="1">
      <c r="A339" s="25" t="s">
        <v>150</v>
      </c>
      <c r="B339" s="16">
        <v>903</v>
      </c>
      <c r="C339" s="20" t="s">
        <v>316</v>
      </c>
      <c r="D339" s="20" t="s">
        <v>135</v>
      </c>
      <c r="E339" s="20" t="s">
        <v>964</v>
      </c>
      <c r="F339" s="20" t="s">
        <v>151</v>
      </c>
      <c r="G339" s="27">
        <v>250</v>
      </c>
      <c r="H339" s="262">
        <v>1125</v>
      </c>
      <c r="I339" s="262">
        <v>1125</v>
      </c>
      <c r="J339" s="274"/>
      <c r="L339" s="117"/>
    </row>
    <row r="340" spans="1:12" s="253" customFormat="1" ht="36.75" customHeight="1">
      <c r="A340" s="23" t="s">
        <v>1084</v>
      </c>
      <c r="B340" s="19">
        <v>903</v>
      </c>
      <c r="C340" s="24" t="s">
        <v>316</v>
      </c>
      <c r="D340" s="24" t="s">
        <v>135</v>
      </c>
      <c r="E340" s="24" t="s">
        <v>1173</v>
      </c>
      <c r="F340" s="24"/>
      <c r="G340" s="45">
        <f>G341</f>
        <v>585</v>
      </c>
      <c r="H340" s="284">
        <f aca="true" t="shared" si="190" ref="H340:I342">H341</f>
        <v>585</v>
      </c>
      <c r="I340" s="284">
        <f t="shared" si="190"/>
        <v>585</v>
      </c>
      <c r="J340" s="301"/>
      <c r="K340" s="117"/>
      <c r="L340" s="117"/>
    </row>
    <row r="341" spans="1:12" s="253" customFormat="1" ht="36.75" customHeight="1">
      <c r="A341" s="25" t="s">
        <v>889</v>
      </c>
      <c r="B341" s="16">
        <v>903</v>
      </c>
      <c r="C341" s="20" t="s">
        <v>316</v>
      </c>
      <c r="D341" s="20" t="s">
        <v>135</v>
      </c>
      <c r="E341" s="20" t="s">
        <v>1174</v>
      </c>
      <c r="F341" s="20"/>
      <c r="G341" s="26">
        <f>G342</f>
        <v>585</v>
      </c>
      <c r="H341" s="261">
        <f t="shared" si="190"/>
        <v>585</v>
      </c>
      <c r="I341" s="261">
        <f t="shared" si="190"/>
        <v>585</v>
      </c>
      <c r="J341" s="301"/>
      <c r="K341" s="117"/>
      <c r="L341" s="117"/>
    </row>
    <row r="342" spans="1:12" s="253" customFormat="1" ht="62.25" customHeight="1">
      <c r="A342" s="25" t="s">
        <v>144</v>
      </c>
      <c r="B342" s="16">
        <v>903</v>
      </c>
      <c r="C342" s="20" t="s">
        <v>316</v>
      </c>
      <c r="D342" s="20" t="s">
        <v>135</v>
      </c>
      <c r="E342" s="20" t="s">
        <v>1174</v>
      </c>
      <c r="F342" s="20" t="s">
        <v>145</v>
      </c>
      <c r="G342" s="26">
        <f>G343</f>
        <v>585</v>
      </c>
      <c r="H342" s="261">
        <f t="shared" si="190"/>
        <v>585</v>
      </c>
      <c r="I342" s="261">
        <f t="shared" si="190"/>
        <v>585</v>
      </c>
      <c r="J342" s="301"/>
      <c r="K342" s="117"/>
      <c r="L342" s="117"/>
    </row>
    <row r="343" spans="1:12" s="253" customFormat="1" ht="36.75" customHeight="1">
      <c r="A343" s="25" t="s">
        <v>146</v>
      </c>
      <c r="B343" s="16">
        <v>903</v>
      </c>
      <c r="C343" s="20" t="s">
        <v>316</v>
      </c>
      <c r="D343" s="20" t="s">
        <v>135</v>
      </c>
      <c r="E343" s="20" t="s">
        <v>1174</v>
      </c>
      <c r="F343" s="20" t="s">
        <v>226</v>
      </c>
      <c r="G343" s="26">
        <v>585</v>
      </c>
      <c r="H343" s="26">
        <v>585</v>
      </c>
      <c r="I343" s="26">
        <v>585</v>
      </c>
      <c r="J343" s="301"/>
      <c r="K343" s="117"/>
      <c r="L343" s="117"/>
    </row>
    <row r="344" spans="1:12" s="253" customFormat="1" ht="36.75" customHeight="1">
      <c r="A344" s="318" t="s">
        <v>976</v>
      </c>
      <c r="B344" s="19">
        <v>903</v>
      </c>
      <c r="C344" s="24" t="s">
        <v>316</v>
      </c>
      <c r="D344" s="24" t="s">
        <v>135</v>
      </c>
      <c r="E344" s="24" t="s">
        <v>1175</v>
      </c>
      <c r="F344" s="24"/>
      <c r="G344" s="21">
        <f>G345</f>
        <v>673.3</v>
      </c>
      <c r="H344" s="272">
        <f aca="true" t="shared" si="191" ref="H344:I346">H345</f>
        <v>0</v>
      </c>
      <c r="I344" s="272">
        <f t="shared" si="191"/>
        <v>0</v>
      </c>
      <c r="J344" s="301"/>
      <c r="K344" s="117"/>
      <c r="L344" s="117"/>
    </row>
    <row r="345" spans="1:12" s="253" customFormat="1" ht="79.5" customHeight="1">
      <c r="A345" s="32" t="s">
        <v>310</v>
      </c>
      <c r="B345" s="16">
        <v>903</v>
      </c>
      <c r="C345" s="20" t="s">
        <v>316</v>
      </c>
      <c r="D345" s="20" t="s">
        <v>135</v>
      </c>
      <c r="E345" s="20" t="s">
        <v>1176</v>
      </c>
      <c r="F345" s="20"/>
      <c r="G345" s="26">
        <f>G346</f>
        <v>673.3</v>
      </c>
      <c r="H345" s="261">
        <f t="shared" si="191"/>
        <v>0</v>
      </c>
      <c r="I345" s="261">
        <f t="shared" si="191"/>
        <v>0</v>
      </c>
      <c r="J345" s="301"/>
      <c r="K345" s="117"/>
      <c r="L345" s="117"/>
    </row>
    <row r="346" spans="1:12" s="253" customFormat="1" ht="66" customHeight="1">
      <c r="A346" s="25" t="s">
        <v>144</v>
      </c>
      <c r="B346" s="16">
        <v>903</v>
      </c>
      <c r="C346" s="20" t="s">
        <v>316</v>
      </c>
      <c r="D346" s="20" t="s">
        <v>135</v>
      </c>
      <c r="E346" s="20" t="s">
        <v>1176</v>
      </c>
      <c r="F346" s="20" t="s">
        <v>145</v>
      </c>
      <c r="G346" s="26">
        <f>G347</f>
        <v>673.3</v>
      </c>
      <c r="H346" s="261">
        <f t="shared" si="191"/>
        <v>0</v>
      </c>
      <c r="I346" s="261">
        <f t="shared" si="191"/>
        <v>0</v>
      </c>
      <c r="J346" s="301"/>
      <c r="K346" s="117"/>
      <c r="L346" s="117"/>
    </row>
    <row r="347" spans="1:12" s="253" customFormat="1" ht="21.75" customHeight="1">
      <c r="A347" s="25" t="s">
        <v>225</v>
      </c>
      <c r="B347" s="16">
        <v>903</v>
      </c>
      <c r="C347" s="20" t="s">
        <v>316</v>
      </c>
      <c r="D347" s="20" t="s">
        <v>135</v>
      </c>
      <c r="E347" s="20" t="s">
        <v>1176</v>
      </c>
      <c r="F347" s="20" t="s">
        <v>226</v>
      </c>
      <c r="G347" s="26">
        <v>673.3</v>
      </c>
      <c r="H347" s="308">
        <v>0</v>
      </c>
      <c r="I347" s="308">
        <v>0</v>
      </c>
      <c r="J347" s="301"/>
      <c r="K347" s="117"/>
      <c r="L347" s="117"/>
    </row>
    <row r="348" spans="1:12" ht="37.5" customHeight="1">
      <c r="A348" s="23" t="s">
        <v>329</v>
      </c>
      <c r="B348" s="19">
        <v>903</v>
      </c>
      <c r="C348" s="24" t="s">
        <v>316</v>
      </c>
      <c r="D348" s="24" t="s">
        <v>135</v>
      </c>
      <c r="E348" s="24" t="s">
        <v>330</v>
      </c>
      <c r="F348" s="24"/>
      <c r="G348" s="21">
        <f>G349+G357+G365+G372+G361</f>
        <v>21875.32</v>
      </c>
      <c r="H348" s="272" t="e">
        <f>H349+H357+H365+H372+H361</f>
        <v>#REF!</v>
      </c>
      <c r="I348" s="272" t="e">
        <f>I349+I357+I365+I372+I361</f>
        <v>#REF!</v>
      </c>
      <c r="J348" s="275">
        <f>G349+G357+G361+G366+G384-330</f>
        <v>20995.72</v>
      </c>
      <c r="L348" s="117"/>
    </row>
    <row r="349" spans="1:12" s="253" customFormat="1" ht="37.5" customHeight="1">
      <c r="A349" s="23" t="s">
        <v>961</v>
      </c>
      <c r="B349" s="19">
        <v>903</v>
      </c>
      <c r="C349" s="24" t="s">
        <v>316</v>
      </c>
      <c r="D349" s="24" t="s">
        <v>135</v>
      </c>
      <c r="E349" s="24" t="s">
        <v>965</v>
      </c>
      <c r="F349" s="24"/>
      <c r="G349" s="21">
        <f>G350</f>
        <v>19822.02</v>
      </c>
      <c r="H349" s="272">
        <f aca="true" t="shared" si="192" ref="H349:I349">H350</f>
        <v>18780.7</v>
      </c>
      <c r="I349" s="272">
        <f t="shared" si="192"/>
        <v>18780.7</v>
      </c>
      <c r="J349" s="228"/>
      <c r="K349" s="117"/>
      <c r="L349" s="117"/>
    </row>
    <row r="350" spans="1:12" s="253" customFormat="1" ht="18" customHeight="1">
      <c r="A350" s="25" t="s">
        <v>835</v>
      </c>
      <c r="B350" s="16">
        <v>903</v>
      </c>
      <c r="C350" s="20" t="s">
        <v>316</v>
      </c>
      <c r="D350" s="20" t="s">
        <v>135</v>
      </c>
      <c r="E350" s="20" t="s">
        <v>966</v>
      </c>
      <c r="F350" s="20"/>
      <c r="G350" s="26">
        <f>G351+G353+G355</f>
        <v>19822.02</v>
      </c>
      <c r="H350" s="261">
        <f aca="true" t="shared" si="193" ref="H350:I350">H351+H353+H355</f>
        <v>18780.7</v>
      </c>
      <c r="I350" s="261">
        <f t="shared" si="193"/>
        <v>18780.7</v>
      </c>
      <c r="J350" s="228"/>
      <c r="K350" s="117"/>
      <c r="L350" s="117"/>
    </row>
    <row r="351" spans="1:12" s="253" customFormat="1" ht="60.75" customHeight="1">
      <c r="A351" s="25" t="s">
        <v>144</v>
      </c>
      <c r="B351" s="16">
        <v>903</v>
      </c>
      <c r="C351" s="20" t="s">
        <v>316</v>
      </c>
      <c r="D351" s="20" t="s">
        <v>135</v>
      </c>
      <c r="E351" s="20" t="s">
        <v>966</v>
      </c>
      <c r="F351" s="20" t="s">
        <v>145</v>
      </c>
      <c r="G351" s="26">
        <f>G352</f>
        <v>15928.02</v>
      </c>
      <c r="H351" s="261">
        <f aca="true" t="shared" si="194" ref="H351:I351">H352</f>
        <v>14886.2</v>
      </c>
      <c r="I351" s="261">
        <f t="shared" si="194"/>
        <v>14886.2</v>
      </c>
      <c r="J351" s="228"/>
      <c r="K351" s="117"/>
      <c r="L351" s="117"/>
    </row>
    <row r="352" spans="1:12" s="253" customFormat="1" ht="31.5" customHeight="1">
      <c r="A352" s="25" t="s">
        <v>225</v>
      </c>
      <c r="B352" s="16">
        <v>903</v>
      </c>
      <c r="C352" s="20" t="s">
        <v>316</v>
      </c>
      <c r="D352" s="20" t="s">
        <v>135</v>
      </c>
      <c r="E352" s="20" t="s">
        <v>966</v>
      </c>
      <c r="F352" s="20" t="s">
        <v>226</v>
      </c>
      <c r="G352" s="27">
        <f>14886*1.07</f>
        <v>15928.02</v>
      </c>
      <c r="H352" s="27">
        <f aca="true" t="shared" si="195" ref="H352:I352">15393.2-507</f>
        <v>14886.2</v>
      </c>
      <c r="I352" s="27">
        <f t="shared" si="195"/>
        <v>14886.2</v>
      </c>
      <c r="J352" s="361" t="s">
        <v>891</v>
      </c>
      <c r="K352" s="117">
        <v>1.07</v>
      </c>
      <c r="L352" s="117"/>
    </row>
    <row r="353" spans="1:12" s="253" customFormat="1" ht="37.5" customHeight="1">
      <c r="A353" s="25" t="s">
        <v>148</v>
      </c>
      <c r="B353" s="16">
        <v>903</v>
      </c>
      <c r="C353" s="20" t="s">
        <v>316</v>
      </c>
      <c r="D353" s="20" t="s">
        <v>135</v>
      </c>
      <c r="E353" s="20" t="s">
        <v>966</v>
      </c>
      <c r="F353" s="20" t="s">
        <v>149</v>
      </c>
      <c r="G353" s="26">
        <f>G354</f>
        <v>3858</v>
      </c>
      <c r="H353" s="26">
        <f aca="true" t="shared" si="196" ref="H353:I353">H354</f>
        <v>3857.9</v>
      </c>
      <c r="I353" s="26">
        <f t="shared" si="196"/>
        <v>3857.9</v>
      </c>
      <c r="J353" s="228"/>
      <c r="K353" s="117"/>
      <c r="L353" s="117"/>
    </row>
    <row r="354" spans="1:12" s="253" customFormat="1" ht="37.5" customHeight="1">
      <c r="A354" s="25" t="s">
        <v>150</v>
      </c>
      <c r="B354" s="16">
        <v>903</v>
      </c>
      <c r="C354" s="20" t="s">
        <v>316</v>
      </c>
      <c r="D354" s="20" t="s">
        <v>135</v>
      </c>
      <c r="E354" s="20" t="s">
        <v>966</v>
      </c>
      <c r="F354" s="20" t="s">
        <v>151</v>
      </c>
      <c r="G354" s="27">
        <f>3857.9+0.1</f>
        <v>3858</v>
      </c>
      <c r="H354" s="27">
        <v>3857.9</v>
      </c>
      <c r="I354" s="27">
        <v>3857.9</v>
      </c>
      <c r="J354" s="228"/>
      <c r="K354" s="117"/>
      <c r="L354" s="117"/>
    </row>
    <row r="355" spans="1:12" s="253" customFormat="1" ht="21" customHeight="1">
      <c r="A355" s="25" t="s">
        <v>152</v>
      </c>
      <c r="B355" s="16">
        <v>903</v>
      </c>
      <c r="C355" s="20" t="s">
        <v>316</v>
      </c>
      <c r="D355" s="20" t="s">
        <v>135</v>
      </c>
      <c r="E355" s="20" t="s">
        <v>966</v>
      </c>
      <c r="F355" s="20" t="s">
        <v>162</v>
      </c>
      <c r="G355" s="26">
        <f>G356</f>
        <v>36</v>
      </c>
      <c r="H355" s="26">
        <f aca="true" t="shared" si="197" ref="H355:I355">H356</f>
        <v>36.6</v>
      </c>
      <c r="I355" s="26">
        <f t="shared" si="197"/>
        <v>36.6</v>
      </c>
      <c r="J355" s="228"/>
      <c r="K355" s="117"/>
      <c r="L355" s="117"/>
    </row>
    <row r="356" spans="1:12" s="253" customFormat="1" ht="22.5" customHeight="1">
      <c r="A356" s="25" t="s">
        <v>585</v>
      </c>
      <c r="B356" s="16">
        <v>903</v>
      </c>
      <c r="C356" s="20" t="s">
        <v>316</v>
      </c>
      <c r="D356" s="20" t="s">
        <v>135</v>
      </c>
      <c r="E356" s="20" t="s">
        <v>966</v>
      </c>
      <c r="F356" s="20" t="s">
        <v>155</v>
      </c>
      <c r="G356" s="26">
        <f>36.6-0.6</f>
        <v>36</v>
      </c>
      <c r="H356" s="26">
        <v>36.6</v>
      </c>
      <c r="I356" s="26">
        <v>36.6</v>
      </c>
      <c r="J356" s="228"/>
      <c r="K356" s="117"/>
      <c r="L356" s="117"/>
    </row>
    <row r="357" spans="1:12" s="253" customFormat="1" ht="33" customHeight="1">
      <c r="A357" s="23" t="s">
        <v>978</v>
      </c>
      <c r="B357" s="19">
        <v>903</v>
      </c>
      <c r="C357" s="24" t="s">
        <v>316</v>
      </c>
      <c r="D357" s="24" t="s">
        <v>135</v>
      </c>
      <c r="E357" s="24" t="s">
        <v>967</v>
      </c>
      <c r="F357" s="24"/>
      <c r="G357" s="21">
        <f>G358</f>
        <v>200</v>
      </c>
      <c r="H357" s="272">
        <f aca="true" t="shared" si="198" ref="H357:I359">H358</f>
        <v>227.5</v>
      </c>
      <c r="I357" s="272">
        <f t="shared" si="198"/>
        <v>227.5</v>
      </c>
      <c r="J357" s="228"/>
      <c r="K357" s="117"/>
      <c r="L357" s="117"/>
    </row>
    <row r="358" spans="1:12" s="253" customFormat="1" ht="32.25" customHeight="1">
      <c r="A358" s="25" t="s">
        <v>870</v>
      </c>
      <c r="B358" s="16">
        <v>903</v>
      </c>
      <c r="C358" s="20" t="s">
        <v>316</v>
      </c>
      <c r="D358" s="20" t="s">
        <v>135</v>
      </c>
      <c r="E358" s="20" t="s">
        <v>968</v>
      </c>
      <c r="F358" s="20"/>
      <c r="G358" s="26">
        <f>G359</f>
        <v>200</v>
      </c>
      <c r="H358" s="261">
        <f t="shared" si="198"/>
        <v>227.5</v>
      </c>
      <c r="I358" s="261">
        <f t="shared" si="198"/>
        <v>227.5</v>
      </c>
      <c r="J358" s="228"/>
      <c r="K358" s="117"/>
      <c r="L358" s="117"/>
    </row>
    <row r="359" spans="1:12" s="253" customFormat="1" ht="33.75" customHeight="1">
      <c r="A359" s="25" t="s">
        <v>148</v>
      </c>
      <c r="B359" s="16">
        <v>903</v>
      </c>
      <c r="C359" s="20" t="s">
        <v>316</v>
      </c>
      <c r="D359" s="20" t="s">
        <v>135</v>
      </c>
      <c r="E359" s="20" t="s">
        <v>968</v>
      </c>
      <c r="F359" s="20" t="s">
        <v>149</v>
      </c>
      <c r="G359" s="26">
        <f>G360</f>
        <v>200</v>
      </c>
      <c r="H359" s="261">
        <f t="shared" si="198"/>
        <v>227.5</v>
      </c>
      <c r="I359" s="261">
        <f t="shared" si="198"/>
        <v>227.5</v>
      </c>
      <c r="J359" s="228"/>
      <c r="K359" s="117"/>
      <c r="L359" s="117"/>
    </row>
    <row r="360" spans="1:12" s="253" customFormat="1" ht="31.5" customHeight="1">
      <c r="A360" s="25" t="s">
        <v>150</v>
      </c>
      <c r="B360" s="16">
        <v>903</v>
      </c>
      <c r="C360" s="20" t="s">
        <v>316</v>
      </c>
      <c r="D360" s="20" t="s">
        <v>135</v>
      </c>
      <c r="E360" s="20" t="s">
        <v>968</v>
      </c>
      <c r="F360" s="20" t="s">
        <v>151</v>
      </c>
      <c r="G360" s="26">
        <f>227.5-27.5</f>
        <v>200</v>
      </c>
      <c r="H360" s="261">
        <v>227.5</v>
      </c>
      <c r="I360" s="261">
        <v>227.5</v>
      </c>
      <c r="J360" s="228"/>
      <c r="K360" s="117"/>
      <c r="L360" s="117"/>
    </row>
    <row r="361" spans="1:12" s="253" customFormat="1" ht="31.5" customHeight="1">
      <c r="A361" s="23" t="s">
        <v>1084</v>
      </c>
      <c r="B361" s="19">
        <v>903</v>
      </c>
      <c r="C361" s="24" t="s">
        <v>316</v>
      </c>
      <c r="D361" s="24" t="s">
        <v>135</v>
      </c>
      <c r="E361" s="24" t="s">
        <v>969</v>
      </c>
      <c r="F361" s="24"/>
      <c r="G361" s="21">
        <f>G362</f>
        <v>507</v>
      </c>
      <c r="H361" s="272">
        <f aca="true" t="shared" si="199" ref="H361:I363">H362</f>
        <v>507</v>
      </c>
      <c r="I361" s="272">
        <f t="shared" si="199"/>
        <v>507</v>
      </c>
      <c r="J361" s="228"/>
      <c r="K361" s="117"/>
      <c r="L361" s="117"/>
    </row>
    <row r="362" spans="1:12" s="253" customFormat="1" ht="31.5" customHeight="1">
      <c r="A362" s="25" t="s">
        <v>889</v>
      </c>
      <c r="B362" s="16">
        <v>903</v>
      </c>
      <c r="C362" s="20" t="s">
        <v>316</v>
      </c>
      <c r="D362" s="20" t="s">
        <v>135</v>
      </c>
      <c r="E362" s="20" t="s">
        <v>1269</v>
      </c>
      <c r="F362" s="20"/>
      <c r="G362" s="26">
        <f>G363</f>
        <v>507</v>
      </c>
      <c r="H362" s="261">
        <f t="shared" si="199"/>
        <v>507</v>
      </c>
      <c r="I362" s="261">
        <f t="shared" si="199"/>
        <v>507</v>
      </c>
      <c r="J362" s="228"/>
      <c r="K362" s="117"/>
      <c r="L362" s="117"/>
    </row>
    <row r="363" spans="1:12" s="253" customFormat="1" ht="31.5" customHeight="1">
      <c r="A363" s="25" t="s">
        <v>144</v>
      </c>
      <c r="B363" s="16">
        <v>903</v>
      </c>
      <c r="C363" s="20" t="s">
        <v>316</v>
      </c>
      <c r="D363" s="20" t="s">
        <v>135</v>
      </c>
      <c r="E363" s="20" t="s">
        <v>1269</v>
      </c>
      <c r="F363" s="20" t="s">
        <v>145</v>
      </c>
      <c r="G363" s="26">
        <f>G364</f>
        <v>507</v>
      </c>
      <c r="H363" s="261">
        <f t="shared" si="199"/>
        <v>507</v>
      </c>
      <c r="I363" s="261">
        <f t="shared" si="199"/>
        <v>507</v>
      </c>
      <c r="J363" s="228"/>
      <c r="K363" s="117"/>
      <c r="L363" s="117"/>
    </row>
    <row r="364" spans="1:12" s="253" customFormat="1" ht="17.25" customHeight="1">
      <c r="A364" s="25" t="s">
        <v>225</v>
      </c>
      <c r="B364" s="16">
        <v>903</v>
      </c>
      <c r="C364" s="20" t="s">
        <v>316</v>
      </c>
      <c r="D364" s="20" t="s">
        <v>135</v>
      </c>
      <c r="E364" s="20" t="s">
        <v>1269</v>
      </c>
      <c r="F364" s="20" t="s">
        <v>226</v>
      </c>
      <c r="G364" s="26">
        <v>507</v>
      </c>
      <c r="H364" s="26">
        <v>507</v>
      </c>
      <c r="I364" s="26">
        <v>507</v>
      </c>
      <c r="J364" s="228"/>
      <c r="K364" s="117"/>
      <c r="L364" s="117"/>
    </row>
    <row r="365" spans="1:12" s="253" customFormat="1" ht="21" customHeight="1">
      <c r="A365" s="23" t="s">
        <v>1172</v>
      </c>
      <c r="B365" s="19">
        <v>903</v>
      </c>
      <c r="C365" s="24" t="s">
        <v>316</v>
      </c>
      <c r="D365" s="24" t="s">
        <v>135</v>
      </c>
      <c r="E365" s="24" t="s">
        <v>970</v>
      </c>
      <c r="F365" s="24"/>
      <c r="G365" s="21">
        <f>G366+G369</f>
        <v>72.6</v>
      </c>
      <c r="H365" s="272">
        <f aca="true" t="shared" si="200" ref="H365:I365">H366+H369</f>
        <v>72.6</v>
      </c>
      <c r="I365" s="272">
        <f t="shared" si="200"/>
        <v>72.6</v>
      </c>
      <c r="J365" s="228"/>
      <c r="K365" s="117"/>
      <c r="L365" s="117"/>
    </row>
    <row r="366" spans="1:12" ht="15.75">
      <c r="A366" s="25" t="s">
        <v>1318</v>
      </c>
      <c r="B366" s="16">
        <v>903</v>
      </c>
      <c r="C366" s="20" t="s">
        <v>316</v>
      </c>
      <c r="D366" s="20" t="s">
        <v>135</v>
      </c>
      <c r="E366" s="20" t="s">
        <v>1270</v>
      </c>
      <c r="F366" s="20"/>
      <c r="G366" s="26">
        <f>G367</f>
        <v>3.5</v>
      </c>
      <c r="H366" s="261">
        <f aca="true" t="shared" si="201" ref="H366:I367">H367</f>
        <v>3.5</v>
      </c>
      <c r="I366" s="261">
        <f t="shared" si="201"/>
        <v>3.5</v>
      </c>
      <c r="L366" s="117"/>
    </row>
    <row r="367" spans="1:12" ht="31.5">
      <c r="A367" s="25" t="s">
        <v>148</v>
      </c>
      <c r="B367" s="16">
        <v>903</v>
      </c>
      <c r="C367" s="20" t="s">
        <v>316</v>
      </c>
      <c r="D367" s="20" t="s">
        <v>135</v>
      </c>
      <c r="E367" s="20" t="s">
        <v>1270</v>
      </c>
      <c r="F367" s="20" t="s">
        <v>149</v>
      </c>
      <c r="G367" s="26">
        <f>G368</f>
        <v>3.5</v>
      </c>
      <c r="H367" s="261">
        <f t="shared" si="201"/>
        <v>3.5</v>
      </c>
      <c r="I367" s="261">
        <f t="shared" si="201"/>
        <v>3.5</v>
      </c>
      <c r="L367" s="117"/>
    </row>
    <row r="368" spans="1:12" ht="31.5">
      <c r="A368" s="25" t="s">
        <v>150</v>
      </c>
      <c r="B368" s="16">
        <v>903</v>
      </c>
      <c r="C368" s="20" t="s">
        <v>316</v>
      </c>
      <c r="D368" s="20" t="s">
        <v>135</v>
      </c>
      <c r="E368" s="20" t="s">
        <v>1270</v>
      </c>
      <c r="F368" s="20" t="s">
        <v>151</v>
      </c>
      <c r="G368" s="26">
        <v>3.5</v>
      </c>
      <c r="H368" s="261">
        <v>3.5</v>
      </c>
      <c r="I368" s="261">
        <v>3.5</v>
      </c>
      <c r="J368" s="273"/>
      <c r="L368" s="117"/>
    </row>
    <row r="369" spans="1:12" ht="15.75">
      <c r="A369" s="25" t="s">
        <v>346</v>
      </c>
      <c r="B369" s="16">
        <v>903</v>
      </c>
      <c r="C369" s="20" t="s">
        <v>316</v>
      </c>
      <c r="D369" s="20" t="s">
        <v>135</v>
      </c>
      <c r="E369" s="20" t="s">
        <v>1271</v>
      </c>
      <c r="F369" s="20"/>
      <c r="G369" s="26">
        <f>G370</f>
        <v>69.1</v>
      </c>
      <c r="H369" s="261">
        <f aca="true" t="shared" si="202" ref="H369:I370">H370</f>
        <v>69.1</v>
      </c>
      <c r="I369" s="261">
        <f t="shared" si="202"/>
        <v>69.1</v>
      </c>
      <c r="L369" s="117"/>
    </row>
    <row r="370" spans="1:12" ht="31.5">
      <c r="A370" s="25" t="s">
        <v>148</v>
      </c>
      <c r="B370" s="16">
        <v>903</v>
      </c>
      <c r="C370" s="20" t="s">
        <v>316</v>
      </c>
      <c r="D370" s="20" t="s">
        <v>135</v>
      </c>
      <c r="E370" s="20" t="s">
        <v>1271</v>
      </c>
      <c r="F370" s="20" t="s">
        <v>149</v>
      </c>
      <c r="G370" s="26">
        <f>G371</f>
        <v>69.1</v>
      </c>
      <c r="H370" s="261">
        <f t="shared" si="202"/>
        <v>69.1</v>
      </c>
      <c r="I370" s="261">
        <f t="shared" si="202"/>
        <v>69.1</v>
      </c>
      <c r="L370" s="117"/>
    </row>
    <row r="371" spans="1:12" ht="31.5">
      <c r="A371" s="25" t="s">
        <v>150</v>
      </c>
      <c r="B371" s="16">
        <v>903</v>
      </c>
      <c r="C371" s="20" t="s">
        <v>316</v>
      </c>
      <c r="D371" s="20" t="s">
        <v>135</v>
      </c>
      <c r="E371" s="20" t="s">
        <v>1271</v>
      </c>
      <c r="F371" s="39">
        <v>240</v>
      </c>
      <c r="G371" s="26">
        <v>69.1</v>
      </c>
      <c r="H371" s="261">
        <v>69.1</v>
      </c>
      <c r="I371" s="261">
        <v>69.1</v>
      </c>
      <c r="L371" s="117"/>
    </row>
    <row r="372" spans="1:12" ht="36" customHeight="1">
      <c r="A372" s="318" t="s">
        <v>976</v>
      </c>
      <c r="B372" s="19">
        <v>903</v>
      </c>
      <c r="C372" s="24" t="s">
        <v>316</v>
      </c>
      <c r="D372" s="24" t="s">
        <v>135</v>
      </c>
      <c r="E372" s="24" t="s">
        <v>1272</v>
      </c>
      <c r="F372" s="24"/>
      <c r="G372" s="21">
        <f>G373+G376</f>
        <v>1273.7</v>
      </c>
      <c r="H372" s="272" t="e">
        <f>H373+H376+#REF!</f>
        <v>#REF!</v>
      </c>
      <c r="I372" s="272" t="e">
        <f>I373+I376+#REF!</f>
        <v>#REF!</v>
      </c>
      <c r="L372" s="117"/>
    </row>
    <row r="373" spans="1:12" s="253" customFormat="1" ht="63">
      <c r="A373" s="25" t="s">
        <v>348</v>
      </c>
      <c r="B373" s="16">
        <v>903</v>
      </c>
      <c r="C373" s="20" t="s">
        <v>316</v>
      </c>
      <c r="D373" s="20" t="s">
        <v>135</v>
      </c>
      <c r="E373" s="20" t="s">
        <v>1273</v>
      </c>
      <c r="F373" s="20"/>
      <c r="G373" s="26">
        <f>G374</f>
        <v>273.7</v>
      </c>
      <c r="H373" s="261">
        <f aca="true" t="shared" si="203" ref="H373:I374">H374</f>
        <v>273.7</v>
      </c>
      <c r="I373" s="261">
        <f t="shared" si="203"/>
        <v>273.7</v>
      </c>
      <c r="J373" s="228"/>
      <c r="K373" s="117"/>
      <c r="L373" s="117"/>
    </row>
    <row r="374" spans="1:12" s="253" customFormat="1" ht="63">
      <c r="A374" s="25" t="s">
        <v>144</v>
      </c>
      <c r="B374" s="16">
        <v>903</v>
      </c>
      <c r="C374" s="20" t="s">
        <v>316</v>
      </c>
      <c r="D374" s="20" t="s">
        <v>135</v>
      </c>
      <c r="E374" s="20" t="s">
        <v>1273</v>
      </c>
      <c r="F374" s="20" t="s">
        <v>145</v>
      </c>
      <c r="G374" s="26">
        <f>G375</f>
        <v>273.7</v>
      </c>
      <c r="H374" s="261">
        <f t="shared" si="203"/>
        <v>273.7</v>
      </c>
      <c r="I374" s="261">
        <f t="shared" si="203"/>
        <v>273.7</v>
      </c>
      <c r="J374" s="228"/>
      <c r="K374" s="117"/>
      <c r="L374" s="117"/>
    </row>
    <row r="375" spans="1:12" s="253" customFormat="1" ht="15.75">
      <c r="A375" s="25" t="s">
        <v>225</v>
      </c>
      <c r="B375" s="16">
        <v>903</v>
      </c>
      <c r="C375" s="20" t="s">
        <v>316</v>
      </c>
      <c r="D375" s="20" t="s">
        <v>135</v>
      </c>
      <c r="E375" s="20" t="s">
        <v>1273</v>
      </c>
      <c r="F375" s="20" t="s">
        <v>226</v>
      </c>
      <c r="G375" s="26">
        <v>273.7</v>
      </c>
      <c r="H375" s="261">
        <v>273.7</v>
      </c>
      <c r="I375" s="261">
        <v>273.7</v>
      </c>
      <c r="J375" s="228"/>
      <c r="K375" s="117"/>
      <c r="L375" s="117"/>
    </row>
    <row r="376" spans="1:12" s="253" customFormat="1" ht="78.75">
      <c r="A376" s="32" t="s">
        <v>310</v>
      </c>
      <c r="B376" s="16">
        <v>903</v>
      </c>
      <c r="C376" s="20" t="s">
        <v>316</v>
      </c>
      <c r="D376" s="20" t="s">
        <v>135</v>
      </c>
      <c r="E376" s="20" t="s">
        <v>1274</v>
      </c>
      <c r="F376" s="20"/>
      <c r="G376" s="26">
        <f>G377</f>
        <v>1000</v>
      </c>
      <c r="H376" s="261">
        <f aca="true" t="shared" si="204" ref="H376:I377">H377</f>
        <v>1673.7</v>
      </c>
      <c r="I376" s="261">
        <f t="shared" si="204"/>
        <v>1673.7</v>
      </c>
      <c r="J376" s="228"/>
      <c r="K376" s="117"/>
      <c r="L376" s="117"/>
    </row>
    <row r="377" spans="1:12" s="253" customFormat="1" ht="63">
      <c r="A377" s="25" t="s">
        <v>144</v>
      </c>
      <c r="B377" s="16">
        <v>903</v>
      </c>
      <c r="C377" s="20" t="s">
        <v>316</v>
      </c>
      <c r="D377" s="20" t="s">
        <v>135</v>
      </c>
      <c r="E377" s="20" t="s">
        <v>1274</v>
      </c>
      <c r="F377" s="20" t="s">
        <v>145</v>
      </c>
      <c r="G377" s="26">
        <f>G378</f>
        <v>1000</v>
      </c>
      <c r="H377" s="261">
        <f t="shared" si="204"/>
        <v>1673.7</v>
      </c>
      <c r="I377" s="261">
        <f t="shared" si="204"/>
        <v>1673.7</v>
      </c>
      <c r="J377" s="228"/>
      <c r="K377" s="117"/>
      <c r="L377" s="117"/>
    </row>
    <row r="378" spans="1:12" ht="15.75">
      <c r="A378" s="25" t="s">
        <v>225</v>
      </c>
      <c r="B378" s="16">
        <v>903</v>
      </c>
      <c r="C378" s="20" t="s">
        <v>316</v>
      </c>
      <c r="D378" s="20" t="s">
        <v>135</v>
      </c>
      <c r="E378" s="20" t="s">
        <v>1274</v>
      </c>
      <c r="F378" s="20" t="s">
        <v>226</v>
      </c>
      <c r="G378" s="26">
        <v>1000</v>
      </c>
      <c r="H378" s="261">
        <v>1673.7</v>
      </c>
      <c r="I378" s="261">
        <v>1673.7</v>
      </c>
      <c r="L378" s="117"/>
    </row>
    <row r="379" spans="1:12" ht="47.25">
      <c r="A379" s="35" t="s">
        <v>807</v>
      </c>
      <c r="B379" s="19">
        <v>903</v>
      </c>
      <c r="C379" s="24" t="s">
        <v>316</v>
      </c>
      <c r="D379" s="24" t="s">
        <v>135</v>
      </c>
      <c r="E379" s="24" t="s">
        <v>341</v>
      </c>
      <c r="F379" s="24"/>
      <c r="G379" s="21">
        <f>G381</f>
        <v>100</v>
      </c>
      <c r="H379" s="272">
        <f aca="true" t="shared" si="205" ref="H379:I379">H381</f>
        <v>0</v>
      </c>
      <c r="I379" s="272">
        <f t="shared" si="205"/>
        <v>0</v>
      </c>
      <c r="L379" s="117"/>
    </row>
    <row r="380" spans="1:12" s="253" customFormat="1" ht="47.25">
      <c r="A380" s="35" t="s">
        <v>1202</v>
      </c>
      <c r="B380" s="19">
        <v>903</v>
      </c>
      <c r="C380" s="24" t="s">
        <v>316</v>
      </c>
      <c r="D380" s="24" t="s">
        <v>135</v>
      </c>
      <c r="E380" s="24" t="s">
        <v>1033</v>
      </c>
      <c r="F380" s="24"/>
      <c r="G380" s="21">
        <f>G383</f>
        <v>100</v>
      </c>
      <c r="H380" s="272">
        <f aca="true" t="shared" si="206" ref="H380:I380">H383</f>
        <v>0</v>
      </c>
      <c r="I380" s="272">
        <f t="shared" si="206"/>
        <v>0</v>
      </c>
      <c r="J380" s="228"/>
      <c r="K380" s="117"/>
      <c r="L380" s="117"/>
    </row>
    <row r="381" spans="1:12" ht="47.25">
      <c r="A381" s="32" t="s">
        <v>1290</v>
      </c>
      <c r="B381" s="16">
        <v>903</v>
      </c>
      <c r="C381" s="20" t="s">
        <v>316</v>
      </c>
      <c r="D381" s="20" t="s">
        <v>135</v>
      </c>
      <c r="E381" s="20" t="s">
        <v>1204</v>
      </c>
      <c r="F381" s="20"/>
      <c r="G381" s="26">
        <f>G382</f>
        <v>100</v>
      </c>
      <c r="H381" s="261">
        <f aca="true" t="shared" si="207" ref="H381:I382">H382</f>
        <v>0</v>
      </c>
      <c r="I381" s="261">
        <f t="shared" si="207"/>
        <v>0</v>
      </c>
      <c r="L381" s="117"/>
    </row>
    <row r="382" spans="1:12" ht="31.5">
      <c r="A382" s="25" t="s">
        <v>148</v>
      </c>
      <c r="B382" s="16">
        <v>903</v>
      </c>
      <c r="C382" s="20" t="s">
        <v>316</v>
      </c>
      <c r="D382" s="20" t="s">
        <v>135</v>
      </c>
      <c r="E382" s="20" t="s">
        <v>1204</v>
      </c>
      <c r="F382" s="20" t="s">
        <v>149</v>
      </c>
      <c r="G382" s="26">
        <f>G383</f>
        <v>100</v>
      </c>
      <c r="H382" s="261">
        <f t="shared" si="207"/>
        <v>0</v>
      </c>
      <c r="I382" s="261">
        <f t="shared" si="207"/>
        <v>0</v>
      </c>
      <c r="L382" s="117"/>
    </row>
    <row r="383" spans="1:12" ht="31.5">
      <c r="A383" s="25" t="s">
        <v>150</v>
      </c>
      <c r="B383" s="16">
        <v>903</v>
      </c>
      <c r="C383" s="20" t="s">
        <v>316</v>
      </c>
      <c r="D383" s="20" t="s">
        <v>135</v>
      </c>
      <c r="E383" s="20" t="s">
        <v>1204</v>
      </c>
      <c r="F383" s="20" t="s">
        <v>151</v>
      </c>
      <c r="G383" s="26">
        <v>100</v>
      </c>
      <c r="H383" s="261">
        <v>0</v>
      </c>
      <c r="I383" s="261">
        <v>0</v>
      </c>
      <c r="L383" s="117"/>
    </row>
    <row r="384" spans="1:12" ht="47.25">
      <c r="A384" s="42" t="s">
        <v>1188</v>
      </c>
      <c r="B384" s="19">
        <v>903</v>
      </c>
      <c r="C384" s="24" t="s">
        <v>316</v>
      </c>
      <c r="D384" s="24" t="s">
        <v>135</v>
      </c>
      <c r="E384" s="24" t="s">
        <v>730</v>
      </c>
      <c r="F384" s="324"/>
      <c r="G384" s="21">
        <f>G385</f>
        <v>793.2</v>
      </c>
      <c r="H384" s="272">
        <f aca="true" t="shared" si="208" ref="H384:I387">H385</f>
        <v>793.2</v>
      </c>
      <c r="I384" s="272">
        <f t="shared" si="208"/>
        <v>793.2</v>
      </c>
      <c r="J384" s="228" t="s">
        <v>1189</v>
      </c>
      <c r="L384" s="117"/>
    </row>
    <row r="385" spans="1:12" s="253" customFormat="1" ht="47.25">
      <c r="A385" s="42" t="s">
        <v>954</v>
      </c>
      <c r="B385" s="19">
        <v>903</v>
      </c>
      <c r="C385" s="24" t="s">
        <v>316</v>
      </c>
      <c r="D385" s="24" t="s">
        <v>135</v>
      </c>
      <c r="E385" s="24" t="s">
        <v>952</v>
      </c>
      <c r="F385" s="324"/>
      <c r="G385" s="21">
        <f>G386</f>
        <v>793.2</v>
      </c>
      <c r="H385" s="272">
        <f t="shared" si="208"/>
        <v>793.2</v>
      </c>
      <c r="I385" s="272">
        <f t="shared" si="208"/>
        <v>793.2</v>
      </c>
      <c r="J385" s="228"/>
      <c r="K385" s="117"/>
      <c r="L385" s="117"/>
    </row>
    <row r="386" spans="1:12" ht="31.5">
      <c r="A386" s="107" t="s">
        <v>1198</v>
      </c>
      <c r="B386" s="16">
        <v>903</v>
      </c>
      <c r="C386" s="20" t="s">
        <v>316</v>
      </c>
      <c r="D386" s="20" t="s">
        <v>135</v>
      </c>
      <c r="E386" s="20" t="s">
        <v>953</v>
      </c>
      <c r="F386" s="33"/>
      <c r="G386" s="26">
        <f>G387</f>
        <v>793.2</v>
      </c>
      <c r="H386" s="261">
        <f t="shared" si="208"/>
        <v>793.2</v>
      </c>
      <c r="I386" s="261">
        <f t="shared" si="208"/>
        <v>793.2</v>
      </c>
      <c r="L386" s="117"/>
    </row>
    <row r="387" spans="1:12" ht="31.5">
      <c r="A387" s="25" t="s">
        <v>148</v>
      </c>
      <c r="B387" s="16">
        <v>903</v>
      </c>
      <c r="C387" s="20" t="s">
        <v>316</v>
      </c>
      <c r="D387" s="20" t="s">
        <v>135</v>
      </c>
      <c r="E387" s="20" t="s">
        <v>953</v>
      </c>
      <c r="F387" s="33" t="s">
        <v>149</v>
      </c>
      <c r="G387" s="26">
        <f>G388</f>
        <v>793.2</v>
      </c>
      <c r="H387" s="261">
        <f t="shared" si="208"/>
        <v>793.2</v>
      </c>
      <c r="I387" s="261">
        <f t="shared" si="208"/>
        <v>793.2</v>
      </c>
      <c r="L387" s="117"/>
    </row>
    <row r="388" spans="1:12" ht="31.5">
      <c r="A388" s="25" t="s">
        <v>150</v>
      </c>
      <c r="B388" s="16">
        <v>903</v>
      </c>
      <c r="C388" s="20" t="s">
        <v>316</v>
      </c>
      <c r="D388" s="20" t="s">
        <v>135</v>
      </c>
      <c r="E388" s="20" t="s">
        <v>953</v>
      </c>
      <c r="F388" s="33" t="s">
        <v>151</v>
      </c>
      <c r="G388" s="26">
        <v>793.2</v>
      </c>
      <c r="H388" s="261">
        <v>793.2</v>
      </c>
      <c r="I388" s="261">
        <v>793.2</v>
      </c>
      <c r="L388" s="117"/>
    </row>
    <row r="389" spans="1:12" ht="15.75">
      <c r="A389" s="23" t="s">
        <v>350</v>
      </c>
      <c r="B389" s="19">
        <v>903</v>
      </c>
      <c r="C389" s="24" t="s">
        <v>316</v>
      </c>
      <c r="D389" s="24" t="s">
        <v>167</v>
      </c>
      <c r="E389" s="24"/>
      <c r="F389" s="24"/>
      <c r="G389" s="21">
        <f>G390+G400+G412</f>
        <v>19790.134</v>
      </c>
      <c r="H389" s="272">
        <f aca="true" t="shared" si="209" ref="H389:I389">H390+H400+H412</f>
        <v>19078.1</v>
      </c>
      <c r="I389" s="272">
        <f t="shared" si="209"/>
        <v>19078.1</v>
      </c>
      <c r="L389" s="117"/>
    </row>
    <row r="390" spans="1:12" s="253" customFormat="1" ht="31.5">
      <c r="A390" s="23" t="s">
        <v>995</v>
      </c>
      <c r="B390" s="19">
        <v>903</v>
      </c>
      <c r="C390" s="24" t="s">
        <v>316</v>
      </c>
      <c r="D390" s="24" t="s">
        <v>167</v>
      </c>
      <c r="E390" s="24" t="s">
        <v>909</v>
      </c>
      <c r="F390" s="24"/>
      <c r="G390" s="21">
        <f>G391</f>
        <v>7489.590999999999</v>
      </c>
      <c r="H390" s="272">
        <f aca="true" t="shared" si="210" ref="H390:I390">H391</f>
        <v>7186.8</v>
      </c>
      <c r="I390" s="272">
        <f t="shared" si="210"/>
        <v>7186.8</v>
      </c>
      <c r="J390" s="228"/>
      <c r="K390" s="117"/>
      <c r="L390" s="117"/>
    </row>
    <row r="391" spans="1:12" s="253" customFormat="1" ht="15.75">
      <c r="A391" s="23" t="s">
        <v>996</v>
      </c>
      <c r="B391" s="19">
        <v>903</v>
      </c>
      <c r="C391" s="24" t="s">
        <v>316</v>
      </c>
      <c r="D391" s="24" t="s">
        <v>167</v>
      </c>
      <c r="E391" s="24" t="s">
        <v>910</v>
      </c>
      <c r="F391" s="24"/>
      <c r="G391" s="21">
        <f>G392+G397</f>
        <v>7489.590999999999</v>
      </c>
      <c r="H391" s="272">
        <f aca="true" t="shared" si="211" ref="H391:I391">H392+H397</f>
        <v>7186.8</v>
      </c>
      <c r="I391" s="272">
        <f t="shared" si="211"/>
        <v>7186.8</v>
      </c>
      <c r="J391" s="228"/>
      <c r="K391" s="117"/>
      <c r="L391" s="117"/>
    </row>
    <row r="392" spans="1:12" s="253" customFormat="1" ht="31.5">
      <c r="A392" s="25" t="s">
        <v>972</v>
      </c>
      <c r="B392" s="16">
        <v>903</v>
      </c>
      <c r="C392" s="20" t="s">
        <v>316</v>
      </c>
      <c r="D392" s="20" t="s">
        <v>167</v>
      </c>
      <c r="E392" s="20" t="s">
        <v>911</v>
      </c>
      <c r="F392" s="20"/>
      <c r="G392" s="26">
        <f>G393+G395</f>
        <v>7339.590999999999</v>
      </c>
      <c r="H392" s="261">
        <f aca="true" t="shared" si="212" ref="H392:I392">H393+H395</f>
        <v>7186.8</v>
      </c>
      <c r="I392" s="261">
        <f t="shared" si="212"/>
        <v>7186.8</v>
      </c>
      <c r="J392" s="228"/>
      <c r="K392" s="117"/>
      <c r="L392" s="117"/>
    </row>
    <row r="393" spans="1:12" s="253" customFormat="1" ht="63">
      <c r="A393" s="25" t="s">
        <v>144</v>
      </c>
      <c r="B393" s="16">
        <v>903</v>
      </c>
      <c r="C393" s="20" t="s">
        <v>316</v>
      </c>
      <c r="D393" s="20" t="s">
        <v>167</v>
      </c>
      <c r="E393" s="20" t="s">
        <v>911</v>
      </c>
      <c r="F393" s="20" t="s">
        <v>145</v>
      </c>
      <c r="G393" s="26">
        <f>G394</f>
        <v>7339.590999999999</v>
      </c>
      <c r="H393" s="261">
        <f aca="true" t="shared" si="213" ref="H393:I393">H394</f>
        <v>7186.8</v>
      </c>
      <c r="I393" s="261">
        <f t="shared" si="213"/>
        <v>7186.8</v>
      </c>
      <c r="J393" s="228"/>
      <c r="K393" s="117"/>
      <c r="L393" s="117"/>
    </row>
    <row r="394" spans="1:12" s="253" customFormat="1" ht="31.5">
      <c r="A394" s="25" t="s">
        <v>146</v>
      </c>
      <c r="B394" s="16">
        <v>903</v>
      </c>
      <c r="C394" s="20" t="s">
        <v>316</v>
      </c>
      <c r="D394" s="20" t="s">
        <v>167</v>
      </c>
      <c r="E394" s="20" t="s">
        <v>911</v>
      </c>
      <c r="F394" s="20" t="s">
        <v>147</v>
      </c>
      <c r="G394" s="27">
        <f>7037*1.043</f>
        <v>7339.590999999999</v>
      </c>
      <c r="H394" s="262">
        <v>7186.8</v>
      </c>
      <c r="I394" s="262">
        <v>7186.8</v>
      </c>
      <c r="J394" s="361" t="s">
        <v>891</v>
      </c>
      <c r="K394" s="117">
        <v>1.043</v>
      </c>
      <c r="L394" s="117"/>
    </row>
    <row r="395" spans="1:12" s="253" customFormat="1" ht="31.5" hidden="1">
      <c r="A395" s="25" t="s">
        <v>148</v>
      </c>
      <c r="B395" s="16">
        <v>903</v>
      </c>
      <c r="C395" s="20" t="s">
        <v>316</v>
      </c>
      <c r="D395" s="20" t="s">
        <v>167</v>
      </c>
      <c r="E395" s="20" t="s">
        <v>911</v>
      </c>
      <c r="F395" s="20" t="s">
        <v>149</v>
      </c>
      <c r="G395" s="26">
        <f>G396</f>
        <v>0</v>
      </c>
      <c r="H395" s="261">
        <f aca="true" t="shared" si="214" ref="H395:I395">H396</f>
        <v>0</v>
      </c>
      <c r="I395" s="261">
        <f t="shared" si="214"/>
        <v>0</v>
      </c>
      <c r="J395" s="228"/>
      <c r="K395" s="117"/>
      <c r="L395" s="117"/>
    </row>
    <row r="396" spans="1:12" s="253" customFormat="1" ht="31.5" hidden="1">
      <c r="A396" s="25" t="s">
        <v>150</v>
      </c>
      <c r="B396" s="16">
        <v>903</v>
      </c>
      <c r="C396" s="20" t="s">
        <v>316</v>
      </c>
      <c r="D396" s="20" t="s">
        <v>167</v>
      </c>
      <c r="E396" s="20" t="s">
        <v>911</v>
      </c>
      <c r="F396" s="20" t="s">
        <v>151</v>
      </c>
      <c r="G396" s="26">
        <v>0</v>
      </c>
      <c r="H396" s="261">
        <v>0</v>
      </c>
      <c r="I396" s="261">
        <v>0</v>
      </c>
      <c r="J396" s="228"/>
      <c r="K396" s="117"/>
      <c r="L396" s="117"/>
    </row>
    <row r="397" spans="1:12" s="253" customFormat="1" ht="31.5">
      <c r="A397" s="25" t="s">
        <v>889</v>
      </c>
      <c r="B397" s="16">
        <v>903</v>
      </c>
      <c r="C397" s="20" t="s">
        <v>316</v>
      </c>
      <c r="D397" s="20" t="s">
        <v>167</v>
      </c>
      <c r="E397" s="20" t="s">
        <v>913</v>
      </c>
      <c r="F397" s="20"/>
      <c r="G397" s="26">
        <f>G398</f>
        <v>150</v>
      </c>
      <c r="H397" s="261">
        <f aca="true" t="shared" si="215" ref="H397:I398">H398</f>
        <v>0</v>
      </c>
      <c r="I397" s="261">
        <f t="shared" si="215"/>
        <v>0</v>
      </c>
      <c r="J397" s="228"/>
      <c r="K397" s="117"/>
      <c r="L397" s="117"/>
    </row>
    <row r="398" spans="1:12" s="253" customFormat="1" ht="63">
      <c r="A398" s="25" t="s">
        <v>144</v>
      </c>
      <c r="B398" s="16">
        <v>903</v>
      </c>
      <c r="C398" s="20" t="s">
        <v>316</v>
      </c>
      <c r="D398" s="20" t="s">
        <v>167</v>
      </c>
      <c r="E398" s="20" t="s">
        <v>913</v>
      </c>
      <c r="F398" s="20" t="s">
        <v>145</v>
      </c>
      <c r="G398" s="26">
        <f>G399</f>
        <v>150</v>
      </c>
      <c r="H398" s="261">
        <f t="shared" si="215"/>
        <v>0</v>
      </c>
      <c r="I398" s="261">
        <f t="shared" si="215"/>
        <v>0</v>
      </c>
      <c r="J398" s="228"/>
      <c r="K398" s="117"/>
      <c r="L398" s="117"/>
    </row>
    <row r="399" spans="1:12" s="253" customFormat="1" ht="31.5">
      <c r="A399" s="25" t="s">
        <v>146</v>
      </c>
      <c r="B399" s="16">
        <v>903</v>
      </c>
      <c r="C399" s="20" t="s">
        <v>316</v>
      </c>
      <c r="D399" s="20" t="s">
        <v>167</v>
      </c>
      <c r="E399" s="20" t="s">
        <v>913</v>
      </c>
      <c r="F399" s="20" t="s">
        <v>147</v>
      </c>
      <c r="G399" s="26">
        <v>150</v>
      </c>
      <c r="H399" s="308"/>
      <c r="I399" s="308"/>
      <c r="J399" s="228"/>
      <c r="K399" s="117"/>
      <c r="L399" s="117"/>
    </row>
    <row r="400" spans="1:12" s="253" customFormat="1" ht="15.75">
      <c r="A400" s="23" t="s">
        <v>1006</v>
      </c>
      <c r="B400" s="19">
        <v>903</v>
      </c>
      <c r="C400" s="24" t="s">
        <v>316</v>
      </c>
      <c r="D400" s="24" t="s">
        <v>167</v>
      </c>
      <c r="E400" s="24" t="s">
        <v>917</v>
      </c>
      <c r="F400" s="24"/>
      <c r="G400" s="21">
        <f>G401</f>
        <v>12040.543</v>
      </c>
      <c r="H400" s="272">
        <f aca="true" t="shared" si="216" ref="H400:I400">H401</f>
        <v>11631.3</v>
      </c>
      <c r="I400" s="272">
        <f t="shared" si="216"/>
        <v>11631.3</v>
      </c>
      <c r="J400" s="228"/>
      <c r="K400" s="117"/>
      <c r="L400" s="117"/>
    </row>
    <row r="401" spans="1:12" s="253" customFormat="1" ht="31.5" customHeight="1">
      <c r="A401" s="23" t="s">
        <v>1009</v>
      </c>
      <c r="B401" s="19">
        <v>903</v>
      </c>
      <c r="C401" s="24" t="s">
        <v>316</v>
      </c>
      <c r="D401" s="24" t="s">
        <v>167</v>
      </c>
      <c r="E401" s="24" t="s">
        <v>992</v>
      </c>
      <c r="F401" s="24"/>
      <c r="G401" s="21">
        <f>G402+G409</f>
        <v>12040.543</v>
      </c>
      <c r="H401" s="272">
        <f aca="true" t="shared" si="217" ref="H401:I401">H402+H409</f>
        <v>11631.3</v>
      </c>
      <c r="I401" s="272">
        <f t="shared" si="217"/>
        <v>11631.3</v>
      </c>
      <c r="J401" s="228"/>
      <c r="K401" s="117"/>
      <c r="L401" s="117"/>
    </row>
    <row r="402" spans="1:12" s="253" customFormat="1" ht="30.75" customHeight="1">
      <c r="A402" s="25" t="s">
        <v>979</v>
      </c>
      <c r="B402" s="16">
        <v>903</v>
      </c>
      <c r="C402" s="20" t="s">
        <v>316</v>
      </c>
      <c r="D402" s="20" t="s">
        <v>167</v>
      </c>
      <c r="E402" s="20" t="s">
        <v>993</v>
      </c>
      <c r="F402" s="20"/>
      <c r="G402" s="26">
        <f>G403+G405+G407</f>
        <v>11860.543</v>
      </c>
      <c r="H402" s="261">
        <f aca="true" t="shared" si="218" ref="H402:I402">H403+H405+H407</f>
        <v>11631.3</v>
      </c>
      <c r="I402" s="261">
        <f t="shared" si="218"/>
        <v>11631.3</v>
      </c>
      <c r="J402" s="228"/>
      <c r="K402" s="117"/>
      <c r="L402" s="117"/>
    </row>
    <row r="403" spans="1:12" s="253" customFormat="1" ht="63">
      <c r="A403" s="25" t="s">
        <v>144</v>
      </c>
      <c r="B403" s="16">
        <v>903</v>
      </c>
      <c r="C403" s="20" t="s">
        <v>316</v>
      </c>
      <c r="D403" s="20" t="s">
        <v>167</v>
      </c>
      <c r="E403" s="20" t="s">
        <v>993</v>
      </c>
      <c r="F403" s="20" t="s">
        <v>145</v>
      </c>
      <c r="G403" s="26">
        <f>G404</f>
        <v>9909.543</v>
      </c>
      <c r="H403" s="261">
        <f aca="true" t="shared" si="219" ref="H403:I403">H404</f>
        <v>9680.8</v>
      </c>
      <c r="I403" s="261">
        <f t="shared" si="219"/>
        <v>9680.8</v>
      </c>
      <c r="J403" s="228"/>
      <c r="K403" s="117"/>
      <c r="L403" s="117"/>
    </row>
    <row r="404" spans="1:12" s="253" customFormat="1" ht="33" customHeight="1">
      <c r="A404" s="25" t="s">
        <v>359</v>
      </c>
      <c r="B404" s="16">
        <v>903</v>
      </c>
      <c r="C404" s="20" t="s">
        <v>316</v>
      </c>
      <c r="D404" s="20" t="s">
        <v>167</v>
      </c>
      <c r="E404" s="20" t="s">
        <v>993</v>
      </c>
      <c r="F404" s="20" t="s">
        <v>226</v>
      </c>
      <c r="G404" s="27">
        <f>9501*1.043</f>
        <v>9909.543</v>
      </c>
      <c r="H404" s="262">
        <v>9680.8</v>
      </c>
      <c r="I404" s="262">
        <v>9680.8</v>
      </c>
      <c r="J404" s="361" t="s">
        <v>891</v>
      </c>
      <c r="K404" s="117">
        <v>1.043</v>
      </c>
      <c r="L404" s="117"/>
    </row>
    <row r="405" spans="1:12" s="253" customFormat="1" ht="31.5">
      <c r="A405" s="25" t="s">
        <v>148</v>
      </c>
      <c r="B405" s="16">
        <v>903</v>
      </c>
      <c r="C405" s="20" t="s">
        <v>316</v>
      </c>
      <c r="D405" s="20" t="s">
        <v>167</v>
      </c>
      <c r="E405" s="20" t="s">
        <v>993</v>
      </c>
      <c r="F405" s="20" t="s">
        <v>149</v>
      </c>
      <c r="G405" s="26">
        <f>G406</f>
        <v>1937</v>
      </c>
      <c r="H405" s="261">
        <f aca="true" t="shared" si="220" ref="H405:I405">H406</f>
        <v>1936.4</v>
      </c>
      <c r="I405" s="261">
        <f t="shared" si="220"/>
        <v>1936.4</v>
      </c>
      <c r="J405" s="228"/>
      <c r="K405" s="117"/>
      <c r="L405" s="117"/>
    </row>
    <row r="406" spans="1:12" s="253" customFormat="1" ht="31.5">
      <c r="A406" s="25" t="s">
        <v>150</v>
      </c>
      <c r="B406" s="16">
        <v>903</v>
      </c>
      <c r="C406" s="20" t="s">
        <v>316</v>
      </c>
      <c r="D406" s="20" t="s">
        <v>167</v>
      </c>
      <c r="E406" s="20" t="s">
        <v>993</v>
      </c>
      <c r="F406" s="20" t="s">
        <v>151</v>
      </c>
      <c r="G406" s="27">
        <f>1936.4+0.6</f>
        <v>1937</v>
      </c>
      <c r="H406" s="262">
        <v>1936.4</v>
      </c>
      <c r="I406" s="262">
        <v>1936.4</v>
      </c>
      <c r="J406" s="228"/>
      <c r="K406" s="117"/>
      <c r="L406" s="117"/>
    </row>
    <row r="407" spans="1:12" s="253" customFormat="1" ht="15.75">
      <c r="A407" s="25" t="s">
        <v>152</v>
      </c>
      <c r="B407" s="16">
        <v>903</v>
      </c>
      <c r="C407" s="20" t="s">
        <v>316</v>
      </c>
      <c r="D407" s="20" t="s">
        <v>167</v>
      </c>
      <c r="E407" s="20" t="s">
        <v>993</v>
      </c>
      <c r="F407" s="20" t="s">
        <v>162</v>
      </c>
      <c r="G407" s="26">
        <f>G408</f>
        <v>14</v>
      </c>
      <c r="H407" s="261">
        <f aca="true" t="shared" si="221" ref="H407:I407">H408</f>
        <v>14.1</v>
      </c>
      <c r="I407" s="261">
        <f t="shared" si="221"/>
        <v>14.1</v>
      </c>
      <c r="J407" s="228"/>
      <c r="K407" s="117"/>
      <c r="L407" s="117"/>
    </row>
    <row r="408" spans="1:12" s="253" customFormat="1" ht="15.75">
      <c r="A408" s="25" t="s">
        <v>585</v>
      </c>
      <c r="B408" s="16">
        <v>903</v>
      </c>
      <c r="C408" s="20" t="s">
        <v>316</v>
      </c>
      <c r="D408" s="20" t="s">
        <v>167</v>
      </c>
      <c r="E408" s="20" t="s">
        <v>993</v>
      </c>
      <c r="F408" s="20" t="s">
        <v>155</v>
      </c>
      <c r="G408" s="26">
        <v>14</v>
      </c>
      <c r="H408" s="261">
        <v>14.1</v>
      </c>
      <c r="I408" s="261">
        <v>14.1</v>
      </c>
      <c r="J408" s="228"/>
      <c r="K408" s="117"/>
      <c r="L408" s="117"/>
    </row>
    <row r="409" spans="1:12" s="253" customFormat="1" ht="31.5">
      <c r="A409" s="25" t="s">
        <v>889</v>
      </c>
      <c r="B409" s="16">
        <v>903</v>
      </c>
      <c r="C409" s="20" t="s">
        <v>316</v>
      </c>
      <c r="D409" s="20" t="s">
        <v>167</v>
      </c>
      <c r="E409" s="20" t="s">
        <v>994</v>
      </c>
      <c r="F409" s="20"/>
      <c r="G409" s="26">
        <f>G410</f>
        <v>180</v>
      </c>
      <c r="H409" s="261">
        <f aca="true" t="shared" si="222" ref="H409:I410">H410</f>
        <v>0</v>
      </c>
      <c r="I409" s="261">
        <f t="shared" si="222"/>
        <v>0</v>
      </c>
      <c r="J409" s="228"/>
      <c r="K409" s="117"/>
      <c r="L409" s="117"/>
    </row>
    <row r="410" spans="1:12" s="253" customFormat="1" ht="63">
      <c r="A410" s="25" t="s">
        <v>144</v>
      </c>
      <c r="B410" s="16">
        <v>903</v>
      </c>
      <c r="C410" s="20" t="s">
        <v>316</v>
      </c>
      <c r="D410" s="20" t="s">
        <v>167</v>
      </c>
      <c r="E410" s="20" t="s">
        <v>994</v>
      </c>
      <c r="F410" s="20" t="s">
        <v>145</v>
      </c>
      <c r="G410" s="26">
        <f>G411</f>
        <v>180</v>
      </c>
      <c r="H410" s="261">
        <f t="shared" si="222"/>
        <v>0</v>
      </c>
      <c r="I410" s="261">
        <f t="shared" si="222"/>
        <v>0</v>
      </c>
      <c r="J410" s="228"/>
      <c r="K410" s="117"/>
      <c r="L410" s="117"/>
    </row>
    <row r="411" spans="1:12" s="253" customFormat="1" ht="15.75">
      <c r="A411" s="25" t="s">
        <v>359</v>
      </c>
      <c r="B411" s="16">
        <v>903</v>
      </c>
      <c r="C411" s="20" t="s">
        <v>316</v>
      </c>
      <c r="D411" s="20" t="s">
        <v>167</v>
      </c>
      <c r="E411" s="20" t="s">
        <v>994</v>
      </c>
      <c r="F411" s="20" t="s">
        <v>226</v>
      </c>
      <c r="G411" s="26">
        <v>180</v>
      </c>
      <c r="H411" s="308"/>
      <c r="I411" s="308"/>
      <c r="J411" s="228"/>
      <c r="K411" s="117"/>
      <c r="L411" s="117"/>
    </row>
    <row r="412" spans="1:12" ht="47.25">
      <c r="A412" s="23" t="s">
        <v>360</v>
      </c>
      <c r="B412" s="19">
        <v>903</v>
      </c>
      <c r="C412" s="24" t="s">
        <v>316</v>
      </c>
      <c r="D412" s="24" t="s">
        <v>167</v>
      </c>
      <c r="E412" s="24" t="s">
        <v>361</v>
      </c>
      <c r="F412" s="24"/>
      <c r="G412" s="21">
        <f>G413</f>
        <v>260</v>
      </c>
      <c r="H412" s="272">
        <f aca="true" t="shared" si="223" ref="H412:I416">H413</f>
        <v>260</v>
      </c>
      <c r="I412" s="272">
        <f t="shared" si="223"/>
        <v>260</v>
      </c>
      <c r="L412" s="117"/>
    </row>
    <row r="413" spans="1:12" ht="47.25">
      <c r="A413" s="23" t="s">
        <v>381</v>
      </c>
      <c r="B413" s="19">
        <v>903</v>
      </c>
      <c r="C413" s="24" t="s">
        <v>316</v>
      </c>
      <c r="D413" s="24" t="s">
        <v>167</v>
      </c>
      <c r="E413" s="24" t="s">
        <v>382</v>
      </c>
      <c r="F413" s="24"/>
      <c r="G413" s="21">
        <f>G414</f>
        <v>260</v>
      </c>
      <c r="H413" s="272">
        <f t="shared" si="223"/>
        <v>260</v>
      </c>
      <c r="I413" s="272">
        <f t="shared" si="223"/>
        <v>260</v>
      </c>
      <c r="L413" s="117"/>
    </row>
    <row r="414" spans="1:12" s="253" customFormat="1" ht="31.5">
      <c r="A414" s="23" t="s">
        <v>1155</v>
      </c>
      <c r="B414" s="19">
        <v>903</v>
      </c>
      <c r="C414" s="24" t="s">
        <v>316</v>
      </c>
      <c r="D414" s="24" t="s">
        <v>167</v>
      </c>
      <c r="E414" s="24" t="s">
        <v>971</v>
      </c>
      <c r="F414" s="24"/>
      <c r="G414" s="21">
        <f>G415</f>
        <v>260</v>
      </c>
      <c r="H414" s="272">
        <f t="shared" si="223"/>
        <v>260</v>
      </c>
      <c r="I414" s="272">
        <f t="shared" si="223"/>
        <v>260</v>
      </c>
      <c r="J414" s="228"/>
      <c r="K414" s="117"/>
      <c r="L414" s="117"/>
    </row>
    <row r="415" spans="1:12" ht="15.75">
      <c r="A415" s="25" t="s">
        <v>1154</v>
      </c>
      <c r="B415" s="16">
        <v>903</v>
      </c>
      <c r="C415" s="20" t="s">
        <v>316</v>
      </c>
      <c r="D415" s="20" t="s">
        <v>167</v>
      </c>
      <c r="E415" s="20" t="s">
        <v>1240</v>
      </c>
      <c r="F415" s="20"/>
      <c r="G415" s="26">
        <f>G416</f>
        <v>260</v>
      </c>
      <c r="H415" s="261">
        <f t="shared" si="223"/>
        <v>260</v>
      </c>
      <c r="I415" s="261">
        <f t="shared" si="223"/>
        <v>260</v>
      </c>
      <c r="L415" s="117"/>
    </row>
    <row r="416" spans="1:12" ht="31.5">
      <c r="A416" s="25" t="s">
        <v>148</v>
      </c>
      <c r="B416" s="16">
        <v>903</v>
      </c>
      <c r="C416" s="20" t="s">
        <v>316</v>
      </c>
      <c r="D416" s="20" t="s">
        <v>167</v>
      </c>
      <c r="E416" s="20" t="s">
        <v>1240</v>
      </c>
      <c r="F416" s="20" t="s">
        <v>149</v>
      </c>
      <c r="G416" s="26">
        <f>G417</f>
        <v>260</v>
      </c>
      <c r="H416" s="261">
        <f t="shared" si="223"/>
        <v>260</v>
      </c>
      <c r="I416" s="261">
        <f t="shared" si="223"/>
        <v>260</v>
      </c>
      <c r="L416" s="117"/>
    </row>
    <row r="417" spans="1:12" ht="31.5">
      <c r="A417" s="25" t="s">
        <v>150</v>
      </c>
      <c r="B417" s="16">
        <v>903</v>
      </c>
      <c r="C417" s="20" t="s">
        <v>316</v>
      </c>
      <c r="D417" s="20" t="s">
        <v>167</v>
      </c>
      <c r="E417" s="20" t="s">
        <v>1240</v>
      </c>
      <c r="F417" s="20" t="s">
        <v>151</v>
      </c>
      <c r="G417" s="26">
        <f>210+50</f>
        <v>260</v>
      </c>
      <c r="H417" s="261">
        <f aca="true" t="shared" si="224" ref="H417:I417">210+50</f>
        <v>260</v>
      </c>
      <c r="I417" s="261">
        <f t="shared" si="224"/>
        <v>260</v>
      </c>
      <c r="J417" s="273"/>
      <c r="L417" s="117"/>
    </row>
    <row r="418" spans="1:12" ht="15.75">
      <c r="A418" s="23" t="s">
        <v>260</v>
      </c>
      <c r="B418" s="19">
        <v>903</v>
      </c>
      <c r="C418" s="24" t="s">
        <v>261</v>
      </c>
      <c r="D418" s="24"/>
      <c r="E418" s="24"/>
      <c r="F418" s="24"/>
      <c r="G418" s="21">
        <f>G419</f>
        <v>2220</v>
      </c>
      <c r="H418" s="272">
        <f aca="true" t="shared" si="225" ref="H418:I419">H419</f>
        <v>2500.4</v>
      </c>
      <c r="I418" s="272">
        <f t="shared" si="225"/>
        <v>2500.4</v>
      </c>
      <c r="L418" s="117"/>
    </row>
    <row r="419" spans="1:12" ht="15.75">
      <c r="A419" s="23" t="s">
        <v>269</v>
      </c>
      <c r="B419" s="19">
        <v>903</v>
      </c>
      <c r="C419" s="24" t="s">
        <v>261</v>
      </c>
      <c r="D419" s="24" t="s">
        <v>232</v>
      </c>
      <c r="E419" s="24"/>
      <c r="F419" s="24"/>
      <c r="G419" s="21">
        <f>G420</f>
        <v>2220</v>
      </c>
      <c r="H419" s="272">
        <f t="shared" si="225"/>
        <v>2500.4</v>
      </c>
      <c r="I419" s="272">
        <f t="shared" si="225"/>
        <v>2500.4</v>
      </c>
      <c r="J419" s="275"/>
      <c r="K419" s="122"/>
      <c r="L419" s="122"/>
    </row>
    <row r="420" spans="1:14" ht="47.25">
      <c r="A420" s="23" t="s">
        <v>360</v>
      </c>
      <c r="B420" s="19">
        <v>903</v>
      </c>
      <c r="C420" s="24" t="s">
        <v>261</v>
      </c>
      <c r="D420" s="24" t="s">
        <v>232</v>
      </c>
      <c r="E420" s="24" t="s">
        <v>361</v>
      </c>
      <c r="F420" s="24"/>
      <c r="G420" s="21">
        <f>G421+G426+G431+G442</f>
        <v>2220</v>
      </c>
      <c r="H420" s="272">
        <f aca="true" t="shared" si="226" ref="H420:I420">H421+H426+H431+H442</f>
        <v>2500.4</v>
      </c>
      <c r="I420" s="272">
        <f t="shared" si="226"/>
        <v>2500.4</v>
      </c>
      <c r="J420" s="279"/>
      <c r="K420" s="209"/>
      <c r="L420" s="117"/>
      <c r="M420" s="124"/>
      <c r="N420" s="124"/>
    </row>
    <row r="421" spans="1:12" ht="15.75">
      <c r="A421" s="23" t="s">
        <v>369</v>
      </c>
      <c r="B421" s="19">
        <v>903</v>
      </c>
      <c r="C421" s="24" t="s">
        <v>261</v>
      </c>
      <c r="D421" s="24" t="s">
        <v>232</v>
      </c>
      <c r="E421" s="24" t="s">
        <v>370</v>
      </c>
      <c r="F421" s="24"/>
      <c r="G421" s="21">
        <f>G422</f>
        <v>150</v>
      </c>
      <c r="H421" s="272">
        <f aca="true" t="shared" si="227" ref="H421:I424">H422</f>
        <v>434.7</v>
      </c>
      <c r="I421" s="272">
        <f t="shared" si="227"/>
        <v>434.7</v>
      </c>
      <c r="J421" s="273"/>
      <c r="K421" s="245"/>
      <c r="L421" s="245"/>
    </row>
    <row r="422" spans="1:12" s="253" customFormat="1" ht="33.75" customHeight="1">
      <c r="A422" s="23" t="s">
        <v>981</v>
      </c>
      <c r="B422" s="19">
        <v>903</v>
      </c>
      <c r="C422" s="24" t="s">
        <v>261</v>
      </c>
      <c r="D422" s="24" t="s">
        <v>232</v>
      </c>
      <c r="E422" s="24" t="s">
        <v>980</v>
      </c>
      <c r="F422" s="24"/>
      <c r="G422" s="21">
        <f>G423</f>
        <v>150</v>
      </c>
      <c r="H422" s="272">
        <f t="shared" si="227"/>
        <v>434.7</v>
      </c>
      <c r="I422" s="272">
        <f t="shared" si="227"/>
        <v>434.7</v>
      </c>
      <c r="J422" s="283"/>
      <c r="K422" s="303"/>
      <c r="L422" s="303"/>
    </row>
    <row r="423" spans="1:12" ht="31.5">
      <c r="A423" s="25" t="s">
        <v>873</v>
      </c>
      <c r="B423" s="16">
        <v>903</v>
      </c>
      <c r="C423" s="20" t="s">
        <v>261</v>
      </c>
      <c r="D423" s="20" t="s">
        <v>232</v>
      </c>
      <c r="E423" s="20" t="s">
        <v>982</v>
      </c>
      <c r="F423" s="20"/>
      <c r="G423" s="26">
        <f>G424</f>
        <v>150</v>
      </c>
      <c r="H423" s="261">
        <f t="shared" si="227"/>
        <v>434.7</v>
      </c>
      <c r="I423" s="261">
        <f t="shared" si="227"/>
        <v>434.7</v>
      </c>
      <c r="L423" s="117"/>
    </row>
    <row r="424" spans="1:12" ht="15.75">
      <c r="A424" s="25" t="s">
        <v>265</v>
      </c>
      <c r="B424" s="16">
        <v>903</v>
      </c>
      <c r="C424" s="20" t="s">
        <v>261</v>
      </c>
      <c r="D424" s="20" t="s">
        <v>232</v>
      </c>
      <c r="E424" s="20" t="s">
        <v>982</v>
      </c>
      <c r="F424" s="20" t="s">
        <v>266</v>
      </c>
      <c r="G424" s="26">
        <f>G425</f>
        <v>150</v>
      </c>
      <c r="H424" s="261">
        <f t="shared" si="227"/>
        <v>434.7</v>
      </c>
      <c r="I424" s="261">
        <f t="shared" si="227"/>
        <v>434.7</v>
      </c>
      <c r="L424" s="117"/>
    </row>
    <row r="425" spans="1:12" ht="31.5">
      <c r="A425" s="25" t="s">
        <v>267</v>
      </c>
      <c r="B425" s="16">
        <v>903</v>
      </c>
      <c r="C425" s="20" t="s">
        <v>261</v>
      </c>
      <c r="D425" s="20" t="s">
        <v>232</v>
      </c>
      <c r="E425" s="20" t="s">
        <v>982</v>
      </c>
      <c r="F425" s="20" t="s">
        <v>268</v>
      </c>
      <c r="G425" s="26">
        <v>150</v>
      </c>
      <c r="H425" s="261">
        <f aca="true" t="shared" si="228" ref="H425:I425">148.4-30.7+32.3+284.7</f>
        <v>434.7</v>
      </c>
      <c r="I425" s="261">
        <f t="shared" si="228"/>
        <v>434.7</v>
      </c>
      <c r="J425" s="273" t="s">
        <v>1211</v>
      </c>
      <c r="K425" s="117">
        <v>284.7</v>
      </c>
      <c r="L425" s="117"/>
    </row>
    <row r="426" spans="1:12" ht="31.5">
      <c r="A426" s="23" t="s">
        <v>372</v>
      </c>
      <c r="B426" s="19">
        <v>903</v>
      </c>
      <c r="C426" s="19">
        <v>10</v>
      </c>
      <c r="D426" s="24" t="s">
        <v>232</v>
      </c>
      <c r="E426" s="24" t="s">
        <v>373</v>
      </c>
      <c r="F426" s="24"/>
      <c r="G426" s="21">
        <f>G428</f>
        <v>420</v>
      </c>
      <c r="H426" s="272">
        <f aca="true" t="shared" si="229" ref="H426:I426">H428</f>
        <v>420</v>
      </c>
      <c r="I426" s="272">
        <f t="shared" si="229"/>
        <v>420</v>
      </c>
      <c r="L426" s="117"/>
    </row>
    <row r="427" spans="1:12" s="253" customFormat="1" ht="31.5">
      <c r="A427" s="23" t="s">
        <v>1156</v>
      </c>
      <c r="B427" s="19">
        <v>903</v>
      </c>
      <c r="C427" s="19">
        <v>10</v>
      </c>
      <c r="D427" s="24" t="s">
        <v>232</v>
      </c>
      <c r="E427" s="24" t="s">
        <v>983</v>
      </c>
      <c r="F427" s="24"/>
      <c r="G427" s="21">
        <f>G428</f>
        <v>420</v>
      </c>
      <c r="H427" s="272">
        <f aca="true" t="shared" si="230" ref="H427:I429">H428</f>
        <v>420</v>
      </c>
      <c r="I427" s="272">
        <f t="shared" si="230"/>
        <v>420</v>
      </c>
      <c r="J427" s="228"/>
      <c r="K427" s="117"/>
      <c r="L427" s="117"/>
    </row>
    <row r="428" spans="1:12" ht="15.75">
      <c r="A428" s="25" t="s">
        <v>1220</v>
      </c>
      <c r="B428" s="16">
        <v>903</v>
      </c>
      <c r="C428" s="20" t="s">
        <v>261</v>
      </c>
      <c r="D428" s="20" t="s">
        <v>232</v>
      </c>
      <c r="E428" s="20" t="s">
        <v>984</v>
      </c>
      <c r="F428" s="20"/>
      <c r="G428" s="26">
        <f>G429</f>
        <v>420</v>
      </c>
      <c r="H428" s="261">
        <f t="shared" si="230"/>
        <v>420</v>
      </c>
      <c r="I428" s="261">
        <f t="shared" si="230"/>
        <v>420</v>
      </c>
      <c r="L428" s="117"/>
    </row>
    <row r="429" spans="1:12" ht="15.75">
      <c r="A429" s="25" t="s">
        <v>265</v>
      </c>
      <c r="B429" s="16">
        <v>903</v>
      </c>
      <c r="C429" s="20" t="s">
        <v>261</v>
      </c>
      <c r="D429" s="20" t="s">
        <v>232</v>
      </c>
      <c r="E429" s="20" t="s">
        <v>984</v>
      </c>
      <c r="F429" s="20" t="s">
        <v>266</v>
      </c>
      <c r="G429" s="26">
        <f>G430</f>
        <v>420</v>
      </c>
      <c r="H429" s="261">
        <f t="shared" si="230"/>
        <v>420</v>
      </c>
      <c r="I429" s="261">
        <f t="shared" si="230"/>
        <v>420</v>
      </c>
      <c r="L429" s="117"/>
    </row>
    <row r="430" spans="1:12" ht="15.75">
      <c r="A430" s="25" t="s">
        <v>365</v>
      </c>
      <c r="B430" s="16">
        <v>903</v>
      </c>
      <c r="C430" s="20" t="s">
        <v>261</v>
      </c>
      <c r="D430" s="20" t="s">
        <v>232</v>
      </c>
      <c r="E430" s="20" t="s">
        <v>984</v>
      </c>
      <c r="F430" s="20" t="s">
        <v>366</v>
      </c>
      <c r="G430" s="26">
        <v>420</v>
      </c>
      <c r="H430" s="261">
        <v>420</v>
      </c>
      <c r="I430" s="261">
        <v>420</v>
      </c>
      <c r="L430" s="117"/>
    </row>
    <row r="431" spans="1:12" ht="15.75">
      <c r="A431" s="23" t="s">
        <v>375</v>
      </c>
      <c r="B431" s="19">
        <v>903</v>
      </c>
      <c r="C431" s="19">
        <v>10</v>
      </c>
      <c r="D431" s="24" t="s">
        <v>232</v>
      </c>
      <c r="E431" s="24" t="s">
        <v>376</v>
      </c>
      <c r="F431" s="24"/>
      <c r="G431" s="21">
        <f>G436+G432</f>
        <v>1400</v>
      </c>
      <c r="H431" s="272">
        <f aca="true" t="shared" si="231" ref="H431:I431">H436+H432</f>
        <v>1395.7</v>
      </c>
      <c r="I431" s="272">
        <f t="shared" si="231"/>
        <v>1395.7</v>
      </c>
      <c r="L431" s="117"/>
    </row>
    <row r="432" spans="1:12" s="253" customFormat="1" ht="31.5">
      <c r="A432" s="23" t="s">
        <v>1222</v>
      </c>
      <c r="B432" s="19">
        <v>903</v>
      </c>
      <c r="C432" s="24" t="s">
        <v>261</v>
      </c>
      <c r="D432" s="24" t="s">
        <v>232</v>
      </c>
      <c r="E432" s="24" t="s">
        <v>986</v>
      </c>
      <c r="F432" s="24"/>
      <c r="G432" s="21">
        <f>G433</f>
        <v>920</v>
      </c>
      <c r="H432" s="272">
        <f aca="true" t="shared" si="232" ref="H432:I434">H433</f>
        <v>915.7</v>
      </c>
      <c r="I432" s="272">
        <f t="shared" si="232"/>
        <v>915.7</v>
      </c>
      <c r="J432" s="228"/>
      <c r="K432" s="117"/>
      <c r="L432" s="117"/>
    </row>
    <row r="433" spans="1:12" s="253" customFormat="1" ht="47.25">
      <c r="A433" s="107" t="s">
        <v>1223</v>
      </c>
      <c r="B433" s="16">
        <v>903</v>
      </c>
      <c r="C433" s="20" t="s">
        <v>261</v>
      </c>
      <c r="D433" s="20" t="s">
        <v>232</v>
      </c>
      <c r="E433" s="20" t="s">
        <v>987</v>
      </c>
      <c r="F433" s="20"/>
      <c r="G433" s="26">
        <f>G434</f>
        <v>920</v>
      </c>
      <c r="H433" s="261">
        <f t="shared" si="232"/>
        <v>915.7</v>
      </c>
      <c r="I433" s="261">
        <f t="shared" si="232"/>
        <v>915.7</v>
      </c>
      <c r="J433" s="228"/>
      <c r="K433" s="117"/>
      <c r="L433" s="117"/>
    </row>
    <row r="434" spans="1:12" s="253" customFormat="1" ht="15.75">
      <c r="A434" s="25" t="s">
        <v>265</v>
      </c>
      <c r="B434" s="16">
        <v>903</v>
      </c>
      <c r="C434" s="20" t="s">
        <v>261</v>
      </c>
      <c r="D434" s="20" t="s">
        <v>232</v>
      </c>
      <c r="E434" s="20" t="s">
        <v>987</v>
      </c>
      <c r="F434" s="20" t="s">
        <v>266</v>
      </c>
      <c r="G434" s="26">
        <f>G435</f>
        <v>920</v>
      </c>
      <c r="H434" s="261">
        <f t="shared" si="232"/>
        <v>915.7</v>
      </c>
      <c r="I434" s="261">
        <f t="shared" si="232"/>
        <v>915.7</v>
      </c>
      <c r="J434" s="228"/>
      <c r="K434" s="117"/>
      <c r="L434" s="117"/>
    </row>
    <row r="435" spans="1:12" s="253" customFormat="1" ht="15.75">
      <c r="A435" s="25" t="s">
        <v>365</v>
      </c>
      <c r="B435" s="16">
        <v>903</v>
      </c>
      <c r="C435" s="20" t="s">
        <v>261</v>
      </c>
      <c r="D435" s="20" t="s">
        <v>232</v>
      </c>
      <c r="E435" s="20" t="s">
        <v>987</v>
      </c>
      <c r="F435" s="20" t="s">
        <v>366</v>
      </c>
      <c r="G435" s="26">
        <v>920</v>
      </c>
      <c r="H435" s="261">
        <f aca="true" t="shared" si="233" ref="H435:I435">1015.7-100</f>
        <v>915.7</v>
      </c>
      <c r="I435" s="261">
        <f t="shared" si="233"/>
        <v>915.7</v>
      </c>
      <c r="J435" s="228"/>
      <c r="K435" s="117"/>
      <c r="L435" s="117"/>
    </row>
    <row r="436" spans="1:12" s="253" customFormat="1" ht="31.5">
      <c r="A436" s="23" t="s">
        <v>985</v>
      </c>
      <c r="B436" s="19">
        <v>903</v>
      </c>
      <c r="C436" s="19">
        <v>10</v>
      </c>
      <c r="D436" s="24" t="s">
        <v>232</v>
      </c>
      <c r="E436" s="24" t="s">
        <v>988</v>
      </c>
      <c r="F436" s="24"/>
      <c r="G436" s="21">
        <f>G437+G440</f>
        <v>480</v>
      </c>
      <c r="H436" s="272">
        <f aca="true" t="shared" si="234" ref="H436:I436">H437+H440</f>
        <v>480</v>
      </c>
      <c r="I436" s="272">
        <f t="shared" si="234"/>
        <v>480</v>
      </c>
      <c r="J436" s="228"/>
      <c r="K436" s="117"/>
      <c r="L436" s="117"/>
    </row>
    <row r="437" spans="1:12" ht="15.75">
      <c r="A437" s="25" t="s">
        <v>1157</v>
      </c>
      <c r="B437" s="16">
        <v>903</v>
      </c>
      <c r="C437" s="20" t="s">
        <v>261</v>
      </c>
      <c r="D437" s="20" t="s">
        <v>232</v>
      </c>
      <c r="E437" s="20" t="s">
        <v>989</v>
      </c>
      <c r="F437" s="20"/>
      <c r="G437" s="26">
        <f>G438</f>
        <v>270</v>
      </c>
      <c r="H437" s="261">
        <f aca="true" t="shared" si="235" ref="H437:I438">H438</f>
        <v>270</v>
      </c>
      <c r="I437" s="261">
        <f t="shared" si="235"/>
        <v>270</v>
      </c>
      <c r="L437" s="117"/>
    </row>
    <row r="438" spans="1:12" ht="31.5">
      <c r="A438" s="25" t="s">
        <v>148</v>
      </c>
      <c r="B438" s="16">
        <v>903</v>
      </c>
      <c r="C438" s="20" t="s">
        <v>261</v>
      </c>
      <c r="D438" s="20" t="s">
        <v>232</v>
      </c>
      <c r="E438" s="20" t="s">
        <v>989</v>
      </c>
      <c r="F438" s="20" t="s">
        <v>149</v>
      </c>
      <c r="G438" s="26">
        <f>G439</f>
        <v>270</v>
      </c>
      <c r="H438" s="261">
        <f t="shared" si="235"/>
        <v>270</v>
      </c>
      <c r="I438" s="261">
        <f t="shared" si="235"/>
        <v>270</v>
      </c>
      <c r="L438" s="117"/>
    </row>
    <row r="439" spans="1:12" ht="31.5">
      <c r="A439" s="25" t="s">
        <v>150</v>
      </c>
      <c r="B439" s="16">
        <v>903</v>
      </c>
      <c r="C439" s="20" t="s">
        <v>261</v>
      </c>
      <c r="D439" s="20" t="s">
        <v>232</v>
      </c>
      <c r="E439" s="20" t="s">
        <v>989</v>
      </c>
      <c r="F439" s="20" t="s">
        <v>151</v>
      </c>
      <c r="G439" s="26">
        <v>270</v>
      </c>
      <c r="H439" s="261">
        <f>G439</f>
        <v>270</v>
      </c>
      <c r="I439" s="261">
        <f>H439</f>
        <v>270</v>
      </c>
      <c r="J439" s="273"/>
      <c r="L439" s="117"/>
    </row>
    <row r="440" spans="1:12" s="253" customFormat="1" ht="15.75">
      <c r="A440" s="25" t="s">
        <v>265</v>
      </c>
      <c r="B440" s="16">
        <v>903</v>
      </c>
      <c r="C440" s="20" t="s">
        <v>261</v>
      </c>
      <c r="D440" s="20" t="s">
        <v>232</v>
      </c>
      <c r="E440" s="20" t="s">
        <v>989</v>
      </c>
      <c r="F440" s="20" t="s">
        <v>266</v>
      </c>
      <c r="G440" s="26">
        <f>G441</f>
        <v>210</v>
      </c>
      <c r="H440" s="261">
        <f aca="true" t="shared" si="236" ref="H440:I440">H441</f>
        <v>210</v>
      </c>
      <c r="I440" s="261">
        <f t="shared" si="236"/>
        <v>210</v>
      </c>
      <c r="J440" s="283"/>
      <c r="K440" s="117"/>
      <c r="L440" s="117"/>
    </row>
    <row r="441" spans="1:12" s="253" customFormat="1" ht="15.75">
      <c r="A441" s="25" t="s">
        <v>365</v>
      </c>
      <c r="B441" s="16">
        <v>903</v>
      </c>
      <c r="C441" s="20" t="s">
        <v>261</v>
      </c>
      <c r="D441" s="20" t="s">
        <v>232</v>
      </c>
      <c r="E441" s="20" t="s">
        <v>989</v>
      </c>
      <c r="F441" s="20" t="s">
        <v>366</v>
      </c>
      <c r="G441" s="26">
        <v>210</v>
      </c>
      <c r="H441" s="261">
        <f>G441</f>
        <v>210</v>
      </c>
      <c r="I441" s="261">
        <f>H441</f>
        <v>210</v>
      </c>
      <c r="J441" s="283"/>
      <c r="K441" s="117"/>
      <c r="L441" s="117"/>
    </row>
    <row r="442" spans="1:12" ht="37.5" customHeight="1">
      <c r="A442" s="23" t="s">
        <v>378</v>
      </c>
      <c r="B442" s="19">
        <v>903</v>
      </c>
      <c r="C442" s="24" t="s">
        <v>261</v>
      </c>
      <c r="D442" s="24" t="s">
        <v>232</v>
      </c>
      <c r="E442" s="24" t="s">
        <v>379</v>
      </c>
      <c r="F442" s="24"/>
      <c r="G442" s="21">
        <f>G443</f>
        <v>250</v>
      </c>
      <c r="H442" s="272">
        <f aca="true" t="shared" si="237" ref="H442:I445">H443</f>
        <v>250</v>
      </c>
      <c r="I442" s="272">
        <f t="shared" si="237"/>
        <v>250</v>
      </c>
      <c r="L442" s="117"/>
    </row>
    <row r="443" spans="1:12" s="253" customFormat="1" ht="38.25" customHeight="1">
      <c r="A443" s="23" t="s">
        <v>1225</v>
      </c>
      <c r="B443" s="19">
        <v>903</v>
      </c>
      <c r="C443" s="24" t="s">
        <v>261</v>
      </c>
      <c r="D443" s="24" t="s">
        <v>232</v>
      </c>
      <c r="E443" s="24" t="s">
        <v>991</v>
      </c>
      <c r="F443" s="24"/>
      <c r="G443" s="21">
        <f>G444</f>
        <v>250</v>
      </c>
      <c r="H443" s="272">
        <f t="shared" si="237"/>
        <v>250</v>
      </c>
      <c r="I443" s="272">
        <f t="shared" si="237"/>
        <v>250</v>
      </c>
      <c r="J443" s="228"/>
      <c r="K443" s="117"/>
      <c r="L443" s="117"/>
    </row>
    <row r="444" spans="1:12" ht="35.25" customHeight="1">
      <c r="A444" s="25" t="s">
        <v>1224</v>
      </c>
      <c r="B444" s="16">
        <v>903</v>
      </c>
      <c r="C444" s="20" t="s">
        <v>261</v>
      </c>
      <c r="D444" s="20" t="s">
        <v>232</v>
      </c>
      <c r="E444" s="20" t="s">
        <v>990</v>
      </c>
      <c r="F444" s="20"/>
      <c r="G444" s="26">
        <f>G445</f>
        <v>250</v>
      </c>
      <c r="H444" s="261">
        <f t="shared" si="237"/>
        <v>250</v>
      </c>
      <c r="I444" s="261">
        <f t="shared" si="237"/>
        <v>250</v>
      </c>
      <c r="L444" s="117"/>
    </row>
    <row r="445" spans="1:12" ht="15.75">
      <c r="A445" s="25" t="s">
        <v>265</v>
      </c>
      <c r="B445" s="16">
        <v>903</v>
      </c>
      <c r="C445" s="20" t="s">
        <v>261</v>
      </c>
      <c r="D445" s="20" t="s">
        <v>232</v>
      </c>
      <c r="E445" s="20" t="s">
        <v>990</v>
      </c>
      <c r="F445" s="20" t="s">
        <v>266</v>
      </c>
      <c r="G445" s="26">
        <f>G446</f>
        <v>250</v>
      </c>
      <c r="H445" s="261">
        <f t="shared" si="237"/>
        <v>250</v>
      </c>
      <c r="I445" s="261">
        <f t="shared" si="237"/>
        <v>250</v>
      </c>
      <c r="L445" s="117"/>
    </row>
    <row r="446" spans="1:12" ht="15.75">
      <c r="A446" s="25" t="s">
        <v>365</v>
      </c>
      <c r="B446" s="16">
        <v>903</v>
      </c>
      <c r="C446" s="20" t="s">
        <v>261</v>
      </c>
      <c r="D446" s="20" t="s">
        <v>232</v>
      </c>
      <c r="E446" s="20" t="s">
        <v>990</v>
      </c>
      <c r="F446" s="20" t="s">
        <v>366</v>
      </c>
      <c r="G446" s="26">
        <v>250</v>
      </c>
      <c r="H446" s="261">
        <v>250</v>
      </c>
      <c r="I446" s="261">
        <v>250</v>
      </c>
      <c r="L446" s="117"/>
    </row>
    <row r="447" spans="1:12" ht="31.5">
      <c r="A447" s="19" t="s">
        <v>404</v>
      </c>
      <c r="B447" s="19">
        <v>905</v>
      </c>
      <c r="C447" s="20"/>
      <c r="D447" s="20"/>
      <c r="E447" s="20"/>
      <c r="F447" s="20"/>
      <c r="G447" s="21">
        <f>G448+G476</f>
        <v>18463.119</v>
      </c>
      <c r="H447" s="272">
        <f aca="true" t="shared" si="238" ref="H447:I447">H448+H476</f>
        <v>22434.999999999996</v>
      </c>
      <c r="I447" s="272">
        <f t="shared" si="238"/>
        <v>22434.999999999996</v>
      </c>
      <c r="J447" s="275">
        <f>G449+G463+G472+G478</f>
        <v>18463.119</v>
      </c>
      <c r="L447" s="117"/>
    </row>
    <row r="448" spans="1:12" ht="15.75">
      <c r="A448" s="23" t="s">
        <v>134</v>
      </c>
      <c r="B448" s="19">
        <v>905</v>
      </c>
      <c r="C448" s="24" t="s">
        <v>135</v>
      </c>
      <c r="D448" s="20"/>
      <c r="E448" s="20"/>
      <c r="F448" s="20"/>
      <c r="G448" s="21">
        <f>G449+G462</f>
        <v>17282.119</v>
      </c>
      <c r="H448" s="272">
        <f aca="true" t="shared" si="239" ref="H448:I448">H449+H462</f>
        <v>21535.199999999997</v>
      </c>
      <c r="I448" s="272">
        <f t="shared" si="239"/>
        <v>21535.199999999997</v>
      </c>
      <c r="L448" s="117"/>
    </row>
    <row r="449" spans="1:12" ht="65.25" customHeight="1">
      <c r="A449" s="23" t="s">
        <v>166</v>
      </c>
      <c r="B449" s="19">
        <v>905</v>
      </c>
      <c r="C449" s="24" t="s">
        <v>135</v>
      </c>
      <c r="D449" s="24" t="s">
        <v>167</v>
      </c>
      <c r="E449" s="24"/>
      <c r="F449" s="24"/>
      <c r="G449" s="21">
        <f>G450</f>
        <v>11853.298999999999</v>
      </c>
      <c r="H449" s="272">
        <f aca="true" t="shared" si="240" ref="H449:I450">H450</f>
        <v>11414.099999999999</v>
      </c>
      <c r="I449" s="272">
        <f t="shared" si="240"/>
        <v>11414.099999999999</v>
      </c>
      <c r="L449" s="117"/>
    </row>
    <row r="450" spans="1:12" ht="31.5">
      <c r="A450" s="23" t="s">
        <v>995</v>
      </c>
      <c r="B450" s="19">
        <v>905</v>
      </c>
      <c r="C450" s="24" t="s">
        <v>135</v>
      </c>
      <c r="D450" s="24" t="s">
        <v>167</v>
      </c>
      <c r="E450" s="24" t="s">
        <v>909</v>
      </c>
      <c r="F450" s="24"/>
      <c r="G450" s="21">
        <f>G451</f>
        <v>11853.298999999999</v>
      </c>
      <c r="H450" s="272">
        <f t="shared" si="240"/>
        <v>11414.099999999999</v>
      </c>
      <c r="I450" s="272">
        <f t="shared" si="240"/>
        <v>11414.099999999999</v>
      </c>
      <c r="L450" s="117"/>
    </row>
    <row r="451" spans="1:12" ht="15.75">
      <c r="A451" s="23" t="s">
        <v>996</v>
      </c>
      <c r="B451" s="19">
        <v>905</v>
      </c>
      <c r="C451" s="24" t="s">
        <v>135</v>
      </c>
      <c r="D451" s="24" t="s">
        <v>167</v>
      </c>
      <c r="E451" s="24" t="s">
        <v>910</v>
      </c>
      <c r="F451" s="24"/>
      <c r="G451" s="21">
        <f>G452+G459</f>
        <v>11853.298999999999</v>
      </c>
      <c r="H451" s="272">
        <f aca="true" t="shared" si="241" ref="H451:I451">H452+H459</f>
        <v>11414.099999999999</v>
      </c>
      <c r="I451" s="272">
        <f t="shared" si="241"/>
        <v>11414.099999999999</v>
      </c>
      <c r="L451" s="117"/>
    </row>
    <row r="452" spans="1:12" ht="31.5">
      <c r="A452" s="25" t="s">
        <v>972</v>
      </c>
      <c r="B452" s="16">
        <v>905</v>
      </c>
      <c r="C452" s="20" t="s">
        <v>135</v>
      </c>
      <c r="D452" s="20" t="s">
        <v>167</v>
      </c>
      <c r="E452" s="20" t="s">
        <v>911</v>
      </c>
      <c r="F452" s="20"/>
      <c r="G452" s="26">
        <f>G453+G455+G457</f>
        <v>11426.298999999999</v>
      </c>
      <c r="H452" s="261">
        <f aca="true" t="shared" si="242" ref="H452:I452">H453+H455+H457</f>
        <v>10987.699999999999</v>
      </c>
      <c r="I452" s="261">
        <f t="shared" si="242"/>
        <v>10987.699999999999</v>
      </c>
      <c r="L452" s="117"/>
    </row>
    <row r="453" spans="1:12" ht="63">
      <c r="A453" s="25" t="s">
        <v>144</v>
      </c>
      <c r="B453" s="16">
        <v>905</v>
      </c>
      <c r="C453" s="20" t="s">
        <v>135</v>
      </c>
      <c r="D453" s="20" t="s">
        <v>167</v>
      </c>
      <c r="E453" s="20" t="s">
        <v>911</v>
      </c>
      <c r="F453" s="20" t="s">
        <v>145</v>
      </c>
      <c r="G453" s="26">
        <f>G454</f>
        <v>10631.298999999999</v>
      </c>
      <c r="H453" s="261">
        <f aca="true" t="shared" si="243" ref="H453:I453">H454</f>
        <v>10192.4</v>
      </c>
      <c r="I453" s="261">
        <f t="shared" si="243"/>
        <v>10192.4</v>
      </c>
      <c r="L453" s="117"/>
    </row>
    <row r="454" spans="1:12" ht="31.5">
      <c r="A454" s="25" t="s">
        <v>146</v>
      </c>
      <c r="B454" s="16">
        <v>905</v>
      </c>
      <c r="C454" s="20" t="s">
        <v>135</v>
      </c>
      <c r="D454" s="20" t="s">
        <v>167</v>
      </c>
      <c r="E454" s="20" t="s">
        <v>911</v>
      </c>
      <c r="F454" s="20" t="s">
        <v>147</v>
      </c>
      <c r="G454" s="27">
        <f>10193*1.043</f>
        <v>10631.298999999999</v>
      </c>
      <c r="H454" s="262">
        <f aca="true" t="shared" si="244" ref="H454:I454">10286.1-1052.7+1385.4-426.4</f>
        <v>10192.4</v>
      </c>
      <c r="I454" s="262">
        <f t="shared" si="244"/>
        <v>10192.4</v>
      </c>
      <c r="J454" s="362" t="s">
        <v>891</v>
      </c>
      <c r="K454" s="117">
        <v>1043</v>
      </c>
      <c r="L454" s="117"/>
    </row>
    <row r="455" spans="1:12" ht="31.5">
      <c r="A455" s="25" t="s">
        <v>148</v>
      </c>
      <c r="B455" s="16">
        <v>905</v>
      </c>
      <c r="C455" s="20" t="s">
        <v>135</v>
      </c>
      <c r="D455" s="20" t="s">
        <v>167</v>
      </c>
      <c r="E455" s="20" t="s">
        <v>911</v>
      </c>
      <c r="F455" s="20" t="s">
        <v>149</v>
      </c>
      <c r="G455" s="26">
        <f>G456</f>
        <v>664</v>
      </c>
      <c r="H455" s="261">
        <f aca="true" t="shared" si="245" ref="H455:I455">H456</f>
        <v>664</v>
      </c>
      <c r="I455" s="261">
        <f t="shared" si="245"/>
        <v>664</v>
      </c>
      <c r="L455" s="244"/>
    </row>
    <row r="456" spans="1:12" ht="31.5">
      <c r="A456" s="25" t="s">
        <v>150</v>
      </c>
      <c r="B456" s="16">
        <v>905</v>
      </c>
      <c r="C456" s="20" t="s">
        <v>135</v>
      </c>
      <c r="D456" s="20" t="s">
        <v>167</v>
      </c>
      <c r="E456" s="20" t="s">
        <v>911</v>
      </c>
      <c r="F456" s="20" t="s">
        <v>151</v>
      </c>
      <c r="G456" s="27">
        <f>664</f>
        <v>664</v>
      </c>
      <c r="H456" s="262">
        <f>664</f>
        <v>664</v>
      </c>
      <c r="I456" s="262">
        <f>664</f>
        <v>664</v>
      </c>
      <c r="J456" s="275"/>
      <c r="L456" s="117"/>
    </row>
    <row r="457" spans="1:12" ht="15.75">
      <c r="A457" s="25" t="s">
        <v>152</v>
      </c>
      <c r="B457" s="16">
        <v>905</v>
      </c>
      <c r="C457" s="20" t="s">
        <v>135</v>
      </c>
      <c r="D457" s="20" t="s">
        <v>167</v>
      </c>
      <c r="E457" s="20" t="s">
        <v>911</v>
      </c>
      <c r="F457" s="20" t="s">
        <v>162</v>
      </c>
      <c r="G457" s="26">
        <f>G458</f>
        <v>131</v>
      </c>
      <c r="H457" s="261">
        <f aca="true" t="shared" si="246" ref="H457:I457">H458</f>
        <v>131.3</v>
      </c>
      <c r="I457" s="261">
        <f t="shared" si="246"/>
        <v>131.3</v>
      </c>
      <c r="L457" s="117"/>
    </row>
    <row r="458" spans="1:12" ht="15.75">
      <c r="A458" s="25" t="s">
        <v>585</v>
      </c>
      <c r="B458" s="16">
        <v>905</v>
      </c>
      <c r="C458" s="20" t="s">
        <v>135</v>
      </c>
      <c r="D458" s="20" t="s">
        <v>167</v>
      </c>
      <c r="E458" s="20" t="s">
        <v>911</v>
      </c>
      <c r="F458" s="20" t="s">
        <v>155</v>
      </c>
      <c r="G458" s="26">
        <f>8.8+7.5+20+30+65-0.3</f>
        <v>131</v>
      </c>
      <c r="H458" s="261">
        <f aca="true" t="shared" si="247" ref="H458:I458">8.8+7.5+20+30+65</f>
        <v>131.3</v>
      </c>
      <c r="I458" s="261">
        <f t="shared" si="247"/>
        <v>131.3</v>
      </c>
      <c r="L458" s="117"/>
    </row>
    <row r="459" spans="1:12" s="253" customFormat="1" ht="31.5">
      <c r="A459" s="25" t="s">
        <v>889</v>
      </c>
      <c r="B459" s="16">
        <v>905</v>
      </c>
      <c r="C459" s="20" t="s">
        <v>135</v>
      </c>
      <c r="D459" s="20" t="s">
        <v>167</v>
      </c>
      <c r="E459" s="20" t="s">
        <v>913</v>
      </c>
      <c r="F459" s="20"/>
      <c r="G459" s="26">
        <f>G460</f>
        <v>427</v>
      </c>
      <c r="H459" s="261">
        <f aca="true" t="shared" si="248" ref="H459:I460">H460</f>
        <v>426.4</v>
      </c>
      <c r="I459" s="261">
        <f t="shared" si="248"/>
        <v>426.4</v>
      </c>
      <c r="J459" s="228"/>
      <c r="K459" s="117"/>
      <c r="L459" s="117"/>
    </row>
    <row r="460" spans="1:12" s="253" customFormat="1" ht="63">
      <c r="A460" s="25" t="s">
        <v>144</v>
      </c>
      <c r="B460" s="16">
        <v>905</v>
      </c>
      <c r="C460" s="20" t="s">
        <v>135</v>
      </c>
      <c r="D460" s="20" t="s">
        <v>167</v>
      </c>
      <c r="E460" s="20" t="s">
        <v>913</v>
      </c>
      <c r="F460" s="20" t="s">
        <v>145</v>
      </c>
      <c r="G460" s="26">
        <f>G461</f>
        <v>427</v>
      </c>
      <c r="H460" s="261">
        <f t="shared" si="248"/>
        <v>426.4</v>
      </c>
      <c r="I460" s="261">
        <f t="shared" si="248"/>
        <v>426.4</v>
      </c>
      <c r="J460" s="228"/>
      <c r="K460" s="117"/>
      <c r="L460" s="117"/>
    </row>
    <row r="461" spans="1:12" s="253" customFormat="1" ht="31.5">
      <c r="A461" s="25" t="s">
        <v>146</v>
      </c>
      <c r="B461" s="16">
        <v>905</v>
      </c>
      <c r="C461" s="20" t="s">
        <v>135</v>
      </c>
      <c r="D461" s="20" t="s">
        <v>167</v>
      </c>
      <c r="E461" s="20" t="s">
        <v>913</v>
      </c>
      <c r="F461" s="20" t="s">
        <v>147</v>
      </c>
      <c r="G461" s="26">
        <v>427</v>
      </c>
      <c r="H461" s="26">
        <v>426.4</v>
      </c>
      <c r="I461" s="26">
        <v>426.4</v>
      </c>
      <c r="J461" s="228"/>
      <c r="K461" s="117"/>
      <c r="L461" s="117"/>
    </row>
    <row r="462" spans="1:12" ht="15.75">
      <c r="A462" s="23" t="s">
        <v>156</v>
      </c>
      <c r="B462" s="19">
        <v>905</v>
      </c>
      <c r="C462" s="24" t="s">
        <v>135</v>
      </c>
      <c r="D462" s="24" t="s">
        <v>157</v>
      </c>
      <c r="E462" s="24"/>
      <c r="F462" s="24"/>
      <c r="G462" s="21">
        <f>G463+G471</f>
        <v>5428.819999999999</v>
      </c>
      <c r="H462" s="272">
        <f aca="true" t="shared" si="249" ref="H462:I462">H463+H471</f>
        <v>10121.099999999999</v>
      </c>
      <c r="I462" s="272">
        <f t="shared" si="249"/>
        <v>10121.099999999999</v>
      </c>
      <c r="L462" s="117"/>
    </row>
    <row r="463" spans="1:12" s="253" customFormat="1" ht="15.75">
      <c r="A463" s="23" t="s">
        <v>158</v>
      </c>
      <c r="B463" s="19">
        <v>905</v>
      </c>
      <c r="C463" s="24" t="s">
        <v>135</v>
      </c>
      <c r="D463" s="24" t="s">
        <v>157</v>
      </c>
      <c r="E463" s="24" t="s">
        <v>917</v>
      </c>
      <c r="F463" s="24"/>
      <c r="G463" s="21">
        <f>G464</f>
        <v>5188.999999999999</v>
      </c>
      <c r="H463" s="272">
        <f aca="true" t="shared" si="250" ref="H463:I463">H464</f>
        <v>5188.799999999999</v>
      </c>
      <c r="I463" s="272">
        <f t="shared" si="250"/>
        <v>5188.799999999999</v>
      </c>
      <c r="J463" s="228"/>
      <c r="K463" s="117"/>
      <c r="L463" s="117"/>
    </row>
    <row r="464" spans="1:12" s="253" customFormat="1" ht="31.5">
      <c r="A464" s="23" t="s">
        <v>921</v>
      </c>
      <c r="B464" s="19">
        <v>905</v>
      </c>
      <c r="C464" s="24" t="s">
        <v>135</v>
      </c>
      <c r="D464" s="24" t="s">
        <v>157</v>
      </c>
      <c r="E464" s="24" t="s">
        <v>916</v>
      </c>
      <c r="F464" s="24"/>
      <c r="G464" s="21">
        <f>G465+G468</f>
        <v>5188.999999999999</v>
      </c>
      <c r="H464" s="272">
        <f aca="true" t="shared" si="251" ref="H464:I464">H465+H468</f>
        <v>5188.799999999999</v>
      </c>
      <c r="I464" s="272">
        <f t="shared" si="251"/>
        <v>5188.799999999999</v>
      </c>
      <c r="J464" s="228"/>
      <c r="K464" s="117"/>
      <c r="L464" s="117"/>
    </row>
    <row r="465" spans="1:12" s="253" customFormat="1" ht="47.25">
      <c r="A465" s="25" t="s">
        <v>405</v>
      </c>
      <c r="B465" s="16">
        <v>905</v>
      </c>
      <c r="C465" s="20" t="s">
        <v>135</v>
      </c>
      <c r="D465" s="20" t="s">
        <v>157</v>
      </c>
      <c r="E465" s="20" t="s">
        <v>1178</v>
      </c>
      <c r="F465" s="20"/>
      <c r="G465" s="26">
        <f>G466</f>
        <v>5088.999999999999</v>
      </c>
      <c r="H465" s="261">
        <f aca="true" t="shared" si="252" ref="H465:I466">H466</f>
        <v>5088.799999999999</v>
      </c>
      <c r="I465" s="261">
        <f t="shared" si="252"/>
        <v>5088.799999999999</v>
      </c>
      <c r="J465" s="228"/>
      <c r="K465" s="117"/>
      <c r="L465" s="117"/>
    </row>
    <row r="466" spans="1:12" s="253" customFormat="1" ht="31.5">
      <c r="A466" s="25" t="s">
        <v>148</v>
      </c>
      <c r="B466" s="16">
        <v>905</v>
      </c>
      <c r="C466" s="20" t="s">
        <v>135</v>
      </c>
      <c r="D466" s="20" t="s">
        <v>157</v>
      </c>
      <c r="E466" s="20" t="s">
        <v>1178</v>
      </c>
      <c r="F466" s="20" t="s">
        <v>149</v>
      </c>
      <c r="G466" s="26">
        <f>G467</f>
        <v>5088.999999999999</v>
      </c>
      <c r="H466" s="261">
        <f t="shared" si="252"/>
        <v>5088.799999999999</v>
      </c>
      <c r="I466" s="261">
        <f t="shared" si="252"/>
        <v>5088.799999999999</v>
      </c>
      <c r="J466" s="228"/>
      <c r="K466" s="117"/>
      <c r="L466" s="117"/>
    </row>
    <row r="467" spans="1:12" s="253" customFormat="1" ht="31.5">
      <c r="A467" s="25" t="s">
        <v>150</v>
      </c>
      <c r="B467" s="16">
        <v>905</v>
      </c>
      <c r="C467" s="20" t="s">
        <v>135</v>
      </c>
      <c r="D467" s="20" t="s">
        <v>157</v>
      </c>
      <c r="E467" s="20" t="s">
        <v>1178</v>
      </c>
      <c r="F467" s="20" t="s">
        <v>151</v>
      </c>
      <c r="G467" s="26">
        <f>3123.5+1000+1427.4-355-7.1-100+0.2</f>
        <v>5088.999999999999</v>
      </c>
      <c r="H467" s="261">
        <f aca="true" t="shared" si="253" ref="H467:I467">3123.5+1000+1427.4-355-7.1-100</f>
        <v>5088.799999999999</v>
      </c>
      <c r="I467" s="261">
        <f t="shared" si="253"/>
        <v>5088.799999999999</v>
      </c>
      <c r="J467" s="228"/>
      <c r="K467" s="117"/>
      <c r="L467" s="117"/>
    </row>
    <row r="468" spans="1:12" s="253" customFormat="1" ht="31.5">
      <c r="A468" s="25" t="s">
        <v>1011</v>
      </c>
      <c r="B468" s="16">
        <v>905</v>
      </c>
      <c r="C468" s="20" t="s">
        <v>135</v>
      </c>
      <c r="D468" s="20" t="s">
        <v>157</v>
      </c>
      <c r="E468" s="20" t="s">
        <v>1179</v>
      </c>
      <c r="F468" s="20"/>
      <c r="G468" s="26">
        <f>G469</f>
        <v>100</v>
      </c>
      <c r="H468" s="261">
        <f aca="true" t="shared" si="254" ref="H468:I469">H469</f>
        <v>100</v>
      </c>
      <c r="I468" s="261">
        <f t="shared" si="254"/>
        <v>100</v>
      </c>
      <c r="J468" s="228"/>
      <c r="K468" s="117"/>
      <c r="L468" s="117"/>
    </row>
    <row r="469" spans="1:12" s="253" customFormat="1" ht="31.5">
      <c r="A469" s="25" t="s">
        <v>148</v>
      </c>
      <c r="B469" s="16">
        <v>905</v>
      </c>
      <c r="C469" s="20" t="s">
        <v>135</v>
      </c>
      <c r="D469" s="20" t="s">
        <v>157</v>
      </c>
      <c r="E469" s="20" t="s">
        <v>1179</v>
      </c>
      <c r="F469" s="20" t="s">
        <v>149</v>
      </c>
      <c r="G469" s="26">
        <f>G470</f>
        <v>100</v>
      </c>
      <c r="H469" s="261">
        <f t="shared" si="254"/>
        <v>100</v>
      </c>
      <c r="I469" s="261">
        <f t="shared" si="254"/>
        <v>100</v>
      </c>
      <c r="J469" s="228"/>
      <c r="K469" s="117"/>
      <c r="L469" s="117"/>
    </row>
    <row r="470" spans="1:12" s="253" customFormat="1" ht="31.5">
      <c r="A470" s="25" t="s">
        <v>150</v>
      </c>
      <c r="B470" s="16">
        <v>905</v>
      </c>
      <c r="C470" s="20" t="s">
        <v>135</v>
      </c>
      <c r="D470" s="20" t="s">
        <v>157</v>
      </c>
      <c r="E470" s="20" t="s">
        <v>1179</v>
      </c>
      <c r="F470" s="20" t="s">
        <v>151</v>
      </c>
      <c r="G470" s="26">
        <v>100</v>
      </c>
      <c r="H470" s="261">
        <v>100</v>
      </c>
      <c r="I470" s="261">
        <v>100</v>
      </c>
      <c r="J470" s="228"/>
      <c r="K470" s="117"/>
      <c r="L470" s="117"/>
    </row>
    <row r="471" spans="1:12" s="120" customFormat="1" ht="69" customHeight="1">
      <c r="A471" s="23" t="s">
        <v>1191</v>
      </c>
      <c r="B471" s="19">
        <v>905</v>
      </c>
      <c r="C471" s="24" t="s">
        <v>135</v>
      </c>
      <c r="D471" s="24" t="s">
        <v>157</v>
      </c>
      <c r="E471" s="24" t="s">
        <v>808</v>
      </c>
      <c r="F471" s="24"/>
      <c r="G471" s="21">
        <f>G472</f>
        <v>239.82</v>
      </c>
      <c r="H471" s="272">
        <f aca="true" t="shared" si="255" ref="H471:I474">H472</f>
        <v>4932.3</v>
      </c>
      <c r="I471" s="272">
        <f t="shared" si="255"/>
        <v>4932.3</v>
      </c>
      <c r="J471" s="282" t="s">
        <v>1192</v>
      </c>
      <c r="K471" s="137"/>
      <c r="L471" s="137"/>
    </row>
    <row r="472" spans="1:12" s="254" customFormat="1" ht="29.25" customHeight="1">
      <c r="A472" s="23" t="s">
        <v>1010</v>
      </c>
      <c r="B472" s="19">
        <v>905</v>
      </c>
      <c r="C472" s="24" t="s">
        <v>135</v>
      </c>
      <c r="D472" s="24" t="s">
        <v>157</v>
      </c>
      <c r="E472" s="24" t="s">
        <v>1193</v>
      </c>
      <c r="F472" s="24"/>
      <c r="G472" s="21">
        <f>G473</f>
        <v>239.82</v>
      </c>
      <c r="H472" s="272">
        <f t="shared" si="255"/>
        <v>4932.3</v>
      </c>
      <c r="I472" s="272">
        <f t="shared" si="255"/>
        <v>4932.3</v>
      </c>
      <c r="J472" s="282"/>
      <c r="K472" s="137"/>
      <c r="L472" s="137"/>
    </row>
    <row r="473" spans="1:12" s="120" customFormat="1" ht="31.5" customHeight="1">
      <c r="A473" s="25" t="s">
        <v>818</v>
      </c>
      <c r="B473" s="16">
        <v>905</v>
      </c>
      <c r="C473" s="20" t="s">
        <v>135</v>
      </c>
      <c r="D473" s="20" t="s">
        <v>157</v>
      </c>
      <c r="E473" s="20" t="s">
        <v>1194</v>
      </c>
      <c r="F473" s="20"/>
      <c r="G473" s="26">
        <f>G474</f>
        <v>239.82</v>
      </c>
      <c r="H473" s="261">
        <f t="shared" si="255"/>
        <v>4932.3</v>
      </c>
      <c r="I473" s="261">
        <f t="shared" si="255"/>
        <v>4932.3</v>
      </c>
      <c r="J473" s="282"/>
      <c r="K473" s="137"/>
      <c r="L473" s="137"/>
    </row>
    <row r="474" spans="1:12" s="120" customFormat="1" ht="31.5">
      <c r="A474" s="25" t="s">
        <v>148</v>
      </c>
      <c r="B474" s="16">
        <v>905</v>
      </c>
      <c r="C474" s="20" t="s">
        <v>135</v>
      </c>
      <c r="D474" s="20" t="s">
        <v>157</v>
      </c>
      <c r="E474" s="20" t="s">
        <v>1194</v>
      </c>
      <c r="F474" s="20" t="s">
        <v>149</v>
      </c>
      <c r="G474" s="26">
        <f>G475</f>
        <v>239.82</v>
      </c>
      <c r="H474" s="261">
        <f t="shared" si="255"/>
        <v>4932.3</v>
      </c>
      <c r="I474" s="261">
        <f t="shared" si="255"/>
        <v>4932.3</v>
      </c>
      <c r="J474" s="282"/>
      <c r="K474" s="137"/>
      <c r="L474" s="137"/>
    </row>
    <row r="475" spans="1:12" s="120" customFormat="1" ht="31.5">
      <c r="A475" s="25" t="s">
        <v>150</v>
      </c>
      <c r="B475" s="16">
        <v>905</v>
      </c>
      <c r="C475" s="20" t="s">
        <v>135</v>
      </c>
      <c r="D475" s="20" t="s">
        <v>157</v>
      </c>
      <c r="E475" s="20" t="s">
        <v>1194</v>
      </c>
      <c r="F475" s="20" t="s">
        <v>151</v>
      </c>
      <c r="G475" s="26">
        <v>239.82</v>
      </c>
      <c r="H475" s="261">
        <f aca="true" t="shared" si="256" ref="H475:I475">448.5+4483.8</f>
        <v>4932.3</v>
      </c>
      <c r="I475" s="261">
        <f t="shared" si="256"/>
        <v>4932.3</v>
      </c>
      <c r="J475" s="273" t="s">
        <v>1337</v>
      </c>
      <c r="K475" s="137">
        <v>4483.8</v>
      </c>
      <c r="L475" s="137"/>
    </row>
    <row r="476" spans="1:12" ht="15.75">
      <c r="A476" s="42" t="s">
        <v>407</v>
      </c>
      <c r="B476" s="19">
        <v>905</v>
      </c>
      <c r="C476" s="24" t="s">
        <v>251</v>
      </c>
      <c r="D476" s="24"/>
      <c r="E476" s="24"/>
      <c r="F476" s="24"/>
      <c r="G476" s="21">
        <f>G477</f>
        <v>1181</v>
      </c>
      <c r="H476" s="272">
        <f aca="true" t="shared" si="257" ref="H476:I478">H477</f>
        <v>899.8</v>
      </c>
      <c r="I476" s="272">
        <f t="shared" si="257"/>
        <v>899.8</v>
      </c>
      <c r="L476" s="117"/>
    </row>
    <row r="477" spans="1:12" ht="15.75">
      <c r="A477" s="42" t="s">
        <v>408</v>
      </c>
      <c r="B477" s="19">
        <v>905</v>
      </c>
      <c r="C477" s="24" t="s">
        <v>251</v>
      </c>
      <c r="D477" s="24" t="s">
        <v>135</v>
      </c>
      <c r="E477" s="24"/>
      <c r="F477" s="24"/>
      <c r="G477" s="21">
        <f>G478</f>
        <v>1181</v>
      </c>
      <c r="H477" s="272">
        <f t="shared" si="257"/>
        <v>899.8</v>
      </c>
      <c r="I477" s="272">
        <f t="shared" si="257"/>
        <v>899.8</v>
      </c>
      <c r="L477" s="117"/>
    </row>
    <row r="478" spans="1:12" s="253" customFormat="1" ht="15.75">
      <c r="A478" s="23" t="s">
        <v>158</v>
      </c>
      <c r="B478" s="19">
        <v>905</v>
      </c>
      <c r="C478" s="24" t="s">
        <v>251</v>
      </c>
      <c r="D478" s="24" t="s">
        <v>135</v>
      </c>
      <c r="E478" s="24" t="s">
        <v>917</v>
      </c>
      <c r="F478" s="24"/>
      <c r="G478" s="21">
        <f>G479</f>
        <v>1181</v>
      </c>
      <c r="H478" s="272">
        <f t="shared" si="257"/>
        <v>899.8</v>
      </c>
      <c r="I478" s="272">
        <f t="shared" si="257"/>
        <v>899.8</v>
      </c>
      <c r="J478" s="228"/>
      <c r="K478" s="117"/>
      <c r="L478" s="117"/>
    </row>
    <row r="479" spans="1:12" s="253" customFormat="1" ht="31.5">
      <c r="A479" s="23" t="s">
        <v>921</v>
      </c>
      <c r="B479" s="19">
        <v>905</v>
      </c>
      <c r="C479" s="24" t="s">
        <v>251</v>
      </c>
      <c r="D479" s="24" t="s">
        <v>135</v>
      </c>
      <c r="E479" s="24" t="s">
        <v>916</v>
      </c>
      <c r="F479" s="24"/>
      <c r="G479" s="21">
        <f>G480+G483</f>
        <v>1181</v>
      </c>
      <c r="H479" s="272">
        <f aca="true" t="shared" si="258" ref="H479:I479">H480+H483</f>
        <v>899.8</v>
      </c>
      <c r="I479" s="272">
        <f t="shared" si="258"/>
        <v>899.8</v>
      </c>
      <c r="J479" s="228"/>
      <c r="K479" s="117"/>
      <c r="L479" s="117"/>
    </row>
    <row r="480" spans="1:12" ht="31.5">
      <c r="A480" s="30" t="s">
        <v>415</v>
      </c>
      <c r="B480" s="16">
        <v>905</v>
      </c>
      <c r="C480" s="20" t="s">
        <v>251</v>
      </c>
      <c r="D480" s="20" t="s">
        <v>135</v>
      </c>
      <c r="E480" s="20" t="s">
        <v>1105</v>
      </c>
      <c r="F480" s="20"/>
      <c r="G480" s="26">
        <f>G481</f>
        <v>270.4</v>
      </c>
      <c r="H480" s="261">
        <f aca="true" t="shared" si="259" ref="H480:I481">H481</f>
        <v>270.2</v>
      </c>
      <c r="I480" s="261">
        <f t="shared" si="259"/>
        <v>270.2</v>
      </c>
      <c r="L480" s="117"/>
    </row>
    <row r="481" spans="1:12" ht="31.5">
      <c r="A481" s="25" t="s">
        <v>148</v>
      </c>
      <c r="B481" s="16">
        <v>905</v>
      </c>
      <c r="C481" s="20" t="s">
        <v>251</v>
      </c>
      <c r="D481" s="20" t="s">
        <v>135</v>
      </c>
      <c r="E481" s="20" t="s">
        <v>1105</v>
      </c>
      <c r="F481" s="20" t="s">
        <v>149</v>
      </c>
      <c r="G481" s="26">
        <f>G482</f>
        <v>270.4</v>
      </c>
      <c r="H481" s="261">
        <f t="shared" si="259"/>
        <v>270.2</v>
      </c>
      <c r="I481" s="261">
        <f t="shared" si="259"/>
        <v>270.2</v>
      </c>
      <c r="L481" s="117"/>
    </row>
    <row r="482" spans="1:12" ht="31.5">
      <c r="A482" s="25" t="s">
        <v>150</v>
      </c>
      <c r="B482" s="16">
        <v>905</v>
      </c>
      <c r="C482" s="20" t="s">
        <v>251</v>
      </c>
      <c r="D482" s="20" t="s">
        <v>135</v>
      </c>
      <c r="E482" s="20" t="s">
        <v>1105</v>
      </c>
      <c r="F482" s="20" t="s">
        <v>151</v>
      </c>
      <c r="G482" s="26">
        <f>263.2+7+0.2</f>
        <v>270.4</v>
      </c>
      <c r="H482" s="261">
        <f aca="true" t="shared" si="260" ref="H482:I482">263.2+7</f>
        <v>270.2</v>
      </c>
      <c r="I482" s="261">
        <f t="shared" si="260"/>
        <v>270.2</v>
      </c>
      <c r="J482" s="273"/>
      <c r="L482" s="117"/>
    </row>
    <row r="483" spans="1:12" ht="31.5">
      <c r="A483" s="30" t="s">
        <v>1012</v>
      </c>
      <c r="B483" s="16">
        <v>905</v>
      </c>
      <c r="C483" s="20" t="s">
        <v>251</v>
      </c>
      <c r="D483" s="20" t="s">
        <v>135</v>
      </c>
      <c r="E483" s="20" t="s">
        <v>1106</v>
      </c>
      <c r="F483" s="20"/>
      <c r="G483" s="26">
        <f>G484</f>
        <v>910.6</v>
      </c>
      <c r="H483" s="261">
        <f aca="true" t="shared" si="261" ref="H483:I484">H484</f>
        <v>629.6</v>
      </c>
      <c r="I483" s="261">
        <f t="shared" si="261"/>
        <v>629.6</v>
      </c>
      <c r="L483" s="117"/>
    </row>
    <row r="484" spans="1:12" ht="31.5">
      <c r="A484" s="25" t="s">
        <v>148</v>
      </c>
      <c r="B484" s="16">
        <v>905</v>
      </c>
      <c r="C484" s="20" t="s">
        <v>251</v>
      </c>
      <c r="D484" s="20" t="s">
        <v>135</v>
      </c>
      <c r="E484" s="20" t="s">
        <v>1106</v>
      </c>
      <c r="F484" s="20" t="s">
        <v>149</v>
      </c>
      <c r="G484" s="26">
        <f>G485</f>
        <v>910.6</v>
      </c>
      <c r="H484" s="261">
        <f t="shared" si="261"/>
        <v>629.6</v>
      </c>
      <c r="I484" s="261">
        <f t="shared" si="261"/>
        <v>629.6</v>
      </c>
      <c r="L484" s="117"/>
    </row>
    <row r="485" spans="1:12" ht="31.5">
      <c r="A485" s="25" t="s">
        <v>150</v>
      </c>
      <c r="B485" s="16">
        <v>905</v>
      </c>
      <c r="C485" s="20" t="s">
        <v>251</v>
      </c>
      <c r="D485" s="20" t="s">
        <v>135</v>
      </c>
      <c r="E485" s="20" t="s">
        <v>1106</v>
      </c>
      <c r="F485" s="20" t="s">
        <v>151</v>
      </c>
      <c r="G485" s="26">
        <v>910.6</v>
      </c>
      <c r="H485" s="261">
        <f aca="true" t="shared" si="262" ref="H485:I485">274.5+355.1</f>
        <v>629.6</v>
      </c>
      <c r="I485" s="261">
        <f t="shared" si="262"/>
        <v>629.6</v>
      </c>
      <c r="J485" s="273"/>
      <c r="L485" s="117"/>
    </row>
    <row r="486" spans="1:12" ht="31.5">
      <c r="A486" s="19" t="s">
        <v>420</v>
      </c>
      <c r="B486" s="19">
        <v>906</v>
      </c>
      <c r="C486" s="24"/>
      <c r="D486" s="24"/>
      <c r="E486" s="24"/>
      <c r="F486" s="24"/>
      <c r="G486" s="21">
        <f>G497+G487</f>
        <v>299026.23099999997</v>
      </c>
      <c r="H486" s="272">
        <f>H497+H487</f>
        <v>292115.3</v>
      </c>
      <c r="I486" s="272">
        <f>I497+I487</f>
        <v>292115.3</v>
      </c>
      <c r="J486" s="275">
        <f>G487+G501+G522+G532+G543+G549+G554+G562+G589+G603+G610+G616+G623+G627+G632+G640+G654+G663+G672+G678</f>
        <v>118544.631</v>
      </c>
      <c r="L486" s="117"/>
    </row>
    <row r="487" spans="1:12" ht="15.75">
      <c r="A487" s="23" t="s">
        <v>134</v>
      </c>
      <c r="B487" s="19">
        <v>906</v>
      </c>
      <c r="C487" s="24" t="s">
        <v>135</v>
      </c>
      <c r="D487" s="24"/>
      <c r="E487" s="24"/>
      <c r="F487" s="24"/>
      <c r="G487" s="21">
        <f aca="true" t="shared" si="263" ref="G487:G492">G488</f>
        <v>50</v>
      </c>
      <c r="H487" s="272">
        <f aca="true" t="shared" si="264" ref="H487:I488">H488</f>
        <v>20</v>
      </c>
      <c r="I487" s="272">
        <f t="shared" si="264"/>
        <v>20</v>
      </c>
      <c r="L487" s="117"/>
    </row>
    <row r="488" spans="1:12" ht="15.75">
      <c r="A488" s="35" t="s">
        <v>156</v>
      </c>
      <c r="B488" s="19">
        <v>906</v>
      </c>
      <c r="C488" s="24" t="s">
        <v>135</v>
      </c>
      <c r="D488" s="24" t="s">
        <v>157</v>
      </c>
      <c r="E488" s="24"/>
      <c r="F488" s="24"/>
      <c r="G488" s="21">
        <f t="shared" si="263"/>
        <v>50</v>
      </c>
      <c r="H488" s="272">
        <f t="shared" si="264"/>
        <v>20</v>
      </c>
      <c r="I488" s="272">
        <f t="shared" si="264"/>
        <v>20</v>
      </c>
      <c r="L488" s="117"/>
    </row>
    <row r="489" spans="1:12" ht="47.25">
      <c r="A489" s="23" t="s">
        <v>351</v>
      </c>
      <c r="B489" s="19">
        <v>906</v>
      </c>
      <c r="C489" s="24" t="s">
        <v>135</v>
      </c>
      <c r="D489" s="24" t="s">
        <v>157</v>
      </c>
      <c r="E489" s="24" t="s">
        <v>352</v>
      </c>
      <c r="F489" s="24"/>
      <c r="G489" s="21">
        <f t="shared" si="263"/>
        <v>50</v>
      </c>
      <c r="H489" s="272">
        <f aca="true" t="shared" si="265" ref="H489:I489">H490</f>
        <v>20</v>
      </c>
      <c r="I489" s="272">
        <f t="shared" si="265"/>
        <v>20</v>
      </c>
      <c r="L489" s="117"/>
    </row>
    <row r="490" spans="1:12" s="253" customFormat="1" ht="31.5">
      <c r="A490" s="313" t="s">
        <v>1242</v>
      </c>
      <c r="B490" s="19">
        <v>906</v>
      </c>
      <c r="C490" s="24" t="s">
        <v>135</v>
      </c>
      <c r="D490" s="24" t="s">
        <v>157</v>
      </c>
      <c r="E490" s="24" t="s">
        <v>1243</v>
      </c>
      <c r="F490" s="24"/>
      <c r="G490" s="21">
        <f t="shared" si="263"/>
        <v>50</v>
      </c>
      <c r="H490" s="272">
        <f aca="true" t="shared" si="266" ref="H490:I492">H491</f>
        <v>20</v>
      </c>
      <c r="I490" s="272">
        <f t="shared" si="266"/>
        <v>20</v>
      </c>
      <c r="J490" s="228"/>
      <c r="K490" s="117"/>
      <c r="L490" s="117"/>
    </row>
    <row r="491" spans="1:12" ht="31.5">
      <c r="A491" s="105" t="s">
        <v>353</v>
      </c>
      <c r="B491" s="16">
        <v>906</v>
      </c>
      <c r="C491" s="20" t="s">
        <v>135</v>
      </c>
      <c r="D491" s="20" t="s">
        <v>157</v>
      </c>
      <c r="E491" s="20" t="s">
        <v>1244</v>
      </c>
      <c r="F491" s="20"/>
      <c r="G491" s="26">
        <f t="shared" si="263"/>
        <v>50</v>
      </c>
      <c r="H491" s="261">
        <f t="shared" si="266"/>
        <v>20</v>
      </c>
      <c r="I491" s="261">
        <f t="shared" si="266"/>
        <v>20</v>
      </c>
      <c r="L491" s="117"/>
    </row>
    <row r="492" spans="1:12" ht="31.5">
      <c r="A492" s="25" t="s">
        <v>148</v>
      </c>
      <c r="B492" s="16">
        <v>906</v>
      </c>
      <c r="C492" s="20" t="s">
        <v>135</v>
      </c>
      <c r="D492" s="20" t="s">
        <v>157</v>
      </c>
      <c r="E492" s="20" t="s">
        <v>1244</v>
      </c>
      <c r="F492" s="20" t="s">
        <v>149</v>
      </c>
      <c r="G492" s="26">
        <f t="shared" si="263"/>
        <v>50</v>
      </c>
      <c r="H492" s="261">
        <f t="shared" si="266"/>
        <v>20</v>
      </c>
      <c r="I492" s="261">
        <f t="shared" si="266"/>
        <v>20</v>
      </c>
      <c r="L492" s="117"/>
    </row>
    <row r="493" spans="1:12" ht="31.5">
      <c r="A493" s="25" t="s">
        <v>150</v>
      </c>
      <c r="B493" s="16">
        <v>906</v>
      </c>
      <c r="C493" s="20" t="s">
        <v>135</v>
      </c>
      <c r="D493" s="20" t="s">
        <v>157</v>
      </c>
      <c r="E493" s="20" t="s">
        <v>1244</v>
      </c>
      <c r="F493" s="20" t="s">
        <v>151</v>
      </c>
      <c r="G493" s="26">
        <v>50</v>
      </c>
      <c r="H493" s="261">
        <v>20</v>
      </c>
      <c r="I493" s="261">
        <v>20</v>
      </c>
      <c r="L493" s="117"/>
    </row>
    <row r="494" spans="1:12" ht="15.75" hidden="1">
      <c r="A494" s="32" t="s">
        <v>798</v>
      </c>
      <c r="B494" s="16">
        <v>906</v>
      </c>
      <c r="C494" s="20" t="s">
        <v>135</v>
      </c>
      <c r="D494" s="20" t="s">
        <v>157</v>
      </c>
      <c r="E494" s="20" t="s">
        <v>1277</v>
      </c>
      <c r="F494" s="20"/>
      <c r="G494" s="26">
        <f>G495</f>
        <v>0</v>
      </c>
      <c r="H494" s="261">
        <f aca="true" t="shared" si="267" ref="H494:I495">H495</f>
        <v>0</v>
      </c>
      <c r="I494" s="261">
        <f t="shared" si="267"/>
        <v>0</v>
      </c>
      <c r="L494" s="117"/>
    </row>
    <row r="495" spans="1:12" ht="31.5" hidden="1">
      <c r="A495" s="25" t="s">
        <v>148</v>
      </c>
      <c r="B495" s="16">
        <v>906</v>
      </c>
      <c r="C495" s="20" t="s">
        <v>135</v>
      </c>
      <c r="D495" s="20" t="s">
        <v>157</v>
      </c>
      <c r="E495" s="20" t="s">
        <v>1277</v>
      </c>
      <c r="F495" s="20" t="s">
        <v>149</v>
      </c>
      <c r="G495" s="26">
        <f>G496</f>
        <v>0</v>
      </c>
      <c r="H495" s="261">
        <f t="shared" si="267"/>
        <v>0</v>
      </c>
      <c r="I495" s="261">
        <f t="shared" si="267"/>
        <v>0</v>
      </c>
      <c r="L495" s="117"/>
    </row>
    <row r="496" spans="1:12" ht="31.5" hidden="1">
      <c r="A496" s="25" t="s">
        <v>150</v>
      </c>
      <c r="B496" s="16">
        <v>906</v>
      </c>
      <c r="C496" s="20" t="s">
        <v>135</v>
      </c>
      <c r="D496" s="20" t="s">
        <v>157</v>
      </c>
      <c r="E496" s="20" t="s">
        <v>1277</v>
      </c>
      <c r="F496" s="20" t="s">
        <v>151</v>
      </c>
      <c r="G496" s="26">
        <v>0</v>
      </c>
      <c r="H496" s="261">
        <v>0</v>
      </c>
      <c r="I496" s="261">
        <v>0</v>
      </c>
      <c r="L496" s="117"/>
    </row>
    <row r="497" spans="1:12" ht="15.75">
      <c r="A497" s="23" t="s">
        <v>280</v>
      </c>
      <c r="B497" s="19">
        <v>906</v>
      </c>
      <c r="C497" s="24" t="s">
        <v>281</v>
      </c>
      <c r="D497" s="24"/>
      <c r="E497" s="24"/>
      <c r="F497" s="24"/>
      <c r="G497" s="21">
        <f>G498+G559+G668+G678+G637</f>
        <v>298976.23099999997</v>
      </c>
      <c r="H497" s="272">
        <f>H498+H559+H668+H678+H637</f>
        <v>292095.3</v>
      </c>
      <c r="I497" s="272">
        <f>I498+I559+I668+I678+I637</f>
        <v>292095.3</v>
      </c>
      <c r="L497" s="117"/>
    </row>
    <row r="498" spans="1:12" ht="15.75">
      <c r="A498" s="23" t="s">
        <v>421</v>
      </c>
      <c r="B498" s="19">
        <v>906</v>
      </c>
      <c r="C498" s="24" t="s">
        <v>281</v>
      </c>
      <c r="D498" s="24" t="s">
        <v>135</v>
      </c>
      <c r="E498" s="24"/>
      <c r="F498" s="24"/>
      <c r="G498" s="21">
        <f>G499+G549+G554</f>
        <v>96706</v>
      </c>
      <c r="H498" s="272">
        <f aca="true" t="shared" si="268" ref="H498:I498">H499+H549+H554</f>
        <v>92521.6</v>
      </c>
      <c r="I498" s="272">
        <f t="shared" si="268"/>
        <v>92521.6</v>
      </c>
      <c r="J498" s="275"/>
      <c r="K498" s="122"/>
      <c r="L498" s="117"/>
    </row>
    <row r="499" spans="1:12" ht="51.75" customHeight="1">
      <c r="A499" s="23" t="s">
        <v>422</v>
      </c>
      <c r="B499" s="19">
        <v>906</v>
      </c>
      <c r="C499" s="24" t="s">
        <v>281</v>
      </c>
      <c r="D499" s="24" t="s">
        <v>135</v>
      </c>
      <c r="E499" s="24" t="s">
        <v>423</v>
      </c>
      <c r="F499" s="24"/>
      <c r="G499" s="21">
        <f>G500+G521</f>
        <v>96241.7</v>
      </c>
      <c r="H499" s="272">
        <f aca="true" t="shared" si="269" ref="H499:I499">H500+H521</f>
        <v>91360.3</v>
      </c>
      <c r="I499" s="272">
        <f t="shared" si="269"/>
        <v>91360.3</v>
      </c>
      <c r="J499" s="275"/>
      <c r="L499" s="117"/>
    </row>
    <row r="500" spans="1:12" ht="38.25" customHeight="1">
      <c r="A500" s="23" t="s">
        <v>424</v>
      </c>
      <c r="B500" s="19">
        <v>906</v>
      </c>
      <c r="C500" s="24" t="s">
        <v>281</v>
      </c>
      <c r="D500" s="24" t="s">
        <v>135</v>
      </c>
      <c r="E500" s="24" t="s">
        <v>425</v>
      </c>
      <c r="F500" s="24"/>
      <c r="G500" s="21">
        <f>G501+G508</f>
        <v>86566.4</v>
      </c>
      <c r="H500" s="272">
        <f aca="true" t="shared" si="270" ref="H500:I500">H501+H508</f>
        <v>80890.3</v>
      </c>
      <c r="I500" s="272">
        <f t="shared" si="270"/>
        <v>80890.3</v>
      </c>
      <c r="L500" s="117"/>
    </row>
    <row r="501" spans="1:12" s="253" customFormat="1" ht="38.25" customHeight="1">
      <c r="A501" s="23" t="s">
        <v>1036</v>
      </c>
      <c r="B501" s="19">
        <v>906</v>
      </c>
      <c r="C501" s="24" t="s">
        <v>281</v>
      </c>
      <c r="D501" s="24" t="s">
        <v>135</v>
      </c>
      <c r="E501" s="24" t="s">
        <v>1014</v>
      </c>
      <c r="F501" s="24"/>
      <c r="G501" s="21">
        <f>G502+G505</f>
        <v>13527</v>
      </c>
      <c r="H501" s="272">
        <f aca="true" t="shared" si="271" ref="H501:I501">H502+H505</f>
        <v>13527</v>
      </c>
      <c r="I501" s="272">
        <f t="shared" si="271"/>
        <v>13527</v>
      </c>
      <c r="J501" s="275">
        <f>G501+G522+G532+G543+G562+G589+G603+G610+G616+G623+G640+G659+G554+G632+G663+G674</f>
        <v>98025.7</v>
      </c>
      <c r="K501" s="117"/>
      <c r="L501" s="117"/>
    </row>
    <row r="502" spans="1:12" ht="47.25">
      <c r="A502" s="25" t="s">
        <v>1071</v>
      </c>
      <c r="B502" s="16">
        <v>906</v>
      </c>
      <c r="C502" s="20" t="s">
        <v>281</v>
      </c>
      <c r="D502" s="20" t="s">
        <v>135</v>
      </c>
      <c r="E502" s="20" t="s">
        <v>1070</v>
      </c>
      <c r="F502" s="20"/>
      <c r="G502" s="26">
        <f>G503</f>
        <v>8224.3</v>
      </c>
      <c r="H502" s="261">
        <f aca="true" t="shared" si="272" ref="H502:I503">H503</f>
        <v>13527</v>
      </c>
      <c r="I502" s="261">
        <f t="shared" si="272"/>
        <v>13527</v>
      </c>
      <c r="L502" s="117"/>
    </row>
    <row r="503" spans="1:12" ht="31.5">
      <c r="A503" s="25" t="s">
        <v>289</v>
      </c>
      <c r="B503" s="16">
        <v>906</v>
      </c>
      <c r="C503" s="20" t="s">
        <v>281</v>
      </c>
      <c r="D503" s="20" t="s">
        <v>135</v>
      </c>
      <c r="E503" s="20" t="s">
        <v>1070</v>
      </c>
      <c r="F503" s="20" t="s">
        <v>290</v>
      </c>
      <c r="G503" s="26">
        <f>G504</f>
        <v>8224.3</v>
      </c>
      <c r="H503" s="261">
        <f t="shared" si="272"/>
        <v>13527</v>
      </c>
      <c r="I503" s="261">
        <f t="shared" si="272"/>
        <v>13527</v>
      </c>
      <c r="L503" s="117"/>
    </row>
    <row r="504" spans="1:12" ht="15.75">
      <c r="A504" s="25" t="s">
        <v>291</v>
      </c>
      <c r="B504" s="16">
        <v>906</v>
      </c>
      <c r="C504" s="20" t="s">
        <v>281</v>
      </c>
      <c r="D504" s="20" t="s">
        <v>135</v>
      </c>
      <c r="E504" s="20" t="s">
        <v>1070</v>
      </c>
      <c r="F504" s="20" t="s">
        <v>292</v>
      </c>
      <c r="G504" s="27">
        <f>13527-5302.7</f>
        <v>8224.3</v>
      </c>
      <c r="H504" s="27">
        <v>13527</v>
      </c>
      <c r="I504" s="27">
        <v>13527</v>
      </c>
      <c r="J504" s="281"/>
      <c r="K504" s="122"/>
      <c r="L504" s="117"/>
    </row>
    <row r="505" spans="1:12" s="253" customFormat="1" ht="47.25">
      <c r="A505" s="25" t="s">
        <v>1255</v>
      </c>
      <c r="B505" s="16">
        <v>906</v>
      </c>
      <c r="C505" s="20" t="s">
        <v>281</v>
      </c>
      <c r="D505" s="20" t="s">
        <v>135</v>
      </c>
      <c r="E505" s="20" t="s">
        <v>1072</v>
      </c>
      <c r="F505" s="20"/>
      <c r="G505" s="26">
        <f>G506</f>
        <v>5302.7</v>
      </c>
      <c r="H505" s="261">
        <f aca="true" t="shared" si="273" ref="H505:I506">H506</f>
        <v>0</v>
      </c>
      <c r="I505" s="261">
        <f t="shared" si="273"/>
        <v>0</v>
      </c>
      <c r="J505" s="285"/>
      <c r="K505" s="122"/>
      <c r="L505" s="117"/>
    </row>
    <row r="506" spans="1:12" s="253" customFormat="1" ht="31.5">
      <c r="A506" s="25" t="s">
        <v>289</v>
      </c>
      <c r="B506" s="16">
        <v>906</v>
      </c>
      <c r="C506" s="20" t="s">
        <v>281</v>
      </c>
      <c r="D506" s="20" t="s">
        <v>135</v>
      </c>
      <c r="E506" s="20" t="s">
        <v>1072</v>
      </c>
      <c r="F506" s="20" t="s">
        <v>290</v>
      </c>
      <c r="G506" s="26">
        <f>G507</f>
        <v>5302.7</v>
      </c>
      <c r="H506" s="261">
        <f t="shared" si="273"/>
        <v>0</v>
      </c>
      <c r="I506" s="261">
        <f t="shared" si="273"/>
        <v>0</v>
      </c>
      <c r="J506" s="285"/>
      <c r="K506" s="122"/>
      <c r="L506" s="117"/>
    </row>
    <row r="507" spans="1:12" s="253" customFormat="1" ht="15.75">
      <c r="A507" s="25" t="s">
        <v>291</v>
      </c>
      <c r="B507" s="16">
        <v>906</v>
      </c>
      <c r="C507" s="20" t="s">
        <v>281</v>
      </c>
      <c r="D507" s="20" t="s">
        <v>135</v>
      </c>
      <c r="E507" s="20" t="s">
        <v>1072</v>
      </c>
      <c r="F507" s="20" t="s">
        <v>292</v>
      </c>
      <c r="G507" s="27">
        <v>5302.7</v>
      </c>
      <c r="H507" s="309"/>
      <c r="I507" s="309"/>
      <c r="J507" s="285"/>
      <c r="K507" s="122"/>
      <c r="L507" s="117"/>
    </row>
    <row r="508" spans="1:12" s="253" customFormat="1" ht="47.25">
      <c r="A508" s="23" t="s">
        <v>976</v>
      </c>
      <c r="B508" s="19">
        <v>906</v>
      </c>
      <c r="C508" s="24" t="s">
        <v>281</v>
      </c>
      <c r="D508" s="24" t="s">
        <v>135</v>
      </c>
      <c r="E508" s="24" t="s">
        <v>1029</v>
      </c>
      <c r="F508" s="24"/>
      <c r="G508" s="45">
        <f>G509+G512+G515+G518</f>
        <v>73039.4</v>
      </c>
      <c r="H508" s="45">
        <f aca="true" t="shared" si="274" ref="H508:I508">H509+H512+H515+H518</f>
        <v>67363.3</v>
      </c>
      <c r="I508" s="45">
        <f t="shared" si="274"/>
        <v>67363.3</v>
      </c>
      <c r="J508" s="285"/>
      <c r="K508" s="122"/>
      <c r="L508" s="117"/>
    </row>
    <row r="509" spans="1:12" s="253" customFormat="1" ht="63">
      <c r="A509" s="32" t="s">
        <v>306</v>
      </c>
      <c r="B509" s="16">
        <v>906</v>
      </c>
      <c r="C509" s="20" t="s">
        <v>281</v>
      </c>
      <c r="D509" s="20" t="s">
        <v>135</v>
      </c>
      <c r="E509" s="20" t="s">
        <v>1028</v>
      </c>
      <c r="F509" s="20"/>
      <c r="G509" s="26">
        <f>G510</f>
        <v>363.7</v>
      </c>
      <c r="H509" s="261">
        <f aca="true" t="shared" si="275" ref="H509:I510">H510</f>
        <v>363.7</v>
      </c>
      <c r="I509" s="261">
        <f t="shared" si="275"/>
        <v>363.7</v>
      </c>
      <c r="J509" s="285"/>
      <c r="K509" s="122"/>
      <c r="L509" s="117"/>
    </row>
    <row r="510" spans="1:12" s="253" customFormat="1" ht="31.5">
      <c r="A510" s="25" t="s">
        <v>289</v>
      </c>
      <c r="B510" s="16">
        <v>906</v>
      </c>
      <c r="C510" s="20" t="s">
        <v>281</v>
      </c>
      <c r="D510" s="20" t="s">
        <v>135</v>
      </c>
      <c r="E510" s="20" t="s">
        <v>1028</v>
      </c>
      <c r="F510" s="20" t="s">
        <v>290</v>
      </c>
      <c r="G510" s="26">
        <f>G511</f>
        <v>363.7</v>
      </c>
      <c r="H510" s="261">
        <f t="shared" si="275"/>
        <v>363.7</v>
      </c>
      <c r="I510" s="261">
        <f t="shared" si="275"/>
        <v>363.7</v>
      </c>
      <c r="J510" s="285"/>
      <c r="K510" s="122"/>
      <c r="L510" s="117"/>
    </row>
    <row r="511" spans="1:12" s="253" customFormat="1" ht="15.75">
      <c r="A511" s="25" t="s">
        <v>291</v>
      </c>
      <c r="B511" s="16">
        <v>906</v>
      </c>
      <c r="C511" s="20" t="s">
        <v>281</v>
      </c>
      <c r="D511" s="20" t="s">
        <v>135</v>
      </c>
      <c r="E511" s="20" t="s">
        <v>1028</v>
      </c>
      <c r="F511" s="20" t="s">
        <v>292</v>
      </c>
      <c r="G511" s="26">
        <v>363.7</v>
      </c>
      <c r="H511" s="261">
        <v>363.7</v>
      </c>
      <c r="I511" s="261">
        <v>363.7</v>
      </c>
      <c r="J511" s="285"/>
      <c r="K511" s="122"/>
      <c r="L511" s="117"/>
    </row>
    <row r="512" spans="1:12" s="253" customFormat="1" ht="63">
      <c r="A512" s="32" t="s">
        <v>437</v>
      </c>
      <c r="B512" s="16">
        <v>906</v>
      </c>
      <c r="C512" s="20" t="s">
        <v>281</v>
      </c>
      <c r="D512" s="20" t="s">
        <v>135</v>
      </c>
      <c r="E512" s="20" t="s">
        <v>1031</v>
      </c>
      <c r="F512" s="20"/>
      <c r="G512" s="26">
        <f>G513</f>
        <v>1755.8</v>
      </c>
      <c r="H512" s="261">
        <f aca="true" t="shared" si="276" ref="H512:I513">H513</f>
        <v>1755.8</v>
      </c>
      <c r="I512" s="261">
        <f t="shared" si="276"/>
        <v>1755.8</v>
      </c>
      <c r="J512" s="285"/>
      <c r="K512" s="122"/>
      <c r="L512" s="117"/>
    </row>
    <row r="513" spans="1:12" s="253" customFormat="1" ht="31.5">
      <c r="A513" s="25" t="s">
        <v>289</v>
      </c>
      <c r="B513" s="16">
        <v>906</v>
      </c>
      <c r="C513" s="20" t="s">
        <v>281</v>
      </c>
      <c r="D513" s="20" t="s">
        <v>135</v>
      </c>
      <c r="E513" s="20" t="s">
        <v>1031</v>
      </c>
      <c r="F513" s="20" t="s">
        <v>290</v>
      </c>
      <c r="G513" s="26">
        <f>G514</f>
        <v>1755.8</v>
      </c>
      <c r="H513" s="261">
        <f t="shared" si="276"/>
        <v>1755.8</v>
      </c>
      <c r="I513" s="261">
        <f t="shared" si="276"/>
        <v>1755.8</v>
      </c>
      <c r="J513" s="285"/>
      <c r="K513" s="122"/>
      <c r="L513" s="117"/>
    </row>
    <row r="514" spans="1:12" s="253" customFormat="1" ht="15.75">
      <c r="A514" s="25" t="s">
        <v>291</v>
      </c>
      <c r="B514" s="16">
        <v>906</v>
      </c>
      <c r="C514" s="20" t="s">
        <v>281</v>
      </c>
      <c r="D514" s="20" t="s">
        <v>135</v>
      </c>
      <c r="E514" s="20" t="s">
        <v>1031</v>
      </c>
      <c r="F514" s="20" t="s">
        <v>292</v>
      </c>
      <c r="G514" s="26">
        <f>1900-203.2+59</f>
        <v>1755.8</v>
      </c>
      <c r="H514" s="261">
        <f aca="true" t="shared" si="277" ref="H514:I514">1900-203.2+59</f>
        <v>1755.8</v>
      </c>
      <c r="I514" s="261">
        <f t="shared" si="277"/>
        <v>1755.8</v>
      </c>
      <c r="J514" s="285"/>
      <c r="K514" s="122"/>
      <c r="L514" s="117"/>
    </row>
    <row r="515" spans="1:12" s="253" customFormat="1" ht="78.75">
      <c r="A515" s="32" t="s">
        <v>438</v>
      </c>
      <c r="B515" s="16">
        <v>906</v>
      </c>
      <c r="C515" s="20" t="s">
        <v>281</v>
      </c>
      <c r="D515" s="20" t="s">
        <v>135</v>
      </c>
      <c r="E515" s="20" t="s">
        <v>1030</v>
      </c>
      <c r="F515" s="20"/>
      <c r="G515" s="26">
        <f>G516</f>
        <v>68207.5</v>
      </c>
      <c r="H515" s="261">
        <f aca="true" t="shared" si="278" ref="H515:I516">H516</f>
        <v>62531.4</v>
      </c>
      <c r="I515" s="261">
        <f t="shared" si="278"/>
        <v>62531.4</v>
      </c>
      <c r="J515" s="285"/>
      <c r="K515" s="122"/>
      <c r="L515" s="117"/>
    </row>
    <row r="516" spans="1:12" s="253" customFormat="1" ht="31.5">
      <c r="A516" s="25" t="s">
        <v>289</v>
      </c>
      <c r="B516" s="16">
        <v>906</v>
      </c>
      <c r="C516" s="20" t="s">
        <v>281</v>
      </c>
      <c r="D516" s="20" t="s">
        <v>135</v>
      </c>
      <c r="E516" s="20" t="s">
        <v>1030</v>
      </c>
      <c r="F516" s="20" t="s">
        <v>290</v>
      </c>
      <c r="G516" s="26">
        <f>G517</f>
        <v>68207.5</v>
      </c>
      <c r="H516" s="261">
        <f t="shared" si="278"/>
        <v>62531.4</v>
      </c>
      <c r="I516" s="261">
        <f t="shared" si="278"/>
        <v>62531.4</v>
      </c>
      <c r="J516" s="285"/>
      <c r="K516" s="122"/>
      <c r="L516" s="117"/>
    </row>
    <row r="517" spans="1:12" s="253" customFormat="1" ht="15.75">
      <c r="A517" s="25" t="s">
        <v>291</v>
      </c>
      <c r="B517" s="16">
        <v>906</v>
      </c>
      <c r="C517" s="20" t="s">
        <v>281</v>
      </c>
      <c r="D517" s="20" t="s">
        <v>135</v>
      </c>
      <c r="E517" s="20" t="s">
        <v>1030</v>
      </c>
      <c r="F517" s="20" t="s">
        <v>292</v>
      </c>
      <c r="G517" s="27">
        <v>68207.5</v>
      </c>
      <c r="H517" s="262">
        <v>62531.4</v>
      </c>
      <c r="I517" s="262">
        <v>62531.4</v>
      </c>
      <c r="J517" s="285"/>
      <c r="K517" s="122"/>
      <c r="L517" s="117"/>
    </row>
    <row r="518" spans="1:12" s="253" customFormat="1" ht="78.75">
      <c r="A518" s="32" t="s">
        <v>310</v>
      </c>
      <c r="B518" s="16">
        <v>906</v>
      </c>
      <c r="C518" s="20" t="s">
        <v>281</v>
      </c>
      <c r="D518" s="20" t="s">
        <v>135</v>
      </c>
      <c r="E518" s="20" t="s">
        <v>1032</v>
      </c>
      <c r="F518" s="20"/>
      <c r="G518" s="26">
        <f>G519</f>
        <v>2712.4</v>
      </c>
      <c r="H518" s="261">
        <f aca="true" t="shared" si="279" ref="H518:I519">H519</f>
        <v>2712.4</v>
      </c>
      <c r="I518" s="261">
        <f t="shared" si="279"/>
        <v>2712.4</v>
      </c>
      <c r="J518" s="285"/>
      <c r="K518" s="122"/>
      <c r="L518" s="117"/>
    </row>
    <row r="519" spans="1:12" s="253" customFormat="1" ht="31.5">
      <c r="A519" s="25" t="s">
        <v>289</v>
      </c>
      <c r="B519" s="16">
        <v>906</v>
      </c>
      <c r="C519" s="20" t="s">
        <v>281</v>
      </c>
      <c r="D519" s="20" t="s">
        <v>135</v>
      </c>
      <c r="E519" s="20" t="s">
        <v>1032</v>
      </c>
      <c r="F519" s="20" t="s">
        <v>290</v>
      </c>
      <c r="G519" s="26">
        <f>G520</f>
        <v>2712.4</v>
      </c>
      <c r="H519" s="261">
        <f t="shared" si="279"/>
        <v>2712.4</v>
      </c>
      <c r="I519" s="261">
        <f t="shared" si="279"/>
        <v>2712.4</v>
      </c>
      <c r="J519" s="285"/>
      <c r="K519" s="122"/>
      <c r="L519" s="117"/>
    </row>
    <row r="520" spans="1:12" s="253" customFormat="1" ht="15.75">
      <c r="A520" s="25" t="s">
        <v>291</v>
      </c>
      <c r="B520" s="16">
        <v>906</v>
      </c>
      <c r="C520" s="20" t="s">
        <v>281</v>
      </c>
      <c r="D520" s="20" t="s">
        <v>135</v>
      </c>
      <c r="E520" s="20" t="s">
        <v>1032</v>
      </c>
      <c r="F520" s="20" t="s">
        <v>292</v>
      </c>
      <c r="G520" s="27">
        <f>2937.2-58.2-49+300-300-117.6</f>
        <v>2712.4</v>
      </c>
      <c r="H520" s="262">
        <f aca="true" t="shared" si="280" ref="H520:I520">2937.2-58.2-49+300-300-117.6</f>
        <v>2712.4</v>
      </c>
      <c r="I520" s="262">
        <f t="shared" si="280"/>
        <v>2712.4</v>
      </c>
      <c r="J520" s="285"/>
      <c r="K520" s="122"/>
      <c r="L520" s="117"/>
    </row>
    <row r="521" spans="1:12" ht="30" customHeight="1">
      <c r="A521" s="23" t="s">
        <v>428</v>
      </c>
      <c r="B521" s="19">
        <v>906</v>
      </c>
      <c r="C521" s="24" t="s">
        <v>281</v>
      </c>
      <c r="D521" s="24" t="s">
        <v>135</v>
      </c>
      <c r="E521" s="24" t="s">
        <v>429</v>
      </c>
      <c r="F521" s="24"/>
      <c r="G521" s="21">
        <f>G522+G532+G542</f>
        <v>9675.3</v>
      </c>
      <c r="H521" s="272">
        <f aca="true" t="shared" si="281" ref="H521:I521">H522+H532+H542</f>
        <v>10470</v>
      </c>
      <c r="I521" s="272">
        <f t="shared" si="281"/>
        <v>10470</v>
      </c>
      <c r="K521" s="244"/>
      <c r="L521" s="244"/>
    </row>
    <row r="522" spans="1:12" s="253" customFormat="1" ht="30" customHeight="1">
      <c r="A522" s="23" t="s">
        <v>1015</v>
      </c>
      <c r="B522" s="19">
        <v>906</v>
      </c>
      <c r="C522" s="24" t="s">
        <v>281</v>
      </c>
      <c r="D522" s="24" t="s">
        <v>135</v>
      </c>
      <c r="E522" s="24" t="s">
        <v>1016</v>
      </c>
      <c r="F522" s="24"/>
      <c r="G522" s="21">
        <f>G523+G526+G529</f>
        <v>5170</v>
      </c>
      <c r="H522" s="272">
        <f aca="true" t="shared" si="282" ref="H522:I522">H523+H526+H529</f>
        <v>5964.200000000001</v>
      </c>
      <c r="I522" s="272">
        <f t="shared" si="282"/>
        <v>5964.200000000001</v>
      </c>
      <c r="J522" s="228"/>
      <c r="K522" s="244"/>
      <c r="L522" s="244"/>
    </row>
    <row r="523" spans="1:12" ht="35.25" customHeight="1" hidden="1">
      <c r="A523" s="25" t="s">
        <v>295</v>
      </c>
      <c r="B523" s="16">
        <v>906</v>
      </c>
      <c r="C523" s="20" t="s">
        <v>281</v>
      </c>
      <c r="D523" s="20" t="s">
        <v>135</v>
      </c>
      <c r="E523" s="20" t="s">
        <v>1017</v>
      </c>
      <c r="F523" s="20"/>
      <c r="G523" s="26">
        <f>G524</f>
        <v>0</v>
      </c>
      <c r="H523" s="261">
        <f aca="true" t="shared" si="283" ref="H523:I524">H524</f>
        <v>503.8</v>
      </c>
      <c r="I523" s="261">
        <f t="shared" si="283"/>
        <v>503.8</v>
      </c>
      <c r="L523" s="117"/>
    </row>
    <row r="524" spans="1:12" ht="35.25" customHeight="1" hidden="1">
      <c r="A524" s="25" t="s">
        <v>289</v>
      </c>
      <c r="B524" s="16">
        <v>906</v>
      </c>
      <c r="C524" s="20" t="s">
        <v>281</v>
      </c>
      <c r="D524" s="20" t="s">
        <v>135</v>
      </c>
      <c r="E524" s="20" t="s">
        <v>1017</v>
      </c>
      <c r="F524" s="20" t="s">
        <v>290</v>
      </c>
      <c r="G524" s="26">
        <f>G525</f>
        <v>0</v>
      </c>
      <c r="H524" s="261">
        <f t="shared" si="283"/>
        <v>503.8</v>
      </c>
      <c r="I524" s="261">
        <f t="shared" si="283"/>
        <v>503.8</v>
      </c>
      <c r="L524" s="117"/>
    </row>
    <row r="525" spans="1:12" ht="15.75" customHeight="1" hidden="1">
      <c r="A525" s="25" t="s">
        <v>291</v>
      </c>
      <c r="B525" s="16">
        <v>906</v>
      </c>
      <c r="C525" s="20" t="s">
        <v>281</v>
      </c>
      <c r="D525" s="20" t="s">
        <v>135</v>
      </c>
      <c r="E525" s="20" t="s">
        <v>1017</v>
      </c>
      <c r="F525" s="20" t="s">
        <v>292</v>
      </c>
      <c r="G525" s="26">
        <v>0</v>
      </c>
      <c r="H525" s="261">
        <f aca="true" t="shared" si="284" ref="H525:I525">200+303.8</f>
        <v>503.8</v>
      </c>
      <c r="I525" s="261">
        <f t="shared" si="284"/>
        <v>503.8</v>
      </c>
      <c r="J525" s="273"/>
      <c r="L525" s="117"/>
    </row>
    <row r="526" spans="1:12" ht="39" customHeight="1" hidden="1">
      <c r="A526" s="25" t="s">
        <v>297</v>
      </c>
      <c r="B526" s="16">
        <v>906</v>
      </c>
      <c r="C526" s="20" t="s">
        <v>281</v>
      </c>
      <c r="D526" s="20" t="s">
        <v>135</v>
      </c>
      <c r="E526" s="20" t="s">
        <v>1018</v>
      </c>
      <c r="F526" s="20"/>
      <c r="G526" s="26">
        <f>G527</f>
        <v>0</v>
      </c>
      <c r="H526" s="261">
        <f aca="true" t="shared" si="285" ref="H526:I527">H527</f>
        <v>291.6</v>
      </c>
      <c r="I526" s="261">
        <f t="shared" si="285"/>
        <v>291.6</v>
      </c>
      <c r="L526" s="117"/>
    </row>
    <row r="527" spans="1:12" ht="31.5" hidden="1">
      <c r="A527" s="25" t="s">
        <v>289</v>
      </c>
      <c r="B527" s="16">
        <v>906</v>
      </c>
      <c r="C527" s="20" t="s">
        <v>281</v>
      </c>
      <c r="D527" s="20" t="s">
        <v>135</v>
      </c>
      <c r="E527" s="20" t="s">
        <v>1018</v>
      </c>
      <c r="F527" s="20" t="s">
        <v>290</v>
      </c>
      <c r="G527" s="26">
        <f>G528</f>
        <v>0</v>
      </c>
      <c r="H527" s="261">
        <f t="shared" si="285"/>
        <v>291.6</v>
      </c>
      <c r="I527" s="261">
        <f t="shared" si="285"/>
        <v>291.6</v>
      </c>
      <c r="L527" s="117"/>
    </row>
    <row r="528" spans="1:12" ht="15.75" hidden="1">
      <c r="A528" s="25" t="s">
        <v>291</v>
      </c>
      <c r="B528" s="16">
        <v>906</v>
      </c>
      <c r="C528" s="20" t="s">
        <v>281</v>
      </c>
      <c r="D528" s="20" t="s">
        <v>135</v>
      </c>
      <c r="E528" s="20" t="s">
        <v>1018</v>
      </c>
      <c r="F528" s="20" t="s">
        <v>292</v>
      </c>
      <c r="G528" s="26">
        <v>0</v>
      </c>
      <c r="H528" s="26">
        <v>291.6</v>
      </c>
      <c r="I528" s="26">
        <v>291.6</v>
      </c>
      <c r="J528" s="273"/>
      <c r="L528" s="117"/>
    </row>
    <row r="529" spans="1:12" ht="31.5">
      <c r="A529" s="25" t="s">
        <v>432</v>
      </c>
      <c r="B529" s="16">
        <v>906</v>
      </c>
      <c r="C529" s="20" t="s">
        <v>281</v>
      </c>
      <c r="D529" s="20" t="s">
        <v>135</v>
      </c>
      <c r="E529" s="20" t="s">
        <v>1019</v>
      </c>
      <c r="F529" s="20"/>
      <c r="G529" s="26">
        <f>G530</f>
        <v>5170</v>
      </c>
      <c r="H529" s="261">
        <f aca="true" t="shared" si="286" ref="H529:I530">H530</f>
        <v>5168.8</v>
      </c>
      <c r="I529" s="261">
        <f t="shared" si="286"/>
        <v>5168.8</v>
      </c>
      <c r="L529" s="117"/>
    </row>
    <row r="530" spans="1:12" ht="31.5">
      <c r="A530" s="25" t="s">
        <v>289</v>
      </c>
      <c r="B530" s="16">
        <v>906</v>
      </c>
      <c r="C530" s="20" t="s">
        <v>281</v>
      </c>
      <c r="D530" s="20" t="s">
        <v>135</v>
      </c>
      <c r="E530" s="20" t="s">
        <v>1019</v>
      </c>
      <c r="F530" s="20" t="s">
        <v>290</v>
      </c>
      <c r="G530" s="26">
        <f>G531</f>
        <v>5170</v>
      </c>
      <c r="H530" s="261">
        <f t="shared" si="286"/>
        <v>5168.8</v>
      </c>
      <c r="I530" s="261">
        <f t="shared" si="286"/>
        <v>5168.8</v>
      </c>
      <c r="L530" s="117"/>
    </row>
    <row r="531" spans="1:12" ht="15.75">
      <c r="A531" s="25" t="s">
        <v>291</v>
      </c>
      <c r="B531" s="16">
        <v>906</v>
      </c>
      <c r="C531" s="20" t="s">
        <v>281</v>
      </c>
      <c r="D531" s="20" t="s">
        <v>135</v>
      </c>
      <c r="E531" s="20" t="s">
        <v>1019</v>
      </c>
      <c r="F531" s="20" t="s">
        <v>292</v>
      </c>
      <c r="G531" s="27">
        <f>5168.8+1.2</f>
        <v>5170</v>
      </c>
      <c r="H531" s="262">
        <v>5168.8</v>
      </c>
      <c r="I531" s="262">
        <v>5168.8</v>
      </c>
      <c r="L531" s="117"/>
    </row>
    <row r="532" spans="1:12" s="253" customFormat="1" ht="31.5">
      <c r="A532" s="319" t="s">
        <v>1085</v>
      </c>
      <c r="B532" s="19">
        <v>906</v>
      </c>
      <c r="C532" s="24" t="s">
        <v>281</v>
      </c>
      <c r="D532" s="24" t="s">
        <v>135</v>
      </c>
      <c r="E532" s="24" t="s">
        <v>1020</v>
      </c>
      <c r="F532" s="24"/>
      <c r="G532" s="45">
        <f>G533+G536+G539</f>
        <v>4215</v>
      </c>
      <c r="H532" s="284">
        <f aca="true" t="shared" si="287" ref="H532:I532">H533+H536+H539</f>
        <v>4215.5</v>
      </c>
      <c r="I532" s="284">
        <f t="shared" si="287"/>
        <v>4215.5</v>
      </c>
      <c r="J532" s="228"/>
      <c r="K532" s="117"/>
      <c r="L532" s="117"/>
    </row>
    <row r="533" spans="1:12" ht="31.5" customHeight="1" hidden="1">
      <c r="A533" s="25" t="s">
        <v>301</v>
      </c>
      <c r="B533" s="16">
        <v>906</v>
      </c>
      <c r="C533" s="20" t="s">
        <v>281</v>
      </c>
      <c r="D533" s="20" t="s">
        <v>135</v>
      </c>
      <c r="E533" s="20" t="s">
        <v>1021</v>
      </c>
      <c r="F533" s="20"/>
      <c r="G533" s="26">
        <f>G534</f>
        <v>0</v>
      </c>
      <c r="H533" s="261">
        <f aca="true" t="shared" si="288" ref="H533:I534">H534</f>
        <v>0</v>
      </c>
      <c r="I533" s="261">
        <f t="shared" si="288"/>
        <v>0</v>
      </c>
      <c r="L533" s="117"/>
    </row>
    <row r="534" spans="1:12" ht="38.25" customHeight="1" hidden="1">
      <c r="A534" s="25" t="s">
        <v>289</v>
      </c>
      <c r="B534" s="16">
        <v>906</v>
      </c>
      <c r="C534" s="20" t="s">
        <v>281</v>
      </c>
      <c r="D534" s="20" t="s">
        <v>135</v>
      </c>
      <c r="E534" s="20" t="s">
        <v>1021</v>
      </c>
      <c r="F534" s="20" t="s">
        <v>290</v>
      </c>
      <c r="G534" s="26">
        <f>G535</f>
        <v>0</v>
      </c>
      <c r="H534" s="261">
        <f t="shared" si="288"/>
        <v>0</v>
      </c>
      <c r="I534" s="261">
        <f t="shared" si="288"/>
        <v>0</v>
      </c>
      <c r="L534" s="117"/>
    </row>
    <row r="535" spans="1:12" ht="15.75" customHeight="1" hidden="1">
      <c r="A535" s="25" t="s">
        <v>291</v>
      </c>
      <c r="B535" s="16">
        <v>906</v>
      </c>
      <c r="C535" s="20" t="s">
        <v>281</v>
      </c>
      <c r="D535" s="20" t="s">
        <v>135</v>
      </c>
      <c r="E535" s="20" t="s">
        <v>1021</v>
      </c>
      <c r="F535" s="20" t="s">
        <v>292</v>
      </c>
      <c r="G535" s="26">
        <v>0</v>
      </c>
      <c r="H535" s="261">
        <v>0</v>
      </c>
      <c r="I535" s="261">
        <v>0</v>
      </c>
      <c r="L535" s="117"/>
    </row>
    <row r="536" spans="1:12" ht="34.5" customHeight="1">
      <c r="A536" s="63" t="s">
        <v>789</v>
      </c>
      <c r="B536" s="16">
        <v>906</v>
      </c>
      <c r="C536" s="20" t="s">
        <v>281</v>
      </c>
      <c r="D536" s="20" t="s">
        <v>135</v>
      </c>
      <c r="E536" s="20" t="s">
        <v>1022</v>
      </c>
      <c r="F536" s="20"/>
      <c r="G536" s="26">
        <f>G537</f>
        <v>2850</v>
      </c>
      <c r="H536" s="261">
        <f aca="true" t="shared" si="289" ref="H536:I537">H537</f>
        <v>2850</v>
      </c>
      <c r="I536" s="261">
        <f t="shared" si="289"/>
        <v>2850</v>
      </c>
      <c r="L536" s="117"/>
    </row>
    <row r="537" spans="1:12" ht="32.25" customHeight="1">
      <c r="A537" s="30" t="s">
        <v>289</v>
      </c>
      <c r="B537" s="16">
        <v>906</v>
      </c>
      <c r="C537" s="20" t="s">
        <v>281</v>
      </c>
      <c r="D537" s="20" t="s">
        <v>135</v>
      </c>
      <c r="E537" s="20" t="s">
        <v>1022</v>
      </c>
      <c r="F537" s="20" t="s">
        <v>290</v>
      </c>
      <c r="G537" s="26">
        <f>G538</f>
        <v>2850</v>
      </c>
      <c r="H537" s="261">
        <f t="shared" si="289"/>
        <v>2850</v>
      </c>
      <c r="I537" s="261">
        <f t="shared" si="289"/>
        <v>2850</v>
      </c>
      <c r="L537" s="117"/>
    </row>
    <row r="538" spans="1:12" ht="15.75" customHeight="1">
      <c r="A538" s="208" t="s">
        <v>291</v>
      </c>
      <c r="B538" s="16">
        <v>906</v>
      </c>
      <c r="C538" s="20" t="s">
        <v>281</v>
      </c>
      <c r="D538" s="20" t="s">
        <v>135</v>
      </c>
      <c r="E538" s="20" t="s">
        <v>1022</v>
      </c>
      <c r="F538" s="20" t="s">
        <v>292</v>
      </c>
      <c r="G538" s="26">
        <f>2500+350</f>
        <v>2850</v>
      </c>
      <c r="H538" s="261">
        <f aca="true" t="shared" si="290" ref="H538:I538">2500+350</f>
        <v>2850</v>
      </c>
      <c r="I538" s="261">
        <f t="shared" si="290"/>
        <v>2850</v>
      </c>
      <c r="J538" s="273"/>
      <c r="L538" s="117"/>
    </row>
    <row r="539" spans="1:12" ht="50.25" customHeight="1">
      <c r="A539" s="63" t="s">
        <v>790</v>
      </c>
      <c r="B539" s="16">
        <v>906</v>
      </c>
      <c r="C539" s="20" t="s">
        <v>281</v>
      </c>
      <c r="D539" s="20" t="s">
        <v>135</v>
      </c>
      <c r="E539" s="20" t="s">
        <v>1023</v>
      </c>
      <c r="F539" s="20"/>
      <c r="G539" s="26">
        <f>G540</f>
        <v>1364.9999999999998</v>
      </c>
      <c r="H539" s="261">
        <f aca="true" t="shared" si="291" ref="H539:I540">H540</f>
        <v>1365.4999999999998</v>
      </c>
      <c r="I539" s="261">
        <f t="shared" si="291"/>
        <v>1365.4999999999998</v>
      </c>
      <c r="L539" s="244"/>
    </row>
    <row r="540" spans="1:12" ht="31.5">
      <c r="A540" s="30" t="s">
        <v>289</v>
      </c>
      <c r="B540" s="16">
        <v>906</v>
      </c>
      <c r="C540" s="20" t="s">
        <v>281</v>
      </c>
      <c r="D540" s="20" t="s">
        <v>135</v>
      </c>
      <c r="E540" s="20" t="s">
        <v>1023</v>
      </c>
      <c r="F540" s="20" t="s">
        <v>290</v>
      </c>
      <c r="G540" s="26">
        <f>G541</f>
        <v>1364.9999999999998</v>
      </c>
      <c r="H540" s="261">
        <f t="shared" si="291"/>
        <v>1365.4999999999998</v>
      </c>
      <c r="I540" s="261">
        <f t="shared" si="291"/>
        <v>1365.4999999999998</v>
      </c>
      <c r="L540" s="117"/>
    </row>
    <row r="541" spans="1:12" ht="15.75">
      <c r="A541" s="208" t="s">
        <v>291</v>
      </c>
      <c r="B541" s="16">
        <v>906</v>
      </c>
      <c r="C541" s="20" t="s">
        <v>281</v>
      </c>
      <c r="D541" s="20" t="s">
        <v>135</v>
      </c>
      <c r="E541" s="20" t="s">
        <v>1023</v>
      </c>
      <c r="F541" s="20" t="s">
        <v>292</v>
      </c>
      <c r="G541" s="26">
        <f>1230.6-457.8+486.9+105.8-0.5</f>
        <v>1364.9999999999998</v>
      </c>
      <c r="H541" s="26">
        <f aca="true" t="shared" si="292" ref="H541:I541">1230.6-457.8+486.9+105.8</f>
        <v>1365.4999999999998</v>
      </c>
      <c r="I541" s="26">
        <f t="shared" si="292"/>
        <v>1365.4999999999998</v>
      </c>
      <c r="J541" s="273"/>
      <c r="K541" s="283"/>
      <c r="L541" s="117"/>
    </row>
    <row r="542" spans="1:12" s="253" customFormat="1" ht="63">
      <c r="A542" s="23" t="s">
        <v>1024</v>
      </c>
      <c r="B542" s="19">
        <v>906</v>
      </c>
      <c r="C542" s="24" t="s">
        <v>281</v>
      </c>
      <c r="D542" s="24" t="s">
        <v>135</v>
      </c>
      <c r="E542" s="24" t="s">
        <v>1025</v>
      </c>
      <c r="F542" s="24"/>
      <c r="G542" s="21">
        <f>G543+G546</f>
        <v>290.3</v>
      </c>
      <c r="H542" s="21">
        <f aca="true" t="shared" si="293" ref="H542:I542">H543+H546</f>
        <v>290.3</v>
      </c>
      <c r="I542" s="21">
        <f t="shared" si="293"/>
        <v>290.3</v>
      </c>
      <c r="J542" s="283"/>
      <c r="K542" s="283"/>
      <c r="L542" s="117"/>
    </row>
    <row r="543" spans="1:12" ht="132.75" customHeight="1">
      <c r="A543" s="25" t="s">
        <v>833</v>
      </c>
      <c r="B543" s="16">
        <v>906</v>
      </c>
      <c r="C543" s="20" t="s">
        <v>281</v>
      </c>
      <c r="D543" s="20" t="s">
        <v>135</v>
      </c>
      <c r="E543" s="20" t="s">
        <v>1026</v>
      </c>
      <c r="F543" s="20"/>
      <c r="G543" s="26">
        <f>G544</f>
        <v>124.4</v>
      </c>
      <c r="H543" s="261">
        <f aca="true" t="shared" si="294" ref="H543:I544">H544</f>
        <v>124.4</v>
      </c>
      <c r="I543" s="261">
        <f t="shared" si="294"/>
        <v>124.4</v>
      </c>
      <c r="L543" s="117"/>
    </row>
    <row r="544" spans="1:12" ht="31.5">
      <c r="A544" s="30" t="s">
        <v>289</v>
      </c>
      <c r="B544" s="16">
        <v>906</v>
      </c>
      <c r="C544" s="20" t="s">
        <v>281</v>
      </c>
      <c r="D544" s="20" t="s">
        <v>135</v>
      </c>
      <c r="E544" s="20" t="s">
        <v>1026</v>
      </c>
      <c r="F544" s="20" t="s">
        <v>290</v>
      </c>
      <c r="G544" s="26">
        <f>G545</f>
        <v>124.4</v>
      </c>
      <c r="H544" s="261">
        <f t="shared" si="294"/>
        <v>124.4</v>
      </c>
      <c r="I544" s="261">
        <f t="shared" si="294"/>
        <v>124.4</v>
      </c>
      <c r="L544" s="117"/>
    </row>
    <row r="545" spans="1:12" ht="18.75" customHeight="1">
      <c r="A545" s="208" t="s">
        <v>291</v>
      </c>
      <c r="B545" s="16">
        <v>906</v>
      </c>
      <c r="C545" s="20" t="s">
        <v>281</v>
      </c>
      <c r="D545" s="20" t="s">
        <v>135</v>
      </c>
      <c r="E545" s="20" t="s">
        <v>1026</v>
      </c>
      <c r="F545" s="20" t="s">
        <v>292</v>
      </c>
      <c r="G545" s="26">
        <v>124.4</v>
      </c>
      <c r="H545" s="261">
        <v>124.4</v>
      </c>
      <c r="I545" s="261">
        <v>124.4</v>
      </c>
      <c r="L545" s="117"/>
    </row>
    <row r="546" spans="1:12" s="253" customFormat="1" ht="117.75" customHeight="1">
      <c r="A546" s="25" t="s">
        <v>440</v>
      </c>
      <c r="B546" s="16">
        <v>906</v>
      </c>
      <c r="C546" s="20" t="s">
        <v>281</v>
      </c>
      <c r="D546" s="20" t="s">
        <v>135</v>
      </c>
      <c r="E546" s="20" t="s">
        <v>1027</v>
      </c>
      <c r="F546" s="20"/>
      <c r="G546" s="26">
        <f>G547</f>
        <v>165.9</v>
      </c>
      <c r="H546" s="261">
        <f aca="true" t="shared" si="295" ref="H546:I547">H547</f>
        <v>165.9</v>
      </c>
      <c r="I546" s="261">
        <f t="shared" si="295"/>
        <v>165.9</v>
      </c>
      <c r="J546" s="228"/>
      <c r="K546" s="117"/>
      <c r="L546" s="117"/>
    </row>
    <row r="547" spans="1:12" s="253" customFormat="1" ht="32.25" customHeight="1">
      <c r="A547" s="25" t="s">
        <v>289</v>
      </c>
      <c r="B547" s="16">
        <v>906</v>
      </c>
      <c r="C547" s="20" t="s">
        <v>281</v>
      </c>
      <c r="D547" s="20" t="s">
        <v>135</v>
      </c>
      <c r="E547" s="20" t="s">
        <v>1027</v>
      </c>
      <c r="F547" s="20" t="s">
        <v>290</v>
      </c>
      <c r="G547" s="26">
        <f>G548</f>
        <v>165.9</v>
      </c>
      <c r="H547" s="261">
        <f t="shared" si="295"/>
        <v>165.9</v>
      </c>
      <c r="I547" s="261">
        <f t="shared" si="295"/>
        <v>165.9</v>
      </c>
      <c r="J547" s="228"/>
      <c r="K547" s="117"/>
      <c r="L547" s="117"/>
    </row>
    <row r="548" spans="1:12" s="253" customFormat="1" ht="18.75" customHeight="1">
      <c r="A548" s="25" t="s">
        <v>291</v>
      </c>
      <c r="B548" s="16">
        <v>906</v>
      </c>
      <c r="C548" s="20" t="s">
        <v>281</v>
      </c>
      <c r="D548" s="20" t="s">
        <v>135</v>
      </c>
      <c r="E548" s="20" t="s">
        <v>1027</v>
      </c>
      <c r="F548" s="20" t="s">
        <v>292</v>
      </c>
      <c r="G548" s="26">
        <v>165.9</v>
      </c>
      <c r="H548" s="261">
        <v>165.9</v>
      </c>
      <c r="I548" s="261">
        <v>165.9</v>
      </c>
      <c r="J548" s="228"/>
      <c r="K548" s="117"/>
      <c r="L548" s="117"/>
    </row>
    <row r="549" spans="1:12" ht="43.5" customHeight="1" hidden="1">
      <c r="A549" s="35" t="s">
        <v>807</v>
      </c>
      <c r="B549" s="19">
        <v>906</v>
      </c>
      <c r="C549" s="24" t="s">
        <v>281</v>
      </c>
      <c r="D549" s="24" t="s">
        <v>135</v>
      </c>
      <c r="E549" s="24" t="s">
        <v>341</v>
      </c>
      <c r="F549" s="24"/>
      <c r="G549" s="21">
        <f>G550</f>
        <v>0</v>
      </c>
      <c r="H549" s="272">
        <f aca="true" t="shared" si="296" ref="H549:I552">H550</f>
        <v>697</v>
      </c>
      <c r="I549" s="272">
        <f t="shared" si="296"/>
        <v>697</v>
      </c>
      <c r="L549" s="117"/>
    </row>
    <row r="550" spans="1:12" s="253" customFormat="1" ht="49.5" customHeight="1" hidden="1">
      <c r="A550" s="35" t="s">
        <v>1171</v>
      </c>
      <c r="B550" s="19">
        <v>906</v>
      </c>
      <c r="C550" s="24" t="s">
        <v>281</v>
      </c>
      <c r="D550" s="24" t="s">
        <v>135</v>
      </c>
      <c r="E550" s="24" t="s">
        <v>1033</v>
      </c>
      <c r="F550" s="24"/>
      <c r="G550" s="21">
        <f>G551</f>
        <v>0</v>
      </c>
      <c r="H550" s="272">
        <f t="shared" si="296"/>
        <v>697</v>
      </c>
      <c r="I550" s="272">
        <f t="shared" si="296"/>
        <v>697</v>
      </c>
      <c r="J550" s="228"/>
      <c r="K550" s="117"/>
      <c r="L550" s="117"/>
    </row>
    <row r="551" spans="1:12" ht="50.25" customHeight="1" hidden="1">
      <c r="A551" s="32" t="s">
        <v>1291</v>
      </c>
      <c r="B551" s="16">
        <v>906</v>
      </c>
      <c r="C551" s="20" t="s">
        <v>281</v>
      </c>
      <c r="D551" s="20" t="s">
        <v>135</v>
      </c>
      <c r="E551" s="20" t="s">
        <v>1034</v>
      </c>
      <c r="F551" s="20"/>
      <c r="G551" s="26">
        <f>G552</f>
        <v>0</v>
      </c>
      <c r="H551" s="261">
        <f t="shared" si="296"/>
        <v>697</v>
      </c>
      <c r="I551" s="261">
        <f t="shared" si="296"/>
        <v>697</v>
      </c>
      <c r="L551" s="117"/>
    </row>
    <row r="552" spans="1:12" ht="42" customHeight="1" hidden="1">
      <c r="A552" s="32" t="s">
        <v>289</v>
      </c>
      <c r="B552" s="16">
        <v>906</v>
      </c>
      <c r="C552" s="20" t="s">
        <v>281</v>
      </c>
      <c r="D552" s="20" t="s">
        <v>135</v>
      </c>
      <c r="E552" s="20" t="s">
        <v>1034</v>
      </c>
      <c r="F552" s="20" t="s">
        <v>290</v>
      </c>
      <c r="G552" s="26">
        <f>G553</f>
        <v>0</v>
      </c>
      <c r="H552" s="261">
        <f t="shared" si="296"/>
        <v>697</v>
      </c>
      <c r="I552" s="261">
        <f t="shared" si="296"/>
        <v>697</v>
      </c>
      <c r="L552" s="117"/>
    </row>
    <row r="553" spans="1:12" ht="16.5" customHeight="1" hidden="1">
      <c r="A553" s="32" t="s">
        <v>291</v>
      </c>
      <c r="B553" s="16">
        <v>906</v>
      </c>
      <c r="C553" s="20" t="s">
        <v>281</v>
      </c>
      <c r="D553" s="20" t="s">
        <v>135</v>
      </c>
      <c r="E553" s="20" t="s">
        <v>1034</v>
      </c>
      <c r="F553" s="20" t="s">
        <v>292</v>
      </c>
      <c r="G553" s="26">
        <v>0</v>
      </c>
      <c r="H553" s="261">
        <v>697</v>
      </c>
      <c r="I553" s="261">
        <v>697</v>
      </c>
      <c r="L553" s="117"/>
    </row>
    <row r="554" spans="1:12" ht="46.5" customHeight="1">
      <c r="A554" s="42" t="s">
        <v>732</v>
      </c>
      <c r="B554" s="19">
        <v>906</v>
      </c>
      <c r="C554" s="24" t="s">
        <v>281</v>
      </c>
      <c r="D554" s="24" t="s">
        <v>135</v>
      </c>
      <c r="E554" s="24" t="s">
        <v>730</v>
      </c>
      <c r="F554" s="324"/>
      <c r="G554" s="21">
        <f>G556</f>
        <v>464.3</v>
      </c>
      <c r="H554" s="272">
        <f aca="true" t="shared" si="297" ref="H554:I554">H556</f>
        <v>464.3</v>
      </c>
      <c r="I554" s="272">
        <f t="shared" si="297"/>
        <v>464.3</v>
      </c>
      <c r="L554" s="117"/>
    </row>
    <row r="555" spans="1:12" s="253" customFormat="1" ht="46.5" customHeight="1">
      <c r="A555" s="42" t="s">
        <v>954</v>
      </c>
      <c r="B555" s="19">
        <v>906</v>
      </c>
      <c r="C555" s="24" t="s">
        <v>281</v>
      </c>
      <c r="D555" s="24" t="s">
        <v>135</v>
      </c>
      <c r="E555" s="24" t="s">
        <v>952</v>
      </c>
      <c r="F555" s="324"/>
      <c r="G555" s="21">
        <f>G556</f>
        <v>464.3</v>
      </c>
      <c r="H555" s="272">
        <f aca="true" t="shared" si="298" ref="H555:I557">H556</f>
        <v>464.3</v>
      </c>
      <c r="I555" s="272">
        <f t="shared" si="298"/>
        <v>464.3</v>
      </c>
      <c r="J555" s="228"/>
      <c r="K555" s="117"/>
      <c r="L555" s="117"/>
    </row>
    <row r="556" spans="1:12" ht="36" customHeight="1">
      <c r="A556" s="107" t="s">
        <v>805</v>
      </c>
      <c r="B556" s="16">
        <v>906</v>
      </c>
      <c r="C556" s="20" t="s">
        <v>281</v>
      </c>
      <c r="D556" s="20" t="s">
        <v>135</v>
      </c>
      <c r="E556" s="20" t="s">
        <v>1035</v>
      </c>
      <c r="F556" s="33"/>
      <c r="G556" s="26">
        <f>G557</f>
        <v>464.3</v>
      </c>
      <c r="H556" s="261">
        <f t="shared" si="298"/>
        <v>464.3</v>
      </c>
      <c r="I556" s="261">
        <f t="shared" si="298"/>
        <v>464.3</v>
      </c>
      <c r="L556" s="117"/>
    </row>
    <row r="557" spans="1:12" ht="35.25" customHeight="1">
      <c r="A557" s="30" t="s">
        <v>289</v>
      </c>
      <c r="B557" s="16">
        <v>906</v>
      </c>
      <c r="C557" s="20" t="s">
        <v>281</v>
      </c>
      <c r="D557" s="20" t="s">
        <v>135</v>
      </c>
      <c r="E557" s="20" t="s">
        <v>1035</v>
      </c>
      <c r="F557" s="33" t="s">
        <v>290</v>
      </c>
      <c r="G557" s="26">
        <f>G558</f>
        <v>464.3</v>
      </c>
      <c r="H557" s="261">
        <f t="shared" si="298"/>
        <v>464.3</v>
      </c>
      <c r="I557" s="261">
        <f t="shared" si="298"/>
        <v>464.3</v>
      </c>
      <c r="L557" s="117"/>
    </row>
    <row r="558" spans="1:12" ht="15.75" customHeight="1">
      <c r="A558" s="208" t="s">
        <v>291</v>
      </c>
      <c r="B558" s="16">
        <v>906</v>
      </c>
      <c r="C558" s="20" t="s">
        <v>281</v>
      </c>
      <c r="D558" s="20" t="s">
        <v>135</v>
      </c>
      <c r="E558" s="20" t="s">
        <v>1035</v>
      </c>
      <c r="F558" s="33" t="s">
        <v>292</v>
      </c>
      <c r="G558" s="26">
        <v>464.3</v>
      </c>
      <c r="H558" s="261">
        <v>464.3</v>
      </c>
      <c r="I558" s="261">
        <v>464.3</v>
      </c>
      <c r="L558" s="117"/>
    </row>
    <row r="559" spans="1:12" ht="15.75">
      <c r="A559" s="23" t="s">
        <v>442</v>
      </c>
      <c r="B559" s="19">
        <v>906</v>
      </c>
      <c r="C559" s="24" t="s">
        <v>281</v>
      </c>
      <c r="D559" s="24" t="s">
        <v>230</v>
      </c>
      <c r="E559" s="24"/>
      <c r="F559" s="24"/>
      <c r="G559" s="21">
        <f>G560+G627+G632</f>
        <v>139817.9</v>
      </c>
      <c r="H559" s="272">
        <f aca="true" t="shared" si="299" ref="H559:I559">H560+H627+H632</f>
        <v>139417.1</v>
      </c>
      <c r="I559" s="272">
        <f t="shared" si="299"/>
        <v>139417.1</v>
      </c>
      <c r="L559" s="117"/>
    </row>
    <row r="560" spans="1:12" ht="50.25" customHeight="1">
      <c r="A560" s="23" t="s">
        <v>443</v>
      </c>
      <c r="B560" s="19">
        <v>906</v>
      </c>
      <c r="C560" s="24" t="s">
        <v>281</v>
      </c>
      <c r="D560" s="24" t="s">
        <v>230</v>
      </c>
      <c r="E560" s="24" t="s">
        <v>423</v>
      </c>
      <c r="F560" s="24"/>
      <c r="G560" s="21">
        <f>G561+G588</f>
        <v>139094.6</v>
      </c>
      <c r="H560" s="272">
        <f aca="true" t="shared" si="300" ref="H560:I560">H561+H588</f>
        <v>138543.80000000002</v>
      </c>
      <c r="I560" s="272">
        <f t="shared" si="300"/>
        <v>138543.80000000002</v>
      </c>
      <c r="L560" s="117"/>
    </row>
    <row r="561" spans="1:12" ht="37.5" customHeight="1">
      <c r="A561" s="23" t="s">
        <v>424</v>
      </c>
      <c r="B561" s="19">
        <v>906</v>
      </c>
      <c r="C561" s="24" t="s">
        <v>281</v>
      </c>
      <c r="D561" s="24" t="s">
        <v>230</v>
      </c>
      <c r="E561" s="24" t="s">
        <v>425</v>
      </c>
      <c r="F561" s="24"/>
      <c r="G561" s="21">
        <f>G562+G572</f>
        <v>130119.3</v>
      </c>
      <c r="H561" s="272">
        <f aca="true" t="shared" si="301" ref="H561:I561">H562+H572</f>
        <v>126914.40000000002</v>
      </c>
      <c r="I561" s="272">
        <f t="shared" si="301"/>
        <v>126914.40000000002</v>
      </c>
      <c r="L561" s="117"/>
    </row>
    <row r="562" spans="1:12" s="253" customFormat="1" ht="37.5" customHeight="1">
      <c r="A562" s="23" t="s">
        <v>1036</v>
      </c>
      <c r="B562" s="19">
        <v>906</v>
      </c>
      <c r="C562" s="24" t="s">
        <v>281</v>
      </c>
      <c r="D562" s="24" t="s">
        <v>230</v>
      </c>
      <c r="E562" s="24" t="s">
        <v>1014</v>
      </c>
      <c r="F562" s="24"/>
      <c r="G562" s="21">
        <f>G563+G566+G569</f>
        <v>29803</v>
      </c>
      <c r="H562" s="272">
        <f aca="true" t="shared" si="302" ref="H562:I562">H563+H566+H569</f>
        <v>29802.4</v>
      </c>
      <c r="I562" s="272">
        <f t="shared" si="302"/>
        <v>29802.4</v>
      </c>
      <c r="J562" s="228"/>
      <c r="K562" s="117"/>
      <c r="L562" s="117"/>
    </row>
    <row r="563" spans="1:12" ht="47.25">
      <c r="A563" s="25" t="s">
        <v>1076</v>
      </c>
      <c r="B563" s="16">
        <v>906</v>
      </c>
      <c r="C563" s="20" t="s">
        <v>281</v>
      </c>
      <c r="D563" s="20" t="s">
        <v>230</v>
      </c>
      <c r="E563" s="20" t="s">
        <v>1073</v>
      </c>
      <c r="F563" s="20"/>
      <c r="G563" s="26">
        <f>G564</f>
        <v>9775.400000000001</v>
      </c>
      <c r="H563" s="261">
        <f aca="true" t="shared" si="303" ref="H563:I564">H564</f>
        <v>29802.4</v>
      </c>
      <c r="I563" s="261">
        <f t="shared" si="303"/>
        <v>29802.4</v>
      </c>
      <c r="L563" s="117"/>
    </row>
    <row r="564" spans="1:12" ht="32.25" customHeight="1">
      <c r="A564" s="25" t="s">
        <v>289</v>
      </c>
      <c r="B564" s="16">
        <v>906</v>
      </c>
      <c r="C564" s="20" t="s">
        <v>281</v>
      </c>
      <c r="D564" s="20" t="s">
        <v>230</v>
      </c>
      <c r="E564" s="20" t="s">
        <v>1073</v>
      </c>
      <c r="F564" s="20" t="s">
        <v>290</v>
      </c>
      <c r="G564" s="26">
        <f>G565</f>
        <v>9775.400000000001</v>
      </c>
      <c r="H564" s="261">
        <f t="shared" si="303"/>
        <v>29802.4</v>
      </c>
      <c r="I564" s="261">
        <f t="shared" si="303"/>
        <v>29802.4</v>
      </c>
      <c r="L564" s="117">
        <v>29803</v>
      </c>
    </row>
    <row r="565" spans="1:13" ht="15.75">
      <c r="A565" s="25" t="s">
        <v>291</v>
      </c>
      <c r="B565" s="16">
        <v>906</v>
      </c>
      <c r="C565" s="20" t="s">
        <v>281</v>
      </c>
      <c r="D565" s="20" t="s">
        <v>230</v>
      </c>
      <c r="E565" s="20" t="s">
        <v>1073</v>
      </c>
      <c r="F565" s="20" t="s">
        <v>292</v>
      </c>
      <c r="G565" s="27">
        <f>29802.4+0.6-20027.6</f>
        <v>9775.400000000001</v>
      </c>
      <c r="H565" s="27">
        <v>29802.4</v>
      </c>
      <c r="I565" s="27">
        <v>29802.4</v>
      </c>
      <c r="J565" s="275"/>
      <c r="K565" s="409"/>
      <c r="L565" s="409"/>
      <c r="M565" s="117"/>
    </row>
    <row r="566" spans="1:13" s="253" customFormat="1" ht="38.25" customHeight="1">
      <c r="A566" s="25" t="s">
        <v>1077</v>
      </c>
      <c r="B566" s="16">
        <v>906</v>
      </c>
      <c r="C566" s="20" t="s">
        <v>281</v>
      </c>
      <c r="D566" s="20" t="s">
        <v>230</v>
      </c>
      <c r="E566" s="20" t="s">
        <v>1074</v>
      </c>
      <c r="F566" s="20"/>
      <c r="G566" s="26">
        <f>G567</f>
        <v>13351.7</v>
      </c>
      <c r="H566" s="261">
        <f aca="true" t="shared" si="304" ref="H566:I567">H567</f>
        <v>0</v>
      </c>
      <c r="I566" s="261">
        <f t="shared" si="304"/>
        <v>0</v>
      </c>
      <c r="J566" s="275"/>
      <c r="K566" s="303"/>
      <c r="L566" s="303"/>
      <c r="M566" s="117"/>
    </row>
    <row r="567" spans="1:13" s="253" customFormat="1" ht="31.5">
      <c r="A567" s="25" t="s">
        <v>289</v>
      </c>
      <c r="B567" s="16">
        <v>906</v>
      </c>
      <c r="C567" s="20" t="s">
        <v>281</v>
      </c>
      <c r="D567" s="20" t="s">
        <v>230</v>
      </c>
      <c r="E567" s="20" t="s">
        <v>1074</v>
      </c>
      <c r="F567" s="20" t="s">
        <v>290</v>
      </c>
      <c r="G567" s="26">
        <f>G568</f>
        <v>13351.7</v>
      </c>
      <c r="H567" s="261">
        <f t="shared" si="304"/>
        <v>0</v>
      </c>
      <c r="I567" s="261">
        <f t="shared" si="304"/>
        <v>0</v>
      </c>
      <c r="J567" s="275"/>
      <c r="K567" s="303"/>
      <c r="L567" s="303"/>
      <c r="M567" s="117"/>
    </row>
    <row r="568" spans="1:13" s="253" customFormat="1" ht="15.75">
      <c r="A568" s="25" t="s">
        <v>291</v>
      </c>
      <c r="B568" s="16">
        <v>906</v>
      </c>
      <c r="C568" s="20" t="s">
        <v>281</v>
      </c>
      <c r="D568" s="20" t="s">
        <v>230</v>
      </c>
      <c r="E568" s="20" t="s">
        <v>1074</v>
      </c>
      <c r="F568" s="20" t="s">
        <v>292</v>
      </c>
      <c r="G568" s="27">
        <v>13351.7</v>
      </c>
      <c r="H568" s="309"/>
      <c r="I568" s="309"/>
      <c r="J568" s="275"/>
      <c r="K568" s="303"/>
      <c r="L568" s="303"/>
      <c r="M568" s="117"/>
    </row>
    <row r="569" spans="1:13" s="253" customFormat="1" ht="47.25">
      <c r="A569" s="25" t="s">
        <v>1078</v>
      </c>
      <c r="B569" s="16">
        <v>906</v>
      </c>
      <c r="C569" s="20" t="s">
        <v>281</v>
      </c>
      <c r="D569" s="20" t="s">
        <v>230</v>
      </c>
      <c r="E569" s="20" t="s">
        <v>1075</v>
      </c>
      <c r="F569" s="20"/>
      <c r="G569" s="26">
        <f>G570</f>
        <v>6675.9</v>
      </c>
      <c r="H569" s="261">
        <f aca="true" t="shared" si="305" ref="H569:I570">H570</f>
        <v>0</v>
      </c>
      <c r="I569" s="261">
        <f t="shared" si="305"/>
        <v>0</v>
      </c>
      <c r="J569" s="275"/>
      <c r="K569" s="303"/>
      <c r="L569" s="303"/>
      <c r="M569" s="117"/>
    </row>
    <row r="570" spans="1:13" s="253" customFormat="1" ht="31.5">
      <c r="A570" s="25" t="s">
        <v>289</v>
      </c>
      <c r="B570" s="16">
        <v>906</v>
      </c>
      <c r="C570" s="20" t="s">
        <v>281</v>
      </c>
      <c r="D570" s="20" t="s">
        <v>230</v>
      </c>
      <c r="E570" s="20" t="s">
        <v>1075</v>
      </c>
      <c r="F570" s="20" t="s">
        <v>290</v>
      </c>
      <c r="G570" s="26">
        <f>G571</f>
        <v>6675.9</v>
      </c>
      <c r="H570" s="261">
        <f t="shared" si="305"/>
        <v>0</v>
      </c>
      <c r="I570" s="261">
        <f t="shared" si="305"/>
        <v>0</v>
      </c>
      <c r="J570" s="275"/>
      <c r="K570" s="303"/>
      <c r="L570" s="303"/>
      <c r="M570" s="117"/>
    </row>
    <row r="571" spans="1:13" s="253" customFormat="1" ht="15.75">
      <c r="A571" s="25" t="s">
        <v>291</v>
      </c>
      <c r="B571" s="16">
        <v>906</v>
      </c>
      <c r="C571" s="20" t="s">
        <v>281</v>
      </c>
      <c r="D571" s="20" t="s">
        <v>230</v>
      </c>
      <c r="E571" s="20" t="s">
        <v>1075</v>
      </c>
      <c r="F571" s="20" t="s">
        <v>292</v>
      </c>
      <c r="G571" s="27">
        <v>6675.9</v>
      </c>
      <c r="H571" s="309"/>
      <c r="I571" s="309"/>
      <c r="J571" s="275"/>
      <c r="K571" s="379"/>
      <c r="L571" s="303"/>
      <c r="M571" s="117"/>
    </row>
    <row r="572" spans="1:13" s="253" customFormat="1" ht="36.75" customHeight="1">
      <c r="A572" s="23" t="s">
        <v>976</v>
      </c>
      <c r="B572" s="19">
        <v>906</v>
      </c>
      <c r="C572" s="24" t="s">
        <v>281</v>
      </c>
      <c r="D572" s="24" t="s">
        <v>230</v>
      </c>
      <c r="E572" s="24" t="s">
        <v>1029</v>
      </c>
      <c r="F572" s="24"/>
      <c r="G572" s="45">
        <f>G573+G576+G579+G582+G585</f>
        <v>100316.3</v>
      </c>
      <c r="H572" s="45">
        <f aca="true" t="shared" si="306" ref="H572:I572">H573+H576+H579+H582+H585</f>
        <v>97112.00000000001</v>
      </c>
      <c r="I572" s="45">
        <f t="shared" si="306"/>
        <v>97112.00000000001</v>
      </c>
      <c r="J572" s="275"/>
      <c r="K572" s="303"/>
      <c r="L572" s="303"/>
      <c r="M572" s="117"/>
    </row>
    <row r="573" spans="1:13" s="253" customFormat="1" ht="63">
      <c r="A573" s="32" t="s">
        <v>477</v>
      </c>
      <c r="B573" s="16">
        <v>906</v>
      </c>
      <c r="C573" s="20" t="s">
        <v>281</v>
      </c>
      <c r="D573" s="20" t="s">
        <v>230</v>
      </c>
      <c r="E573" s="20" t="s">
        <v>1057</v>
      </c>
      <c r="F573" s="20"/>
      <c r="G573" s="26">
        <f>G574</f>
        <v>91447.9</v>
      </c>
      <c r="H573" s="261">
        <f aca="true" t="shared" si="307" ref="H573:I574">H574</f>
        <v>88243.6</v>
      </c>
      <c r="I573" s="261">
        <f t="shared" si="307"/>
        <v>88243.6</v>
      </c>
      <c r="J573" s="275"/>
      <c r="K573" s="303"/>
      <c r="L573" s="303"/>
      <c r="M573" s="117"/>
    </row>
    <row r="574" spans="1:13" s="253" customFormat="1" ht="31.5">
      <c r="A574" s="25" t="s">
        <v>289</v>
      </c>
      <c r="B574" s="16">
        <v>906</v>
      </c>
      <c r="C574" s="20" t="s">
        <v>281</v>
      </c>
      <c r="D574" s="20" t="s">
        <v>230</v>
      </c>
      <c r="E574" s="20" t="s">
        <v>1057</v>
      </c>
      <c r="F574" s="20" t="s">
        <v>290</v>
      </c>
      <c r="G574" s="26">
        <f>G575</f>
        <v>91447.9</v>
      </c>
      <c r="H574" s="261">
        <f t="shared" si="307"/>
        <v>88243.6</v>
      </c>
      <c r="I574" s="261">
        <f t="shared" si="307"/>
        <v>88243.6</v>
      </c>
      <c r="J574" s="275"/>
      <c r="K574" s="303"/>
      <c r="L574" s="303"/>
      <c r="M574" s="117"/>
    </row>
    <row r="575" spans="1:13" s="253" customFormat="1" ht="15.75">
      <c r="A575" s="25" t="s">
        <v>291</v>
      </c>
      <c r="B575" s="16">
        <v>906</v>
      </c>
      <c r="C575" s="20" t="s">
        <v>281</v>
      </c>
      <c r="D575" s="20" t="s">
        <v>230</v>
      </c>
      <c r="E575" s="20" t="s">
        <v>1057</v>
      </c>
      <c r="F575" s="20" t="s">
        <v>292</v>
      </c>
      <c r="G575" s="27">
        <v>91447.9</v>
      </c>
      <c r="H575" s="262">
        <v>88243.6</v>
      </c>
      <c r="I575" s="262">
        <v>88243.6</v>
      </c>
      <c r="J575" s="275"/>
      <c r="K575" s="303"/>
      <c r="L575" s="303"/>
      <c r="M575" s="117"/>
    </row>
    <row r="576" spans="1:13" s="253" customFormat="1" ht="63">
      <c r="A576" s="32" t="s">
        <v>306</v>
      </c>
      <c r="B576" s="16">
        <v>906</v>
      </c>
      <c r="C576" s="20" t="s">
        <v>281</v>
      </c>
      <c r="D576" s="20" t="s">
        <v>230</v>
      </c>
      <c r="E576" s="20" t="s">
        <v>1028</v>
      </c>
      <c r="F576" s="20"/>
      <c r="G576" s="26">
        <f>G577</f>
        <v>809.4</v>
      </c>
      <c r="H576" s="261">
        <f aca="true" t="shared" si="308" ref="H576:I577">H577</f>
        <v>809.4</v>
      </c>
      <c r="I576" s="261">
        <f t="shared" si="308"/>
        <v>809.4</v>
      </c>
      <c r="J576" s="275"/>
      <c r="K576" s="303"/>
      <c r="L576" s="303"/>
      <c r="M576" s="117"/>
    </row>
    <row r="577" spans="1:13" s="253" customFormat="1" ht="31.5">
      <c r="A577" s="25" t="s">
        <v>289</v>
      </c>
      <c r="B577" s="16">
        <v>906</v>
      </c>
      <c r="C577" s="20" t="s">
        <v>281</v>
      </c>
      <c r="D577" s="20" t="s">
        <v>230</v>
      </c>
      <c r="E577" s="20" t="s">
        <v>1028</v>
      </c>
      <c r="F577" s="20" t="s">
        <v>290</v>
      </c>
      <c r="G577" s="26">
        <f>G578</f>
        <v>809.4</v>
      </c>
      <c r="H577" s="261">
        <f t="shared" si="308"/>
        <v>809.4</v>
      </c>
      <c r="I577" s="261">
        <f t="shared" si="308"/>
        <v>809.4</v>
      </c>
      <c r="J577" s="275"/>
      <c r="K577" s="303"/>
      <c r="L577" s="303"/>
      <c r="M577" s="117"/>
    </row>
    <row r="578" spans="1:13" s="253" customFormat="1" ht="15.75">
      <c r="A578" s="25" t="s">
        <v>291</v>
      </c>
      <c r="B578" s="16">
        <v>906</v>
      </c>
      <c r="C578" s="20" t="s">
        <v>281</v>
      </c>
      <c r="D578" s="20" t="s">
        <v>230</v>
      </c>
      <c r="E578" s="20" t="s">
        <v>1028</v>
      </c>
      <c r="F578" s="20" t="s">
        <v>292</v>
      </c>
      <c r="G578" s="27">
        <v>809.4</v>
      </c>
      <c r="H578" s="262">
        <v>809.4</v>
      </c>
      <c r="I578" s="262">
        <v>809.4</v>
      </c>
      <c r="J578" s="275"/>
      <c r="K578" s="303"/>
      <c r="L578" s="303"/>
      <c r="M578" s="117"/>
    </row>
    <row r="579" spans="1:13" s="253" customFormat="1" ht="63">
      <c r="A579" s="32" t="s">
        <v>308</v>
      </c>
      <c r="B579" s="16">
        <v>906</v>
      </c>
      <c r="C579" s="20" t="s">
        <v>281</v>
      </c>
      <c r="D579" s="20" t="s">
        <v>230</v>
      </c>
      <c r="E579" s="20" t="s">
        <v>1031</v>
      </c>
      <c r="F579" s="20"/>
      <c r="G579" s="26">
        <f>G580</f>
        <v>2442.6</v>
      </c>
      <c r="H579" s="261">
        <f aca="true" t="shared" si="309" ref="H579:I580">H580</f>
        <v>2442.6</v>
      </c>
      <c r="I579" s="261">
        <f t="shared" si="309"/>
        <v>2442.6</v>
      </c>
      <c r="J579" s="275"/>
      <c r="K579" s="303"/>
      <c r="L579" s="303"/>
      <c r="M579" s="117"/>
    </row>
    <row r="580" spans="1:13" s="253" customFormat="1" ht="31.5">
      <c r="A580" s="25" t="s">
        <v>289</v>
      </c>
      <c r="B580" s="16">
        <v>906</v>
      </c>
      <c r="C580" s="20" t="s">
        <v>281</v>
      </c>
      <c r="D580" s="20" t="s">
        <v>230</v>
      </c>
      <c r="E580" s="20" t="s">
        <v>1031</v>
      </c>
      <c r="F580" s="20" t="s">
        <v>290</v>
      </c>
      <c r="G580" s="26">
        <f>G581</f>
        <v>2442.6</v>
      </c>
      <c r="H580" s="261">
        <f t="shared" si="309"/>
        <v>2442.6</v>
      </c>
      <c r="I580" s="261">
        <f t="shared" si="309"/>
        <v>2442.6</v>
      </c>
      <c r="J580" s="275"/>
      <c r="K580" s="303"/>
      <c r="L580" s="303"/>
      <c r="M580" s="117"/>
    </row>
    <row r="581" spans="1:13" s="253" customFormat="1" ht="15.75">
      <c r="A581" s="25" t="s">
        <v>291</v>
      </c>
      <c r="B581" s="16">
        <v>906</v>
      </c>
      <c r="C581" s="20" t="s">
        <v>281</v>
      </c>
      <c r="D581" s="20" t="s">
        <v>230</v>
      </c>
      <c r="E581" s="20" t="s">
        <v>1031</v>
      </c>
      <c r="F581" s="20" t="s">
        <v>292</v>
      </c>
      <c r="G581" s="27">
        <f>2238.4+204.2</f>
        <v>2442.6</v>
      </c>
      <c r="H581" s="262">
        <f aca="true" t="shared" si="310" ref="H581:I581">2238.4+204.2</f>
        <v>2442.6</v>
      </c>
      <c r="I581" s="262">
        <f t="shared" si="310"/>
        <v>2442.6</v>
      </c>
      <c r="J581" s="275"/>
      <c r="K581" s="303"/>
      <c r="L581" s="303"/>
      <c r="M581" s="117"/>
    </row>
    <row r="582" spans="1:13" s="253" customFormat="1" ht="47.25">
      <c r="A582" s="32" t="s">
        <v>479</v>
      </c>
      <c r="B582" s="16">
        <v>906</v>
      </c>
      <c r="C582" s="20" t="s">
        <v>281</v>
      </c>
      <c r="D582" s="20" t="s">
        <v>230</v>
      </c>
      <c r="E582" s="20" t="s">
        <v>1058</v>
      </c>
      <c r="F582" s="20"/>
      <c r="G582" s="26">
        <f>G583</f>
        <v>946.8</v>
      </c>
      <c r="H582" s="261">
        <f aca="true" t="shared" si="311" ref="H582:I583">H583</f>
        <v>946.8</v>
      </c>
      <c r="I582" s="261">
        <f t="shared" si="311"/>
        <v>946.8</v>
      </c>
      <c r="J582" s="275"/>
      <c r="K582" s="303"/>
      <c r="L582" s="303"/>
      <c r="M582" s="117"/>
    </row>
    <row r="583" spans="1:13" s="253" customFormat="1" ht="31.5">
      <c r="A583" s="25" t="s">
        <v>289</v>
      </c>
      <c r="B583" s="16">
        <v>906</v>
      </c>
      <c r="C583" s="20" t="s">
        <v>281</v>
      </c>
      <c r="D583" s="20" t="s">
        <v>230</v>
      </c>
      <c r="E583" s="20" t="s">
        <v>1058</v>
      </c>
      <c r="F583" s="20" t="s">
        <v>290</v>
      </c>
      <c r="G583" s="26">
        <f>G584</f>
        <v>946.8</v>
      </c>
      <c r="H583" s="261">
        <f t="shared" si="311"/>
        <v>946.8</v>
      </c>
      <c r="I583" s="261">
        <f t="shared" si="311"/>
        <v>946.8</v>
      </c>
      <c r="J583" s="275"/>
      <c r="K583" s="303"/>
      <c r="L583" s="303"/>
      <c r="M583" s="117"/>
    </row>
    <row r="584" spans="1:13" s="253" customFormat="1" ht="15.75">
      <c r="A584" s="25" t="s">
        <v>291</v>
      </c>
      <c r="B584" s="16">
        <v>906</v>
      </c>
      <c r="C584" s="20" t="s">
        <v>281</v>
      </c>
      <c r="D584" s="20" t="s">
        <v>230</v>
      </c>
      <c r="E584" s="20" t="s">
        <v>1058</v>
      </c>
      <c r="F584" s="20" t="s">
        <v>292</v>
      </c>
      <c r="G584" s="27">
        <v>946.8</v>
      </c>
      <c r="H584" s="262">
        <v>946.8</v>
      </c>
      <c r="I584" s="262">
        <v>946.8</v>
      </c>
      <c r="J584" s="275"/>
      <c r="K584" s="303"/>
      <c r="L584" s="303"/>
      <c r="M584" s="117"/>
    </row>
    <row r="585" spans="1:13" s="253" customFormat="1" ht="78.75">
      <c r="A585" s="32" t="s">
        <v>481</v>
      </c>
      <c r="B585" s="16">
        <v>906</v>
      </c>
      <c r="C585" s="20" t="s">
        <v>281</v>
      </c>
      <c r="D585" s="20" t="s">
        <v>230</v>
      </c>
      <c r="E585" s="20" t="s">
        <v>1032</v>
      </c>
      <c r="F585" s="20"/>
      <c r="G585" s="26">
        <f>G586</f>
        <v>4669.6</v>
      </c>
      <c r="H585" s="261">
        <f aca="true" t="shared" si="312" ref="H585:I586">H586</f>
        <v>4669.6</v>
      </c>
      <c r="I585" s="261">
        <f t="shared" si="312"/>
        <v>4669.6</v>
      </c>
      <c r="J585" s="275"/>
      <c r="K585" s="303"/>
      <c r="L585" s="303"/>
      <c r="M585" s="117"/>
    </row>
    <row r="586" spans="1:13" s="253" customFormat="1" ht="31.5">
      <c r="A586" s="25" t="s">
        <v>289</v>
      </c>
      <c r="B586" s="16">
        <v>906</v>
      </c>
      <c r="C586" s="20" t="s">
        <v>281</v>
      </c>
      <c r="D586" s="20" t="s">
        <v>230</v>
      </c>
      <c r="E586" s="20" t="s">
        <v>1032</v>
      </c>
      <c r="F586" s="20" t="s">
        <v>290</v>
      </c>
      <c r="G586" s="26">
        <f>G587</f>
        <v>4669.6</v>
      </c>
      <c r="H586" s="261">
        <f t="shared" si="312"/>
        <v>4669.6</v>
      </c>
      <c r="I586" s="261">
        <f t="shared" si="312"/>
        <v>4669.6</v>
      </c>
      <c r="J586" s="275"/>
      <c r="K586" s="303"/>
      <c r="L586" s="303"/>
      <c r="M586" s="117"/>
    </row>
    <row r="587" spans="1:13" s="253" customFormat="1" ht="15.75">
      <c r="A587" s="25" t="s">
        <v>291</v>
      </c>
      <c r="B587" s="16">
        <v>906</v>
      </c>
      <c r="C587" s="20" t="s">
        <v>281</v>
      </c>
      <c r="D587" s="20" t="s">
        <v>230</v>
      </c>
      <c r="E587" s="20" t="s">
        <v>1032</v>
      </c>
      <c r="F587" s="20" t="s">
        <v>292</v>
      </c>
      <c r="G587" s="27">
        <f>5441.9-1072.9-74.3+582.6+114.9-114.9-207.7</f>
        <v>4669.6</v>
      </c>
      <c r="H587" s="262">
        <f aca="true" t="shared" si="313" ref="H587:I587">5441.9-1072.9-74.3+582.6+114.9-114.9-207.7</f>
        <v>4669.6</v>
      </c>
      <c r="I587" s="262">
        <f t="shared" si="313"/>
        <v>4669.6</v>
      </c>
      <c r="J587" s="275"/>
      <c r="K587" s="303"/>
      <c r="L587" s="303"/>
      <c r="M587" s="117"/>
    </row>
    <row r="588" spans="1:13" ht="36" customHeight="1">
      <c r="A588" s="386" t="s">
        <v>447</v>
      </c>
      <c r="B588" s="19">
        <v>906</v>
      </c>
      <c r="C588" s="24" t="s">
        <v>281</v>
      </c>
      <c r="D588" s="24" t="s">
        <v>230</v>
      </c>
      <c r="E588" s="24" t="s">
        <v>448</v>
      </c>
      <c r="F588" s="24"/>
      <c r="G588" s="21">
        <f>G589+G602+G609+G616+G623</f>
        <v>8975.3</v>
      </c>
      <c r="H588" s="272">
        <f aca="true" t="shared" si="314" ref="H588:I588">H589+H602+H609+H616+H623</f>
        <v>11629.4</v>
      </c>
      <c r="I588" s="272">
        <f t="shared" si="314"/>
        <v>11629.4</v>
      </c>
      <c r="K588" s="244"/>
      <c r="L588" s="244"/>
      <c r="M588" s="244"/>
    </row>
    <row r="589" spans="1:12" s="253" customFormat="1" ht="35.25" customHeight="1">
      <c r="A589" s="23" t="s">
        <v>1037</v>
      </c>
      <c r="B589" s="389">
        <v>906</v>
      </c>
      <c r="C589" s="24" t="s">
        <v>281</v>
      </c>
      <c r="D589" s="24" t="s">
        <v>230</v>
      </c>
      <c r="E589" s="24" t="s">
        <v>1038</v>
      </c>
      <c r="F589" s="24"/>
      <c r="G589" s="21">
        <f>G590+G593+G596+G599</f>
        <v>224</v>
      </c>
      <c r="H589" s="272">
        <f aca="true" t="shared" si="315" ref="H589:I589">H590+H593+H596+H599</f>
        <v>2166.2</v>
      </c>
      <c r="I589" s="272">
        <f t="shared" si="315"/>
        <v>2166.2</v>
      </c>
      <c r="J589" s="228"/>
      <c r="K589" s="117"/>
      <c r="L589" s="117"/>
    </row>
    <row r="590" spans="1:12" s="253" customFormat="1" ht="35.25" customHeight="1" hidden="1">
      <c r="A590" s="25" t="s">
        <v>457</v>
      </c>
      <c r="B590" s="38">
        <v>906</v>
      </c>
      <c r="C590" s="20" t="s">
        <v>281</v>
      </c>
      <c r="D590" s="20" t="s">
        <v>230</v>
      </c>
      <c r="E590" s="20" t="s">
        <v>1042</v>
      </c>
      <c r="F590" s="20"/>
      <c r="G590" s="26">
        <f>G591</f>
        <v>0</v>
      </c>
      <c r="H590" s="261">
        <f aca="true" t="shared" si="316" ref="H590:I591">H591</f>
        <v>57.3</v>
      </c>
      <c r="I590" s="261">
        <f t="shared" si="316"/>
        <v>57.3</v>
      </c>
      <c r="J590" s="228"/>
      <c r="K590" s="117"/>
      <c r="L590" s="117"/>
    </row>
    <row r="591" spans="1:12" s="253" customFormat="1" ht="39.75" customHeight="1" hidden="1">
      <c r="A591" s="25" t="s">
        <v>289</v>
      </c>
      <c r="B591" s="38">
        <v>906</v>
      </c>
      <c r="C591" s="20" t="s">
        <v>281</v>
      </c>
      <c r="D591" s="20" t="s">
        <v>230</v>
      </c>
      <c r="E591" s="20" t="s">
        <v>1042</v>
      </c>
      <c r="F591" s="20" t="s">
        <v>290</v>
      </c>
      <c r="G591" s="26">
        <f>G592</f>
        <v>0</v>
      </c>
      <c r="H591" s="261">
        <f t="shared" si="316"/>
        <v>57.3</v>
      </c>
      <c r="I591" s="261">
        <f t="shared" si="316"/>
        <v>57.3</v>
      </c>
      <c r="J591" s="228"/>
      <c r="K591" s="117"/>
      <c r="L591" s="117"/>
    </row>
    <row r="592" spans="1:12" s="253" customFormat="1" ht="18.75" customHeight="1" hidden="1">
      <c r="A592" s="25" t="s">
        <v>291</v>
      </c>
      <c r="B592" s="38">
        <v>906</v>
      </c>
      <c r="C592" s="20" t="s">
        <v>281</v>
      </c>
      <c r="D592" s="20" t="s">
        <v>230</v>
      </c>
      <c r="E592" s="20" t="s">
        <v>1042</v>
      </c>
      <c r="F592" s="20" t="s">
        <v>292</v>
      </c>
      <c r="G592" s="26">
        <v>0</v>
      </c>
      <c r="H592" s="261">
        <f aca="true" t="shared" si="317" ref="H592:I592">25.3+32</f>
        <v>57.3</v>
      </c>
      <c r="I592" s="261">
        <f t="shared" si="317"/>
        <v>57.3</v>
      </c>
      <c r="J592" s="228"/>
      <c r="K592" s="117"/>
      <c r="L592" s="117"/>
    </row>
    <row r="593" spans="1:12" s="253" customFormat="1" ht="41.25" customHeight="1" hidden="1">
      <c r="A593" s="25" t="s">
        <v>295</v>
      </c>
      <c r="B593" s="38">
        <v>906</v>
      </c>
      <c r="C593" s="20" t="s">
        <v>281</v>
      </c>
      <c r="D593" s="20" t="s">
        <v>230</v>
      </c>
      <c r="E593" s="20" t="s">
        <v>1043</v>
      </c>
      <c r="F593" s="20"/>
      <c r="G593" s="26">
        <f>G594</f>
        <v>0</v>
      </c>
      <c r="H593" s="261">
        <f aca="true" t="shared" si="318" ref="H593:I594">H594</f>
        <v>1337.5</v>
      </c>
      <c r="I593" s="261">
        <f t="shared" si="318"/>
        <v>1337.5</v>
      </c>
      <c r="J593" s="228"/>
      <c r="K593" s="117"/>
      <c r="L593" s="117"/>
    </row>
    <row r="594" spans="1:12" s="253" customFormat="1" ht="33" customHeight="1" hidden="1">
      <c r="A594" s="25" t="s">
        <v>289</v>
      </c>
      <c r="B594" s="38">
        <v>906</v>
      </c>
      <c r="C594" s="20" t="s">
        <v>281</v>
      </c>
      <c r="D594" s="20" t="s">
        <v>230</v>
      </c>
      <c r="E594" s="20" t="s">
        <v>1043</v>
      </c>
      <c r="F594" s="20" t="s">
        <v>290</v>
      </c>
      <c r="G594" s="26">
        <f>G595</f>
        <v>0</v>
      </c>
      <c r="H594" s="261">
        <f t="shared" si="318"/>
        <v>1337.5</v>
      </c>
      <c r="I594" s="261">
        <f t="shared" si="318"/>
        <v>1337.5</v>
      </c>
      <c r="J594" s="228"/>
      <c r="K594" s="117"/>
      <c r="L594" s="117"/>
    </row>
    <row r="595" spans="1:12" s="253" customFormat="1" ht="18.75" customHeight="1" hidden="1">
      <c r="A595" s="25" t="s">
        <v>291</v>
      </c>
      <c r="B595" s="38">
        <v>906</v>
      </c>
      <c r="C595" s="20" t="s">
        <v>281</v>
      </c>
      <c r="D595" s="20" t="s">
        <v>230</v>
      </c>
      <c r="E595" s="20" t="s">
        <v>1043</v>
      </c>
      <c r="F595" s="20" t="s">
        <v>292</v>
      </c>
      <c r="G595" s="26">
        <v>0</v>
      </c>
      <c r="H595" s="261">
        <f aca="true" t="shared" si="319" ref="H595:I595">300+100-100+700+237.5+100</f>
        <v>1337.5</v>
      </c>
      <c r="I595" s="261">
        <f t="shared" si="319"/>
        <v>1337.5</v>
      </c>
      <c r="J595" s="228"/>
      <c r="K595" s="117"/>
      <c r="L595" s="117"/>
    </row>
    <row r="596" spans="1:12" s="253" customFormat="1" ht="31.5" customHeight="1" hidden="1">
      <c r="A596" s="25" t="s">
        <v>297</v>
      </c>
      <c r="B596" s="38">
        <v>906</v>
      </c>
      <c r="C596" s="20" t="s">
        <v>281</v>
      </c>
      <c r="D596" s="20" t="s">
        <v>230</v>
      </c>
      <c r="E596" s="20" t="s">
        <v>1044</v>
      </c>
      <c r="F596" s="20"/>
      <c r="G596" s="26">
        <f>G597</f>
        <v>0</v>
      </c>
      <c r="H596" s="261">
        <f aca="true" t="shared" si="320" ref="H596:I597">H597</f>
        <v>547.2</v>
      </c>
      <c r="I596" s="261">
        <f t="shared" si="320"/>
        <v>547.2</v>
      </c>
      <c r="J596" s="228"/>
      <c r="K596" s="117"/>
      <c r="L596" s="117"/>
    </row>
    <row r="597" spans="1:12" s="253" customFormat="1" ht="29.25" customHeight="1" hidden="1">
      <c r="A597" s="25" t="s">
        <v>289</v>
      </c>
      <c r="B597" s="38">
        <v>906</v>
      </c>
      <c r="C597" s="20" t="s">
        <v>281</v>
      </c>
      <c r="D597" s="20" t="s">
        <v>230</v>
      </c>
      <c r="E597" s="20" t="s">
        <v>1044</v>
      </c>
      <c r="F597" s="20" t="s">
        <v>290</v>
      </c>
      <c r="G597" s="26">
        <f>G598</f>
        <v>0</v>
      </c>
      <c r="H597" s="261">
        <f t="shared" si="320"/>
        <v>547.2</v>
      </c>
      <c r="I597" s="261">
        <f t="shared" si="320"/>
        <v>547.2</v>
      </c>
      <c r="J597" s="228"/>
      <c r="K597" s="117"/>
      <c r="L597" s="117"/>
    </row>
    <row r="598" spans="1:12" s="253" customFormat="1" ht="18.75" customHeight="1" hidden="1">
      <c r="A598" s="25" t="s">
        <v>291</v>
      </c>
      <c r="B598" s="38">
        <v>906</v>
      </c>
      <c r="C598" s="20" t="s">
        <v>281</v>
      </c>
      <c r="D598" s="20" t="s">
        <v>230</v>
      </c>
      <c r="E598" s="20" t="s">
        <v>1044</v>
      </c>
      <c r="F598" s="20" t="s">
        <v>292</v>
      </c>
      <c r="G598" s="26">
        <v>0</v>
      </c>
      <c r="H598" s="261">
        <v>547.2</v>
      </c>
      <c r="I598" s="261">
        <v>547.2</v>
      </c>
      <c r="J598" s="228"/>
      <c r="K598" s="117"/>
      <c r="L598" s="117"/>
    </row>
    <row r="599" spans="1:12" s="253" customFormat="1" ht="36" customHeight="1">
      <c r="A599" s="25" t="s">
        <v>299</v>
      </c>
      <c r="B599" s="38">
        <v>906</v>
      </c>
      <c r="C599" s="20" t="s">
        <v>281</v>
      </c>
      <c r="D599" s="20" t="s">
        <v>230</v>
      </c>
      <c r="E599" s="20" t="s">
        <v>1045</v>
      </c>
      <c r="F599" s="20"/>
      <c r="G599" s="26">
        <f>G600</f>
        <v>224</v>
      </c>
      <c r="H599" s="261">
        <f aca="true" t="shared" si="321" ref="H599:I600">H600</f>
        <v>224.2</v>
      </c>
      <c r="I599" s="261">
        <f t="shared" si="321"/>
        <v>224.2</v>
      </c>
      <c r="J599" s="228"/>
      <c r="K599" s="117"/>
      <c r="L599" s="117"/>
    </row>
    <row r="600" spans="1:12" s="253" customFormat="1" ht="39.75" customHeight="1">
      <c r="A600" s="25" t="s">
        <v>289</v>
      </c>
      <c r="B600" s="38">
        <v>906</v>
      </c>
      <c r="C600" s="20" t="s">
        <v>281</v>
      </c>
      <c r="D600" s="20" t="s">
        <v>230</v>
      </c>
      <c r="E600" s="20" t="s">
        <v>1045</v>
      </c>
      <c r="F600" s="20" t="s">
        <v>290</v>
      </c>
      <c r="G600" s="26">
        <f>G601</f>
        <v>224</v>
      </c>
      <c r="H600" s="261">
        <f t="shared" si="321"/>
        <v>224.2</v>
      </c>
      <c r="I600" s="261">
        <f t="shared" si="321"/>
        <v>224.2</v>
      </c>
      <c r="J600" s="228"/>
      <c r="K600" s="117"/>
      <c r="L600" s="117"/>
    </row>
    <row r="601" spans="1:12" s="253" customFormat="1" ht="18.75" customHeight="1">
      <c r="A601" s="25" t="s">
        <v>291</v>
      </c>
      <c r="B601" s="38">
        <v>906</v>
      </c>
      <c r="C601" s="20" t="s">
        <v>281</v>
      </c>
      <c r="D601" s="20" t="s">
        <v>230</v>
      </c>
      <c r="E601" s="20" t="s">
        <v>1045</v>
      </c>
      <c r="F601" s="20" t="s">
        <v>292</v>
      </c>
      <c r="G601" s="26">
        <f>127-72+72+97.2-0.2</f>
        <v>224</v>
      </c>
      <c r="H601" s="261">
        <f aca="true" t="shared" si="322" ref="H601:I601">127-72+72+97.2</f>
        <v>224.2</v>
      </c>
      <c r="I601" s="261">
        <f t="shared" si="322"/>
        <v>224.2</v>
      </c>
      <c r="J601" s="228"/>
      <c r="K601" s="117"/>
      <c r="L601" s="117"/>
    </row>
    <row r="602" spans="1:12" s="253" customFormat="1" ht="33" customHeight="1">
      <c r="A602" s="23" t="s">
        <v>1039</v>
      </c>
      <c r="B602" s="389">
        <v>906</v>
      </c>
      <c r="C602" s="24" t="s">
        <v>281</v>
      </c>
      <c r="D602" s="24" t="s">
        <v>230</v>
      </c>
      <c r="E602" s="24" t="s">
        <v>1040</v>
      </c>
      <c r="F602" s="24"/>
      <c r="G602" s="21">
        <f>G603+G606</f>
        <v>4582.6</v>
      </c>
      <c r="H602" s="272">
        <f aca="true" t="shared" si="323" ref="H602:I602">H603+H606</f>
        <v>4582.8</v>
      </c>
      <c r="I602" s="272">
        <f t="shared" si="323"/>
        <v>4582.8</v>
      </c>
      <c r="J602" s="228"/>
      <c r="K602" s="117"/>
      <c r="L602" s="117"/>
    </row>
    <row r="603" spans="1:12" ht="52.5" customHeight="1">
      <c r="A603" s="307" t="s">
        <v>453</v>
      </c>
      <c r="B603" s="38">
        <v>906</v>
      </c>
      <c r="C603" s="20" t="s">
        <v>281</v>
      </c>
      <c r="D603" s="20" t="s">
        <v>230</v>
      </c>
      <c r="E603" s="20" t="s">
        <v>1046</v>
      </c>
      <c r="F603" s="20"/>
      <c r="G603" s="26">
        <f>G604</f>
        <v>2914.0000000000005</v>
      </c>
      <c r="H603" s="261">
        <f aca="true" t="shared" si="324" ref="H603:I604">H604</f>
        <v>2914.2000000000003</v>
      </c>
      <c r="I603" s="261">
        <f t="shared" si="324"/>
        <v>2914.2000000000003</v>
      </c>
      <c r="L603" s="117"/>
    </row>
    <row r="604" spans="1:12" ht="31.5">
      <c r="A604" s="25" t="s">
        <v>289</v>
      </c>
      <c r="B604" s="38">
        <v>906</v>
      </c>
      <c r="C604" s="20" t="s">
        <v>281</v>
      </c>
      <c r="D604" s="20" t="s">
        <v>230</v>
      </c>
      <c r="E604" s="20" t="s">
        <v>1046</v>
      </c>
      <c r="F604" s="20" t="s">
        <v>290</v>
      </c>
      <c r="G604" s="26">
        <f>G605</f>
        <v>2914.0000000000005</v>
      </c>
      <c r="H604" s="261">
        <f t="shared" si="324"/>
        <v>2914.2000000000003</v>
      </c>
      <c r="I604" s="261">
        <f t="shared" si="324"/>
        <v>2914.2000000000003</v>
      </c>
      <c r="L604" s="117"/>
    </row>
    <row r="605" spans="1:12" ht="15.75">
      <c r="A605" s="25" t="s">
        <v>291</v>
      </c>
      <c r="B605" s="38">
        <v>906</v>
      </c>
      <c r="C605" s="20" t="s">
        <v>281</v>
      </c>
      <c r="D605" s="20" t="s">
        <v>230</v>
      </c>
      <c r="E605" s="20" t="s">
        <v>1046</v>
      </c>
      <c r="F605" s="20" t="s">
        <v>292</v>
      </c>
      <c r="G605" s="27">
        <f>2967.9-53.7-0.2</f>
        <v>2914.0000000000005</v>
      </c>
      <c r="H605" s="262">
        <f aca="true" t="shared" si="325" ref="H605:I605">2967.9-53.7</f>
        <v>2914.2000000000003</v>
      </c>
      <c r="I605" s="262">
        <f t="shared" si="325"/>
        <v>2914.2000000000003</v>
      </c>
      <c r="J605" s="275"/>
      <c r="L605" s="117"/>
    </row>
    <row r="606" spans="1:12" s="253" customFormat="1" ht="31.5">
      <c r="A606" s="25" t="s">
        <v>473</v>
      </c>
      <c r="B606" s="38">
        <v>906</v>
      </c>
      <c r="C606" s="20" t="s">
        <v>281</v>
      </c>
      <c r="D606" s="20" t="s">
        <v>230</v>
      </c>
      <c r="E606" s="20" t="s">
        <v>1047</v>
      </c>
      <c r="F606" s="20"/>
      <c r="G606" s="26">
        <f>G607</f>
        <v>1668.6</v>
      </c>
      <c r="H606" s="261">
        <f aca="true" t="shared" si="326" ref="H606:I607">H607</f>
        <v>1668.6</v>
      </c>
      <c r="I606" s="261">
        <f t="shared" si="326"/>
        <v>1668.6</v>
      </c>
      <c r="J606" s="275"/>
      <c r="K606" s="117"/>
      <c r="L606" s="117"/>
    </row>
    <row r="607" spans="1:12" s="253" customFormat="1" ht="31.5">
      <c r="A607" s="25" t="s">
        <v>289</v>
      </c>
      <c r="B607" s="38">
        <v>906</v>
      </c>
      <c r="C607" s="20" t="s">
        <v>281</v>
      </c>
      <c r="D607" s="20" t="s">
        <v>230</v>
      </c>
      <c r="E607" s="20" t="s">
        <v>1047</v>
      </c>
      <c r="F607" s="20" t="s">
        <v>290</v>
      </c>
      <c r="G607" s="26">
        <f>G608</f>
        <v>1668.6</v>
      </c>
      <c r="H607" s="261">
        <f t="shared" si="326"/>
        <v>1668.6</v>
      </c>
      <c r="I607" s="261">
        <f t="shared" si="326"/>
        <v>1668.6</v>
      </c>
      <c r="J607" s="275"/>
      <c r="K607" s="117"/>
      <c r="L607" s="117"/>
    </row>
    <row r="608" spans="1:12" s="253" customFormat="1" ht="15.75">
      <c r="A608" s="25" t="s">
        <v>291</v>
      </c>
      <c r="B608" s="38">
        <v>906</v>
      </c>
      <c r="C608" s="20" t="s">
        <v>281</v>
      </c>
      <c r="D608" s="20" t="s">
        <v>230</v>
      </c>
      <c r="E608" s="20" t="s">
        <v>1047</v>
      </c>
      <c r="F608" s="20" t="s">
        <v>292</v>
      </c>
      <c r="G608" s="27">
        <f>1317.5+351.1</f>
        <v>1668.6</v>
      </c>
      <c r="H608" s="262">
        <f aca="true" t="shared" si="327" ref="H608:I608">1317.5+351.1</f>
        <v>1668.6</v>
      </c>
      <c r="I608" s="262">
        <f t="shared" si="327"/>
        <v>1668.6</v>
      </c>
      <c r="J608" s="275"/>
      <c r="K608" s="117"/>
      <c r="L608" s="117"/>
    </row>
    <row r="609" spans="1:12" s="253" customFormat="1" ht="34.5" customHeight="1">
      <c r="A609" s="23" t="s">
        <v>1041</v>
      </c>
      <c r="B609" s="389">
        <v>906</v>
      </c>
      <c r="C609" s="24" t="s">
        <v>281</v>
      </c>
      <c r="D609" s="24" t="s">
        <v>230</v>
      </c>
      <c r="E609" s="24" t="s">
        <v>1048</v>
      </c>
      <c r="F609" s="24"/>
      <c r="G609" s="45">
        <f>G610+G613</f>
        <v>912.7</v>
      </c>
      <c r="H609" s="284">
        <f aca="true" t="shared" si="328" ref="H609:I609">H610+H613</f>
        <v>912.7</v>
      </c>
      <c r="I609" s="284">
        <f t="shared" si="328"/>
        <v>912.7</v>
      </c>
      <c r="J609" s="275"/>
      <c r="K609" s="117"/>
      <c r="L609" s="117"/>
    </row>
    <row r="610" spans="1:12" ht="47.25">
      <c r="A610" s="25" t="s">
        <v>455</v>
      </c>
      <c r="B610" s="38">
        <v>906</v>
      </c>
      <c r="C610" s="20" t="s">
        <v>281</v>
      </c>
      <c r="D610" s="20" t="s">
        <v>230</v>
      </c>
      <c r="E610" s="20" t="s">
        <v>1049</v>
      </c>
      <c r="F610" s="20"/>
      <c r="G610" s="26">
        <f>G611</f>
        <v>416</v>
      </c>
      <c r="H610" s="261">
        <f aca="true" t="shared" si="329" ref="H610:I611">H611</f>
        <v>416</v>
      </c>
      <c r="I610" s="261">
        <f t="shared" si="329"/>
        <v>416</v>
      </c>
      <c r="L610" s="117"/>
    </row>
    <row r="611" spans="1:12" ht="31.5">
      <c r="A611" s="25" t="s">
        <v>289</v>
      </c>
      <c r="B611" s="38">
        <v>906</v>
      </c>
      <c r="C611" s="20" t="s">
        <v>281</v>
      </c>
      <c r="D611" s="20" t="s">
        <v>230</v>
      </c>
      <c r="E611" s="20" t="s">
        <v>1049</v>
      </c>
      <c r="F611" s="20" t="s">
        <v>290</v>
      </c>
      <c r="G611" s="26">
        <f>G612</f>
        <v>416</v>
      </c>
      <c r="H611" s="261">
        <f t="shared" si="329"/>
        <v>416</v>
      </c>
      <c r="I611" s="261">
        <f t="shared" si="329"/>
        <v>416</v>
      </c>
      <c r="J611" s="275"/>
      <c r="L611" s="117"/>
    </row>
    <row r="612" spans="1:12" ht="15.75">
      <c r="A612" s="25" t="s">
        <v>291</v>
      </c>
      <c r="B612" s="38">
        <v>906</v>
      </c>
      <c r="C612" s="20" t="s">
        <v>281</v>
      </c>
      <c r="D612" s="20" t="s">
        <v>230</v>
      </c>
      <c r="E612" s="20" t="s">
        <v>1049</v>
      </c>
      <c r="F612" s="20" t="s">
        <v>292</v>
      </c>
      <c r="G612" s="26">
        <f>320+96</f>
        <v>416</v>
      </c>
      <c r="H612" s="261">
        <f aca="true" t="shared" si="330" ref="H612:I612">320+96</f>
        <v>416</v>
      </c>
      <c r="I612" s="261">
        <f t="shared" si="330"/>
        <v>416</v>
      </c>
      <c r="L612" s="117"/>
    </row>
    <row r="613" spans="1:12" s="253" customFormat="1" ht="31.5">
      <c r="A613" s="25" t="s">
        <v>475</v>
      </c>
      <c r="B613" s="38">
        <v>906</v>
      </c>
      <c r="C613" s="20" t="s">
        <v>281</v>
      </c>
      <c r="D613" s="20" t="s">
        <v>230</v>
      </c>
      <c r="E613" s="20" t="s">
        <v>1050</v>
      </c>
      <c r="F613" s="20"/>
      <c r="G613" s="27">
        <f>G614</f>
        <v>496.7</v>
      </c>
      <c r="H613" s="262">
        <f aca="true" t="shared" si="331" ref="H613:I614">H614</f>
        <v>496.7</v>
      </c>
      <c r="I613" s="262">
        <f t="shared" si="331"/>
        <v>496.7</v>
      </c>
      <c r="J613" s="228"/>
      <c r="K613" s="117"/>
      <c r="L613" s="117"/>
    </row>
    <row r="614" spans="1:12" s="253" customFormat="1" ht="31.5">
      <c r="A614" s="387" t="s">
        <v>289</v>
      </c>
      <c r="B614" s="16">
        <v>906</v>
      </c>
      <c r="C614" s="20" t="s">
        <v>281</v>
      </c>
      <c r="D614" s="20" t="s">
        <v>230</v>
      </c>
      <c r="E614" s="20" t="s">
        <v>1050</v>
      </c>
      <c r="F614" s="20" t="s">
        <v>290</v>
      </c>
      <c r="G614" s="27">
        <f>G615</f>
        <v>496.7</v>
      </c>
      <c r="H614" s="262">
        <f t="shared" si="331"/>
        <v>496.7</v>
      </c>
      <c r="I614" s="262">
        <f t="shared" si="331"/>
        <v>496.7</v>
      </c>
      <c r="J614" s="228"/>
      <c r="K614" s="117"/>
      <c r="L614" s="117"/>
    </row>
    <row r="615" spans="1:12" s="253" customFormat="1" ht="15.75">
      <c r="A615" s="25" t="s">
        <v>291</v>
      </c>
      <c r="B615" s="16">
        <v>906</v>
      </c>
      <c r="C615" s="20" t="s">
        <v>281</v>
      </c>
      <c r="D615" s="20" t="s">
        <v>230</v>
      </c>
      <c r="E615" s="20" t="s">
        <v>1050</v>
      </c>
      <c r="F615" s="20" t="s">
        <v>292</v>
      </c>
      <c r="G615" s="27">
        <f>733.5-244.8+8</f>
        <v>496.7</v>
      </c>
      <c r="H615" s="262">
        <f aca="true" t="shared" si="332" ref="H615:I615">733.5-244.8+8</f>
        <v>496.7</v>
      </c>
      <c r="I615" s="262">
        <f t="shared" si="332"/>
        <v>496.7</v>
      </c>
      <c r="J615" s="228"/>
      <c r="K615" s="117"/>
      <c r="L615" s="117"/>
    </row>
    <row r="616" spans="1:12" s="253" customFormat="1" ht="31.5">
      <c r="A616" s="319" t="s">
        <v>1085</v>
      </c>
      <c r="B616" s="19">
        <v>906</v>
      </c>
      <c r="C616" s="24" t="s">
        <v>281</v>
      </c>
      <c r="D616" s="24" t="s">
        <v>230</v>
      </c>
      <c r="E616" s="24" t="s">
        <v>1051</v>
      </c>
      <c r="F616" s="24"/>
      <c r="G616" s="45">
        <f>G617+G620</f>
        <v>2634</v>
      </c>
      <c r="H616" s="284">
        <f aca="true" t="shared" si="333" ref="H616:I616">H617+H620</f>
        <v>3346.1</v>
      </c>
      <c r="I616" s="284">
        <f t="shared" si="333"/>
        <v>3346.1</v>
      </c>
      <c r="J616" s="228"/>
      <c r="K616" s="117"/>
      <c r="L616" s="117"/>
    </row>
    <row r="617" spans="1:12" ht="31.5" hidden="1">
      <c r="A617" s="25" t="s">
        <v>819</v>
      </c>
      <c r="B617" s="16">
        <v>906</v>
      </c>
      <c r="C617" s="20" t="s">
        <v>281</v>
      </c>
      <c r="D617" s="20" t="s">
        <v>230</v>
      </c>
      <c r="E617" s="20" t="s">
        <v>1053</v>
      </c>
      <c r="F617" s="20"/>
      <c r="G617" s="26">
        <f>G618</f>
        <v>0</v>
      </c>
      <c r="H617" s="261">
        <f aca="true" t="shared" si="334" ref="H617:I618">H618</f>
        <v>712.1</v>
      </c>
      <c r="I617" s="261">
        <f t="shared" si="334"/>
        <v>712.1</v>
      </c>
      <c r="L617" s="117"/>
    </row>
    <row r="618" spans="1:12" ht="31.5" hidden="1">
      <c r="A618" s="25" t="s">
        <v>289</v>
      </c>
      <c r="B618" s="16">
        <v>906</v>
      </c>
      <c r="C618" s="20" t="s">
        <v>281</v>
      </c>
      <c r="D618" s="20" t="s">
        <v>230</v>
      </c>
      <c r="E618" s="20" t="s">
        <v>1053</v>
      </c>
      <c r="F618" s="20" t="s">
        <v>290</v>
      </c>
      <c r="G618" s="26">
        <f>G619</f>
        <v>0</v>
      </c>
      <c r="H618" s="261">
        <f t="shared" si="334"/>
        <v>712.1</v>
      </c>
      <c r="I618" s="261">
        <f t="shared" si="334"/>
        <v>712.1</v>
      </c>
      <c r="L618" s="117"/>
    </row>
    <row r="619" spans="1:12" ht="15.75" hidden="1">
      <c r="A619" s="25" t="s">
        <v>291</v>
      </c>
      <c r="B619" s="16">
        <v>906</v>
      </c>
      <c r="C619" s="20" t="s">
        <v>281</v>
      </c>
      <c r="D619" s="20" t="s">
        <v>230</v>
      </c>
      <c r="E619" s="20" t="s">
        <v>1053</v>
      </c>
      <c r="F619" s="20" t="s">
        <v>292</v>
      </c>
      <c r="G619" s="26">
        <v>0</v>
      </c>
      <c r="H619" s="26">
        <v>712.1</v>
      </c>
      <c r="I619" s="26">
        <v>712.1</v>
      </c>
      <c r="J619" s="273"/>
      <c r="K619" s="283"/>
      <c r="L619" s="117"/>
    </row>
    <row r="620" spans="1:12" ht="38.25" customHeight="1">
      <c r="A620" s="63" t="s">
        <v>789</v>
      </c>
      <c r="B620" s="16">
        <v>906</v>
      </c>
      <c r="C620" s="20" t="s">
        <v>281</v>
      </c>
      <c r="D620" s="20" t="s">
        <v>230</v>
      </c>
      <c r="E620" s="20" t="s">
        <v>1054</v>
      </c>
      <c r="F620" s="20"/>
      <c r="G620" s="26">
        <f>G621</f>
        <v>2634</v>
      </c>
      <c r="H620" s="261">
        <f aca="true" t="shared" si="335" ref="H620:I621">H621</f>
        <v>2634</v>
      </c>
      <c r="I620" s="261">
        <f t="shared" si="335"/>
        <v>2634</v>
      </c>
      <c r="L620" s="117"/>
    </row>
    <row r="621" spans="1:12" ht="31.5">
      <c r="A621" s="30" t="s">
        <v>289</v>
      </c>
      <c r="B621" s="16">
        <v>906</v>
      </c>
      <c r="C621" s="20" t="s">
        <v>281</v>
      </c>
      <c r="D621" s="20" t="s">
        <v>230</v>
      </c>
      <c r="E621" s="20" t="s">
        <v>1054</v>
      </c>
      <c r="F621" s="20" t="s">
        <v>290</v>
      </c>
      <c r="G621" s="26">
        <f>G622</f>
        <v>2634</v>
      </c>
      <c r="H621" s="261">
        <f t="shared" si="335"/>
        <v>2634</v>
      </c>
      <c r="I621" s="261">
        <f t="shared" si="335"/>
        <v>2634</v>
      </c>
      <c r="L621" s="117"/>
    </row>
    <row r="622" spans="1:12" ht="15.75">
      <c r="A622" s="208" t="s">
        <v>291</v>
      </c>
      <c r="B622" s="16">
        <v>906</v>
      </c>
      <c r="C622" s="20" t="s">
        <v>281</v>
      </c>
      <c r="D622" s="20" t="s">
        <v>230</v>
      </c>
      <c r="E622" s="20" t="s">
        <v>1054</v>
      </c>
      <c r="F622" s="20" t="s">
        <v>292</v>
      </c>
      <c r="G622" s="26">
        <f>2634</f>
        <v>2634</v>
      </c>
      <c r="H622" s="261">
        <f>2634</f>
        <v>2634</v>
      </c>
      <c r="I622" s="261">
        <f>2634</f>
        <v>2634</v>
      </c>
      <c r="J622" s="273"/>
      <c r="L622" s="245"/>
    </row>
    <row r="623" spans="1:12" s="253" customFormat="1" ht="31.5">
      <c r="A623" s="317" t="s">
        <v>1056</v>
      </c>
      <c r="B623" s="19">
        <v>906</v>
      </c>
      <c r="C623" s="24" t="s">
        <v>281</v>
      </c>
      <c r="D623" s="24" t="s">
        <v>230</v>
      </c>
      <c r="E623" s="24" t="s">
        <v>1052</v>
      </c>
      <c r="F623" s="24"/>
      <c r="G623" s="21">
        <f>G624</f>
        <v>622</v>
      </c>
      <c r="H623" s="272">
        <f aca="true" t="shared" si="336" ref="H623:I625">H624</f>
        <v>621.6</v>
      </c>
      <c r="I623" s="272">
        <f t="shared" si="336"/>
        <v>621.6</v>
      </c>
      <c r="J623" s="283"/>
      <c r="K623" s="117"/>
      <c r="L623" s="303"/>
    </row>
    <row r="624" spans="1:12" s="253" customFormat="1" ht="47.25">
      <c r="A624" s="208" t="s">
        <v>878</v>
      </c>
      <c r="B624" s="16">
        <v>906</v>
      </c>
      <c r="C624" s="20" t="s">
        <v>281</v>
      </c>
      <c r="D624" s="20" t="s">
        <v>230</v>
      </c>
      <c r="E624" s="20" t="s">
        <v>1055</v>
      </c>
      <c r="F624" s="20"/>
      <c r="G624" s="26">
        <f>G625</f>
        <v>622</v>
      </c>
      <c r="H624" s="261">
        <f t="shared" si="336"/>
        <v>621.6</v>
      </c>
      <c r="I624" s="261">
        <f t="shared" si="336"/>
        <v>621.6</v>
      </c>
      <c r="J624" s="283"/>
      <c r="K624" s="117"/>
      <c r="L624" s="245"/>
    </row>
    <row r="625" spans="1:12" s="253" customFormat="1" ht="31.5">
      <c r="A625" s="32" t="s">
        <v>289</v>
      </c>
      <c r="B625" s="16">
        <v>906</v>
      </c>
      <c r="C625" s="20" t="s">
        <v>281</v>
      </c>
      <c r="D625" s="20" t="s">
        <v>230</v>
      </c>
      <c r="E625" s="20" t="s">
        <v>1055</v>
      </c>
      <c r="F625" s="20" t="s">
        <v>290</v>
      </c>
      <c r="G625" s="26">
        <f>G626</f>
        <v>622</v>
      </c>
      <c r="H625" s="261">
        <f t="shared" si="336"/>
        <v>621.6</v>
      </c>
      <c r="I625" s="261">
        <f t="shared" si="336"/>
        <v>621.6</v>
      </c>
      <c r="J625" s="283"/>
      <c r="K625" s="117"/>
      <c r="L625" s="245"/>
    </row>
    <row r="626" spans="1:12" s="253" customFormat="1" ht="15.75">
      <c r="A626" s="32" t="s">
        <v>291</v>
      </c>
      <c r="B626" s="16">
        <v>906</v>
      </c>
      <c r="C626" s="20" t="s">
        <v>281</v>
      </c>
      <c r="D626" s="20" t="s">
        <v>230</v>
      </c>
      <c r="E626" s="20" t="s">
        <v>1055</v>
      </c>
      <c r="F626" s="20" t="s">
        <v>292</v>
      </c>
      <c r="G626" s="26">
        <f>621.6+0.4</f>
        <v>622</v>
      </c>
      <c r="H626" s="261">
        <v>621.6</v>
      </c>
      <c r="I626" s="261">
        <v>621.6</v>
      </c>
      <c r="J626" s="283"/>
      <c r="K626" s="117"/>
      <c r="L626" s="245"/>
    </row>
    <row r="627" spans="1:12" ht="47.25" hidden="1">
      <c r="A627" s="35" t="s">
        <v>807</v>
      </c>
      <c r="B627" s="19">
        <v>906</v>
      </c>
      <c r="C627" s="24" t="s">
        <v>281</v>
      </c>
      <c r="D627" s="24" t="s">
        <v>230</v>
      </c>
      <c r="E627" s="24" t="s">
        <v>341</v>
      </c>
      <c r="F627" s="24"/>
      <c r="G627" s="21">
        <f>G628</f>
        <v>0</v>
      </c>
      <c r="H627" s="272">
        <f aca="true" t="shared" si="337" ref="H627:I630">H628</f>
        <v>150</v>
      </c>
      <c r="I627" s="272">
        <f t="shared" si="337"/>
        <v>150</v>
      </c>
      <c r="L627" s="244"/>
    </row>
    <row r="628" spans="1:12" s="253" customFormat="1" ht="47.25" hidden="1">
      <c r="A628" s="35" t="s">
        <v>1201</v>
      </c>
      <c r="B628" s="19">
        <v>906</v>
      </c>
      <c r="C628" s="24" t="s">
        <v>281</v>
      </c>
      <c r="D628" s="24" t="s">
        <v>230</v>
      </c>
      <c r="E628" s="24" t="s">
        <v>1033</v>
      </c>
      <c r="F628" s="24"/>
      <c r="G628" s="21">
        <f>G629</f>
        <v>0</v>
      </c>
      <c r="H628" s="272">
        <f t="shared" si="337"/>
        <v>150</v>
      </c>
      <c r="I628" s="272">
        <f t="shared" si="337"/>
        <v>150</v>
      </c>
      <c r="J628" s="228"/>
      <c r="K628" s="117"/>
      <c r="L628" s="244"/>
    </row>
    <row r="629" spans="1:12" ht="47.25" hidden="1">
      <c r="A629" s="32" t="s">
        <v>1291</v>
      </c>
      <c r="B629" s="16">
        <v>906</v>
      </c>
      <c r="C629" s="20" t="s">
        <v>281</v>
      </c>
      <c r="D629" s="20" t="s">
        <v>230</v>
      </c>
      <c r="E629" s="20" t="s">
        <v>1034</v>
      </c>
      <c r="F629" s="20"/>
      <c r="G629" s="26">
        <f>G630</f>
        <v>0</v>
      </c>
      <c r="H629" s="261">
        <f t="shared" si="337"/>
        <v>150</v>
      </c>
      <c r="I629" s="261">
        <f t="shared" si="337"/>
        <v>150</v>
      </c>
      <c r="L629" s="117"/>
    </row>
    <row r="630" spans="1:12" ht="31.5" hidden="1">
      <c r="A630" s="32" t="s">
        <v>289</v>
      </c>
      <c r="B630" s="16">
        <v>906</v>
      </c>
      <c r="C630" s="20" t="s">
        <v>281</v>
      </c>
      <c r="D630" s="20" t="s">
        <v>230</v>
      </c>
      <c r="E630" s="20" t="s">
        <v>1034</v>
      </c>
      <c r="F630" s="20" t="s">
        <v>290</v>
      </c>
      <c r="G630" s="26">
        <f>G631</f>
        <v>0</v>
      </c>
      <c r="H630" s="261">
        <f t="shared" si="337"/>
        <v>150</v>
      </c>
      <c r="I630" s="261">
        <f t="shared" si="337"/>
        <v>150</v>
      </c>
      <c r="L630" s="117"/>
    </row>
    <row r="631" spans="1:12" ht="15.75" hidden="1">
      <c r="A631" s="32" t="s">
        <v>291</v>
      </c>
      <c r="B631" s="16">
        <v>906</v>
      </c>
      <c r="C631" s="20" t="s">
        <v>281</v>
      </c>
      <c r="D631" s="20" t="s">
        <v>230</v>
      </c>
      <c r="E631" s="20" t="s">
        <v>1034</v>
      </c>
      <c r="F631" s="20" t="s">
        <v>292</v>
      </c>
      <c r="G631" s="26">
        <v>0</v>
      </c>
      <c r="H631" s="261">
        <v>150</v>
      </c>
      <c r="I631" s="261">
        <v>150</v>
      </c>
      <c r="L631" s="117"/>
    </row>
    <row r="632" spans="1:12" ht="47.25">
      <c r="A632" s="42" t="s">
        <v>1188</v>
      </c>
      <c r="B632" s="19">
        <v>906</v>
      </c>
      <c r="C632" s="24" t="s">
        <v>281</v>
      </c>
      <c r="D632" s="24" t="s">
        <v>230</v>
      </c>
      <c r="E632" s="24" t="s">
        <v>730</v>
      </c>
      <c r="F632" s="324"/>
      <c r="G632" s="21">
        <f>G633</f>
        <v>723.3</v>
      </c>
      <c r="H632" s="272">
        <f aca="true" t="shared" si="338" ref="H632:I635">H633</f>
        <v>723.3</v>
      </c>
      <c r="I632" s="272">
        <f t="shared" si="338"/>
        <v>723.3</v>
      </c>
      <c r="J632" s="228" t="s">
        <v>1189</v>
      </c>
      <c r="L632" s="117"/>
    </row>
    <row r="633" spans="1:12" s="253" customFormat="1" ht="47.25">
      <c r="A633" s="42" t="s">
        <v>954</v>
      </c>
      <c r="B633" s="19">
        <v>906</v>
      </c>
      <c r="C633" s="24" t="s">
        <v>281</v>
      </c>
      <c r="D633" s="24" t="s">
        <v>230</v>
      </c>
      <c r="E633" s="24" t="s">
        <v>952</v>
      </c>
      <c r="F633" s="324"/>
      <c r="G633" s="21">
        <f>G634</f>
        <v>723.3</v>
      </c>
      <c r="H633" s="272">
        <f t="shared" si="338"/>
        <v>723.3</v>
      </c>
      <c r="I633" s="272">
        <f t="shared" si="338"/>
        <v>723.3</v>
      </c>
      <c r="J633" s="228"/>
      <c r="K633" s="117"/>
      <c r="L633" s="117"/>
    </row>
    <row r="634" spans="1:12" ht="35.25" customHeight="1">
      <c r="A634" s="107" t="s">
        <v>805</v>
      </c>
      <c r="B634" s="16">
        <v>906</v>
      </c>
      <c r="C634" s="20" t="s">
        <v>281</v>
      </c>
      <c r="D634" s="20" t="s">
        <v>230</v>
      </c>
      <c r="E634" s="20" t="s">
        <v>1035</v>
      </c>
      <c r="F634" s="33"/>
      <c r="G634" s="26">
        <f>G635</f>
        <v>723.3</v>
      </c>
      <c r="H634" s="261">
        <f t="shared" si="338"/>
        <v>723.3</v>
      </c>
      <c r="I634" s="261">
        <f t="shared" si="338"/>
        <v>723.3</v>
      </c>
      <c r="L634" s="117"/>
    </row>
    <row r="635" spans="1:12" ht="39.75" customHeight="1">
      <c r="A635" s="30" t="s">
        <v>289</v>
      </c>
      <c r="B635" s="16">
        <v>906</v>
      </c>
      <c r="C635" s="20" t="s">
        <v>281</v>
      </c>
      <c r="D635" s="20" t="s">
        <v>230</v>
      </c>
      <c r="E635" s="20" t="s">
        <v>1035</v>
      </c>
      <c r="F635" s="33" t="s">
        <v>290</v>
      </c>
      <c r="G635" s="26">
        <f>G636</f>
        <v>723.3</v>
      </c>
      <c r="H635" s="261">
        <f t="shared" si="338"/>
        <v>723.3</v>
      </c>
      <c r="I635" s="261">
        <f t="shared" si="338"/>
        <v>723.3</v>
      </c>
      <c r="L635" s="117"/>
    </row>
    <row r="636" spans="1:12" ht="15.75">
      <c r="A636" s="208" t="s">
        <v>291</v>
      </c>
      <c r="B636" s="16">
        <v>906</v>
      </c>
      <c r="C636" s="20" t="s">
        <v>281</v>
      </c>
      <c r="D636" s="20" t="s">
        <v>230</v>
      </c>
      <c r="E636" s="20" t="s">
        <v>1035</v>
      </c>
      <c r="F636" s="33" t="s">
        <v>292</v>
      </c>
      <c r="G636" s="26">
        <v>723.3</v>
      </c>
      <c r="H636" s="261">
        <v>723.3</v>
      </c>
      <c r="I636" s="261">
        <v>723.3</v>
      </c>
      <c r="L636" s="117"/>
    </row>
    <row r="637" spans="1:12" ht="15.75">
      <c r="A637" s="23" t="s">
        <v>282</v>
      </c>
      <c r="B637" s="19">
        <v>906</v>
      </c>
      <c r="C637" s="24" t="s">
        <v>281</v>
      </c>
      <c r="D637" s="24" t="s">
        <v>232</v>
      </c>
      <c r="E637" s="24"/>
      <c r="F637" s="24"/>
      <c r="G637" s="45">
        <f>G638+G663</f>
        <v>35147.09999999999</v>
      </c>
      <c r="H637" s="284">
        <f aca="true" t="shared" si="339" ref="H637:I637">H638+H663</f>
        <v>33300.5</v>
      </c>
      <c r="I637" s="284">
        <f t="shared" si="339"/>
        <v>33300.5</v>
      </c>
      <c r="L637" s="117"/>
    </row>
    <row r="638" spans="1:12" ht="54" customHeight="1">
      <c r="A638" s="23" t="s">
        <v>443</v>
      </c>
      <c r="B638" s="19">
        <v>906</v>
      </c>
      <c r="C638" s="24" t="s">
        <v>281</v>
      </c>
      <c r="D638" s="24" t="s">
        <v>232</v>
      </c>
      <c r="E638" s="24" t="s">
        <v>423</v>
      </c>
      <c r="F638" s="24"/>
      <c r="G638" s="45">
        <f>G639+G654</f>
        <v>34846.399999999994</v>
      </c>
      <c r="H638" s="284">
        <f aca="true" t="shared" si="340" ref="H638:I638">H639+H654</f>
        <v>32999.8</v>
      </c>
      <c r="I638" s="284">
        <f t="shared" si="340"/>
        <v>32999.8</v>
      </c>
      <c r="L638" s="117"/>
    </row>
    <row r="639" spans="1:12" ht="36.75" customHeight="1">
      <c r="A639" s="23" t="s">
        <v>424</v>
      </c>
      <c r="B639" s="19">
        <v>906</v>
      </c>
      <c r="C639" s="24" t="s">
        <v>281</v>
      </c>
      <c r="D639" s="24" t="s">
        <v>232</v>
      </c>
      <c r="E639" s="24" t="s">
        <v>425</v>
      </c>
      <c r="F639" s="24"/>
      <c r="G639" s="45">
        <f>G641+G644</f>
        <v>34157.399999999994</v>
      </c>
      <c r="H639" s="284">
        <f aca="true" t="shared" si="341" ref="H639:I639">H641+H644</f>
        <v>32310.8</v>
      </c>
      <c r="I639" s="284">
        <f t="shared" si="341"/>
        <v>32310.8</v>
      </c>
      <c r="L639" s="117"/>
    </row>
    <row r="640" spans="1:12" s="253" customFormat="1" ht="36.75" customHeight="1">
      <c r="A640" s="23" t="s">
        <v>1036</v>
      </c>
      <c r="B640" s="19">
        <v>906</v>
      </c>
      <c r="C640" s="24" t="s">
        <v>281</v>
      </c>
      <c r="D640" s="24" t="s">
        <v>232</v>
      </c>
      <c r="E640" s="24" t="s">
        <v>1014</v>
      </c>
      <c r="F640" s="24"/>
      <c r="G640" s="45">
        <f>G641</f>
        <v>32614.999999999996</v>
      </c>
      <c r="H640" s="284">
        <f aca="true" t="shared" si="342" ref="H640:I642">H641</f>
        <v>30768.399999999998</v>
      </c>
      <c r="I640" s="284">
        <f t="shared" si="342"/>
        <v>30768.399999999998</v>
      </c>
      <c r="J640" s="228"/>
      <c r="K640" s="117"/>
      <c r="L640" s="117"/>
    </row>
    <row r="641" spans="1:12" ht="31.5">
      <c r="A641" s="25" t="s">
        <v>287</v>
      </c>
      <c r="B641" s="16">
        <v>906</v>
      </c>
      <c r="C641" s="20" t="s">
        <v>281</v>
      </c>
      <c r="D641" s="20" t="s">
        <v>232</v>
      </c>
      <c r="E641" s="20" t="s">
        <v>1059</v>
      </c>
      <c r="F641" s="20"/>
      <c r="G641" s="27">
        <f>G642</f>
        <v>32614.999999999996</v>
      </c>
      <c r="H641" s="262">
        <f t="shared" si="342"/>
        <v>30768.399999999998</v>
      </c>
      <c r="I641" s="262">
        <f t="shared" si="342"/>
        <v>30768.399999999998</v>
      </c>
      <c r="L641" s="117"/>
    </row>
    <row r="642" spans="1:12" ht="36.75" customHeight="1">
      <c r="A642" s="25" t="s">
        <v>289</v>
      </c>
      <c r="B642" s="16">
        <v>906</v>
      </c>
      <c r="C642" s="20" t="s">
        <v>281</v>
      </c>
      <c r="D642" s="20" t="s">
        <v>232</v>
      </c>
      <c r="E642" s="20" t="s">
        <v>1059</v>
      </c>
      <c r="F642" s="20" t="s">
        <v>290</v>
      </c>
      <c r="G642" s="27">
        <f>G643</f>
        <v>32614.999999999996</v>
      </c>
      <c r="H642" s="262">
        <f t="shared" si="342"/>
        <v>30768.399999999998</v>
      </c>
      <c r="I642" s="262">
        <f t="shared" si="342"/>
        <v>30768.399999999998</v>
      </c>
      <c r="L642" s="117"/>
    </row>
    <row r="643" spans="1:12" ht="15.75">
      <c r="A643" s="25" t="s">
        <v>291</v>
      </c>
      <c r="B643" s="16">
        <v>906</v>
      </c>
      <c r="C643" s="20" t="s">
        <v>281</v>
      </c>
      <c r="D643" s="20" t="s">
        <v>232</v>
      </c>
      <c r="E643" s="20" t="s">
        <v>1059</v>
      </c>
      <c r="F643" s="20" t="s">
        <v>292</v>
      </c>
      <c r="G643" s="27">
        <f>27381+1173.6+2213.8+0.6+1846</f>
        <v>32614.999999999996</v>
      </c>
      <c r="H643" s="262">
        <f aca="true" t="shared" si="343" ref="H643:I643">27381+1173.6+2213.8</f>
        <v>30768.399999999998</v>
      </c>
      <c r="I643" s="262">
        <f t="shared" si="343"/>
        <v>30768.399999999998</v>
      </c>
      <c r="J643" s="281"/>
      <c r="K643" s="126">
        <v>1.07</v>
      </c>
      <c r="L643" s="122"/>
    </row>
    <row r="644" spans="1:12" s="253" customFormat="1" ht="36" customHeight="1">
      <c r="A644" s="23" t="s">
        <v>976</v>
      </c>
      <c r="B644" s="19">
        <v>906</v>
      </c>
      <c r="C644" s="24" t="s">
        <v>281</v>
      </c>
      <c r="D644" s="24" t="s">
        <v>232</v>
      </c>
      <c r="E644" s="24" t="s">
        <v>1029</v>
      </c>
      <c r="F644" s="24"/>
      <c r="G644" s="45">
        <f>G645+G648+G651</f>
        <v>1542.4</v>
      </c>
      <c r="H644" s="284">
        <f aca="true" t="shared" si="344" ref="H644:I644">H645+H648+H651</f>
        <v>1542.4</v>
      </c>
      <c r="I644" s="284">
        <f t="shared" si="344"/>
        <v>1542.4</v>
      </c>
      <c r="J644" s="285"/>
      <c r="K644" s="122"/>
      <c r="L644" s="122"/>
    </row>
    <row r="645" spans="1:12" s="253" customFormat="1" ht="54.75" customHeight="1">
      <c r="A645" s="32" t="s">
        <v>306</v>
      </c>
      <c r="B645" s="16">
        <v>906</v>
      </c>
      <c r="C645" s="20" t="s">
        <v>281</v>
      </c>
      <c r="D645" s="20" t="s">
        <v>232</v>
      </c>
      <c r="E645" s="20" t="s">
        <v>1028</v>
      </c>
      <c r="F645" s="20"/>
      <c r="G645" s="27">
        <f>G646</f>
        <v>110</v>
      </c>
      <c r="H645" s="262">
        <f aca="true" t="shared" si="345" ref="H645:I646">H646</f>
        <v>110</v>
      </c>
      <c r="I645" s="262">
        <f t="shared" si="345"/>
        <v>110</v>
      </c>
      <c r="J645" s="285"/>
      <c r="K645" s="122"/>
      <c r="L645" s="122"/>
    </row>
    <row r="646" spans="1:12" s="253" customFormat="1" ht="31.5">
      <c r="A646" s="25" t="s">
        <v>289</v>
      </c>
      <c r="B646" s="16">
        <v>906</v>
      </c>
      <c r="C646" s="20" t="s">
        <v>281</v>
      </c>
      <c r="D646" s="20" t="s">
        <v>232</v>
      </c>
      <c r="E646" s="20" t="s">
        <v>1028</v>
      </c>
      <c r="F646" s="20" t="s">
        <v>290</v>
      </c>
      <c r="G646" s="27">
        <f>G647</f>
        <v>110</v>
      </c>
      <c r="H646" s="262">
        <f t="shared" si="345"/>
        <v>110</v>
      </c>
      <c r="I646" s="262">
        <f t="shared" si="345"/>
        <v>110</v>
      </c>
      <c r="J646" s="285"/>
      <c r="K646" s="122"/>
      <c r="L646" s="122"/>
    </row>
    <row r="647" spans="1:12" s="253" customFormat="1" ht="15.75">
      <c r="A647" s="25" t="s">
        <v>291</v>
      </c>
      <c r="B647" s="16">
        <v>906</v>
      </c>
      <c r="C647" s="20" t="s">
        <v>281</v>
      </c>
      <c r="D647" s="20" t="s">
        <v>232</v>
      </c>
      <c r="E647" s="20" t="s">
        <v>1028</v>
      </c>
      <c r="F647" s="20" t="s">
        <v>292</v>
      </c>
      <c r="G647" s="27">
        <v>110</v>
      </c>
      <c r="H647" s="262">
        <v>110</v>
      </c>
      <c r="I647" s="262">
        <v>110</v>
      </c>
      <c r="J647" s="285"/>
      <c r="K647" s="122"/>
      <c r="L647" s="122"/>
    </row>
    <row r="648" spans="1:12" s="253" customFormat="1" ht="63">
      <c r="A648" s="32" t="s">
        <v>308</v>
      </c>
      <c r="B648" s="16">
        <v>906</v>
      </c>
      <c r="C648" s="20" t="s">
        <v>281</v>
      </c>
      <c r="D648" s="20" t="s">
        <v>232</v>
      </c>
      <c r="E648" s="20" t="s">
        <v>1031</v>
      </c>
      <c r="F648" s="20"/>
      <c r="G648" s="27">
        <f>G649</f>
        <v>592.1</v>
      </c>
      <c r="H648" s="262">
        <f aca="true" t="shared" si="346" ref="H648:I649">H649</f>
        <v>592.1</v>
      </c>
      <c r="I648" s="262">
        <f t="shared" si="346"/>
        <v>592.1</v>
      </c>
      <c r="J648" s="285"/>
      <c r="K648" s="122"/>
      <c r="L648" s="122"/>
    </row>
    <row r="649" spans="1:12" s="253" customFormat="1" ht="31.5">
      <c r="A649" s="25" t="s">
        <v>289</v>
      </c>
      <c r="B649" s="16">
        <v>906</v>
      </c>
      <c r="C649" s="20" t="s">
        <v>281</v>
      </c>
      <c r="D649" s="20" t="s">
        <v>232</v>
      </c>
      <c r="E649" s="20" t="s">
        <v>1031</v>
      </c>
      <c r="F649" s="20" t="s">
        <v>290</v>
      </c>
      <c r="G649" s="27">
        <f>G650</f>
        <v>592.1</v>
      </c>
      <c r="H649" s="262">
        <f t="shared" si="346"/>
        <v>592.1</v>
      </c>
      <c r="I649" s="262">
        <f t="shared" si="346"/>
        <v>592.1</v>
      </c>
      <c r="J649" s="285"/>
      <c r="K649" s="122"/>
      <c r="L649" s="122"/>
    </row>
    <row r="650" spans="1:12" s="253" customFormat="1" ht="15.75">
      <c r="A650" s="25" t="s">
        <v>291</v>
      </c>
      <c r="B650" s="16">
        <v>906</v>
      </c>
      <c r="C650" s="20" t="s">
        <v>281</v>
      </c>
      <c r="D650" s="20" t="s">
        <v>232</v>
      </c>
      <c r="E650" s="20" t="s">
        <v>1031</v>
      </c>
      <c r="F650" s="20" t="s">
        <v>292</v>
      </c>
      <c r="G650" s="27">
        <f>572.2+19.9</f>
        <v>592.1</v>
      </c>
      <c r="H650" s="262">
        <f aca="true" t="shared" si="347" ref="H650:I650">572.2+19.9</f>
        <v>592.1</v>
      </c>
      <c r="I650" s="262">
        <f t="shared" si="347"/>
        <v>592.1</v>
      </c>
      <c r="J650" s="285"/>
      <c r="K650" s="122"/>
      <c r="L650" s="122"/>
    </row>
    <row r="651" spans="1:12" s="253" customFormat="1" ht="78.75">
      <c r="A651" s="32" t="s">
        <v>310</v>
      </c>
      <c r="B651" s="16">
        <v>906</v>
      </c>
      <c r="C651" s="20" t="s">
        <v>281</v>
      </c>
      <c r="D651" s="20" t="s">
        <v>232</v>
      </c>
      <c r="E651" s="20" t="s">
        <v>1032</v>
      </c>
      <c r="F651" s="20"/>
      <c r="G651" s="27">
        <f>G652</f>
        <v>840.3</v>
      </c>
      <c r="H651" s="262">
        <f aca="true" t="shared" si="348" ref="H651:I652">H652</f>
        <v>840.3</v>
      </c>
      <c r="I651" s="262">
        <f t="shared" si="348"/>
        <v>840.3</v>
      </c>
      <c r="J651" s="285"/>
      <c r="K651" s="122"/>
      <c r="L651" s="122"/>
    </row>
    <row r="652" spans="1:12" s="253" customFormat="1" ht="31.5">
      <c r="A652" s="25" t="s">
        <v>289</v>
      </c>
      <c r="B652" s="16">
        <v>906</v>
      </c>
      <c r="C652" s="20" t="s">
        <v>281</v>
      </c>
      <c r="D652" s="20" t="s">
        <v>232</v>
      </c>
      <c r="E652" s="20" t="s">
        <v>1032</v>
      </c>
      <c r="F652" s="20" t="s">
        <v>290</v>
      </c>
      <c r="G652" s="27">
        <f>G653</f>
        <v>840.3</v>
      </c>
      <c r="H652" s="262">
        <f t="shared" si="348"/>
        <v>840.3</v>
      </c>
      <c r="I652" s="262">
        <f t="shared" si="348"/>
        <v>840.3</v>
      </c>
      <c r="J652" s="285"/>
      <c r="K652" s="122"/>
      <c r="L652" s="122"/>
    </row>
    <row r="653" spans="1:12" s="253" customFormat="1" ht="15.75">
      <c r="A653" s="25" t="s">
        <v>291</v>
      </c>
      <c r="B653" s="16">
        <v>906</v>
      </c>
      <c r="C653" s="20" t="s">
        <v>281</v>
      </c>
      <c r="D653" s="20" t="s">
        <v>232</v>
      </c>
      <c r="E653" s="20" t="s">
        <v>1032</v>
      </c>
      <c r="F653" s="20" t="s">
        <v>292</v>
      </c>
      <c r="G653" s="27">
        <f>900-15.5-44.2</f>
        <v>840.3</v>
      </c>
      <c r="H653" s="262">
        <f aca="true" t="shared" si="349" ref="H653:I653">900-15.5-44.2</f>
        <v>840.3</v>
      </c>
      <c r="I653" s="262">
        <f t="shared" si="349"/>
        <v>840.3</v>
      </c>
      <c r="J653" s="285"/>
      <c r="K653" s="122"/>
      <c r="L653" s="122"/>
    </row>
    <row r="654" spans="1:12" ht="38.25" customHeight="1">
      <c r="A654" s="35" t="s">
        <v>723</v>
      </c>
      <c r="B654" s="19">
        <v>906</v>
      </c>
      <c r="C654" s="24" t="s">
        <v>281</v>
      </c>
      <c r="D654" s="24" t="s">
        <v>232</v>
      </c>
      <c r="E654" s="24" t="s">
        <v>464</v>
      </c>
      <c r="F654" s="24"/>
      <c r="G654" s="45">
        <f>G655+G659</f>
        <v>689</v>
      </c>
      <c r="H654" s="284">
        <f aca="true" t="shared" si="350" ref="H654:I654">H655+H659</f>
        <v>689</v>
      </c>
      <c r="I654" s="284">
        <f t="shared" si="350"/>
        <v>689</v>
      </c>
      <c r="L654" s="244"/>
    </row>
    <row r="655" spans="1:12" s="253" customFormat="1" ht="30.75" customHeight="1" hidden="1">
      <c r="A655" s="23" t="s">
        <v>1060</v>
      </c>
      <c r="B655" s="19">
        <v>906</v>
      </c>
      <c r="C655" s="24" t="s">
        <v>281</v>
      </c>
      <c r="D655" s="24" t="s">
        <v>232</v>
      </c>
      <c r="E655" s="24" t="s">
        <v>1250</v>
      </c>
      <c r="F655" s="24"/>
      <c r="G655" s="45">
        <f>G656</f>
        <v>0</v>
      </c>
      <c r="H655" s="284">
        <f aca="true" t="shared" si="351" ref="H655:I657">H656</f>
        <v>0</v>
      </c>
      <c r="I655" s="284">
        <f t="shared" si="351"/>
        <v>0</v>
      </c>
      <c r="J655" s="228"/>
      <c r="K655" s="117"/>
      <c r="L655" s="244"/>
    </row>
    <row r="656" spans="1:12" ht="31.5" hidden="1">
      <c r="A656" s="46" t="s">
        <v>791</v>
      </c>
      <c r="B656" s="16">
        <v>906</v>
      </c>
      <c r="C656" s="20" t="s">
        <v>281</v>
      </c>
      <c r="D656" s="20" t="s">
        <v>232</v>
      </c>
      <c r="E656" s="20" t="s">
        <v>1251</v>
      </c>
      <c r="F656" s="20"/>
      <c r="G656" s="27">
        <f>G657</f>
        <v>0</v>
      </c>
      <c r="H656" s="262">
        <f t="shared" si="351"/>
        <v>0</v>
      </c>
      <c r="I656" s="262">
        <f t="shared" si="351"/>
        <v>0</v>
      </c>
      <c r="L656" s="117"/>
    </row>
    <row r="657" spans="1:12" ht="31.5" hidden="1">
      <c r="A657" s="32" t="s">
        <v>289</v>
      </c>
      <c r="B657" s="16">
        <v>906</v>
      </c>
      <c r="C657" s="20" t="s">
        <v>281</v>
      </c>
      <c r="D657" s="20" t="s">
        <v>232</v>
      </c>
      <c r="E657" s="20" t="s">
        <v>1251</v>
      </c>
      <c r="F657" s="20" t="s">
        <v>290</v>
      </c>
      <c r="G657" s="27">
        <f>G658</f>
        <v>0</v>
      </c>
      <c r="H657" s="262">
        <f t="shared" si="351"/>
        <v>0</v>
      </c>
      <c r="I657" s="262">
        <f t="shared" si="351"/>
        <v>0</v>
      </c>
      <c r="L657" s="117"/>
    </row>
    <row r="658" spans="1:12" ht="15.75" hidden="1">
      <c r="A658" s="32" t="s">
        <v>291</v>
      </c>
      <c r="B658" s="16">
        <v>906</v>
      </c>
      <c r="C658" s="20" t="s">
        <v>281</v>
      </c>
      <c r="D658" s="20" t="s">
        <v>232</v>
      </c>
      <c r="E658" s="20" t="s">
        <v>1251</v>
      </c>
      <c r="F658" s="20" t="s">
        <v>292</v>
      </c>
      <c r="G658" s="27">
        <v>0</v>
      </c>
      <c r="H658" s="262">
        <v>0</v>
      </c>
      <c r="I658" s="262">
        <v>0</v>
      </c>
      <c r="L658" s="117"/>
    </row>
    <row r="659" spans="1:12" s="253" customFormat="1" ht="31.5">
      <c r="A659" s="319" t="s">
        <v>1085</v>
      </c>
      <c r="B659" s="19">
        <v>906</v>
      </c>
      <c r="C659" s="24" t="s">
        <v>281</v>
      </c>
      <c r="D659" s="24" t="s">
        <v>232</v>
      </c>
      <c r="E659" s="24" t="s">
        <v>1061</v>
      </c>
      <c r="F659" s="24"/>
      <c r="G659" s="45">
        <f>G660</f>
        <v>689</v>
      </c>
      <c r="H659" s="284">
        <f aca="true" t="shared" si="352" ref="H659:I661">H660</f>
        <v>689</v>
      </c>
      <c r="I659" s="284">
        <f t="shared" si="352"/>
        <v>689</v>
      </c>
      <c r="J659" s="228"/>
      <c r="K659" s="117"/>
      <c r="L659" s="117"/>
    </row>
    <row r="660" spans="1:12" ht="37.5" customHeight="1">
      <c r="A660" s="46" t="s">
        <v>789</v>
      </c>
      <c r="B660" s="16">
        <v>906</v>
      </c>
      <c r="C660" s="20" t="s">
        <v>281</v>
      </c>
      <c r="D660" s="20" t="s">
        <v>232</v>
      </c>
      <c r="E660" s="20" t="s">
        <v>1062</v>
      </c>
      <c r="F660" s="20"/>
      <c r="G660" s="27">
        <f>G661</f>
        <v>689</v>
      </c>
      <c r="H660" s="262">
        <f t="shared" si="352"/>
        <v>689</v>
      </c>
      <c r="I660" s="262">
        <f t="shared" si="352"/>
        <v>689</v>
      </c>
      <c r="L660" s="117"/>
    </row>
    <row r="661" spans="1:12" ht="32.25" customHeight="1">
      <c r="A661" s="25" t="s">
        <v>289</v>
      </c>
      <c r="B661" s="16">
        <v>906</v>
      </c>
      <c r="C661" s="20" t="s">
        <v>281</v>
      </c>
      <c r="D661" s="20" t="s">
        <v>232</v>
      </c>
      <c r="E661" s="20" t="s">
        <v>1062</v>
      </c>
      <c r="F661" s="20" t="s">
        <v>290</v>
      </c>
      <c r="G661" s="27">
        <f>G662</f>
        <v>689</v>
      </c>
      <c r="H661" s="262">
        <f t="shared" si="352"/>
        <v>689</v>
      </c>
      <c r="I661" s="262">
        <f t="shared" si="352"/>
        <v>689</v>
      </c>
      <c r="L661" s="117"/>
    </row>
    <row r="662" spans="1:12" ht="15.75">
      <c r="A662" s="32" t="s">
        <v>291</v>
      </c>
      <c r="B662" s="16">
        <v>906</v>
      </c>
      <c r="C662" s="20" t="s">
        <v>281</v>
      </c>
      <c r="D662" s="20" t="s">
        <v>232</v>
      </c>
      <c r="E662" s="20" t="s">
        <v>1062</v>
      </c>
      <c r="F662" s="20" t="s">
        <v>292</v>
      </c>
      <c r="G662" s="27">
        <f>689</f>
        <v>689</v>
      </c>
      <c r="H662" s="262">
        <f>689</f>
        <v>689</v>
      </c>
      <c r="I662" s="262">
        <f>689</f>
        <v>689</v>
      </c>
      <c r="J662" s="273"/>
      <c r="L662" s="117"/>
    </row>
    <row r="663" spans="1:12" ht="54.75" customHeight="1">
      <c r="A663" s="42" t="s">
        <v>1188</v>
      </c>
      <c r="B663" s="19">
        <v>906</v>
      </c>
      <c r="C663" s="24" t="s">
        <v>281</v>
      </c>
      <c r="D663" s="24" t="s">
        <v>232</v>
      </c>
      <c r="E663" s="24" t="s">
        <v>730</v>
      </c>
      <c r="F663" s="324"/>
      <c r="G663" s="45">
        <f>G665</f>
        <v>300.7</v>
      </c>
      <c r="H663" s="284">
        <f aca="true" t="shared" si="353" ref="H663:I663">H665</f>
        <v>300.7</v>
      </c>
      <c r="I663" s="284">
        <f t="shared" si="353"/>
        <v>300.7</v>
      </c>
      <c r="J663" s="228" t="s">
        <v>1189</v>
      </c>
      <c r="L663" s="244"/>
    </row>
    <row r="664" spans="1:12" s="253" customFormat="1" ht="54.75" customHeight="1">
      <c r="A664" s="42" t="s">
        <v>954</v>
      </c>
      <c r="B664" s="19">
        <v>906</v>
      </c>
      <c r="C664" s="24" t="s">
        <v>281</v>
      </c>
      <c r="D664" s="24" t="s">
        <v>1063</v>
      </c>
      <c r="E664" s="24" t="s">
        <v>952</v>
      </c>
      <c r="F664" s="324"/>
      <c r="G664" s="45">
        <f>G665</f>
        <v>300.7</v>
      </c>
      <c r="H664" s="284">
        <f aca="true" t="shared" si="354" ref="H664:I666">H665</f>
        <v>300.7</v>
      </c>
      <c r="I664" s="284">
        <f t="shared" si="354"/>
        <v>300.7</v>
      </c>
      <c r="J664" s="228"/>
      <c r="K664" s="117"/>
      <c r="L664" s="244"/>
    </row>
    <row r="665" spans="1:12" ht="47.25">
      <c r="A665" s="107" t="s">
        <v>805</v>
      </c>
      <c r="B665" s="16">
        <v>906</v>
      </c>
      <c r="C665" s="20" t="s">
        <v>281</v>
      </c>
      <c r="D665" s="20" t="s">
        <v>232</v>
      </c>
      <c r="E665" s="20" t="s">
        <v>1035</v>
      </c>
      <c r="F665" s="33"/>
      <c r="G665" s="27">
        <f>G666</f>
        <v>300.7</v>
      </c>
      <c r="H665" s="262">
        <f t="shared" si="354"/>
        <v>300.7</v>
      </c>
      <c r="I665" s="262">
        <f t="shared" si="354"/>
        <v>300.7</v>
      </c>
      <c r="L665" s="117"/>
    </row>
    <row r="666" spans="1:12" ht="34.5" customHeight="1">
      <c r="A666" s="30" t="s">
        <v>289</v>
      </c>
      <c r="B666" s="16">
        <v>906</v>
      </c>
      <c r="C666" s="20" t="s">
        <v>281</v>
      </c>
      <c r="D666" s="20" t="s">
        <v>232</v>
      </c>
      <c r="E666" s="20" t="s">
        <v>1035</v>
      </c>
      <c r="F666" s="33" t="s">
        <v>290</v>
      </c>
      <c r="G666" s="27">
        <f>G667</f>
        <v>300.7</v>
      </c>
      <c r="H666" s="262">
        <f t="shared" si="354"/>
        <v>300.7</v>
      </c>
      <c r="I666" s="262">
        <f t="shared" si="354"/>
        <v>300.7</v>
      </c>
      <c r="L666" s="117"/>
    </row>
    <row r="667" spans="1:12" ht="15.75">
      <c r="A667" s="208" t="s">
        <v>291</v>
      </c>
      <c r="B667" s="16">
        <v>906</v>
      </c>
      <c r="C667" s="20" t="s">
        <v>281</v>
      </c>
      <c r="D667" s="20" t="s">
        <v>232</v>
      </c>
      <c r="E667" s="20" t="s">
        <v>1035</v>
      </c>
      <c r="F667" s="33" t="s">
        <v>292</v>
      </c>
      <c r="G667" s="27">
        <v>300.7</v>
      </c>
      <c r="H667" s="262">
        <v>300.7</v>
      </c>
      <c r="I667" s="262">
        <v>300.7</v>
      </c>
      <c r="L667" s="117"/>
    </row>
    <row r="668" spans="1:12" ht="21" customHeight="1">
      <c r="A668" s="23" t="s">
        <v>483</v>
      </c>
      <c r="B668" s="19">
        <v>906</v>
      </c>
      <c r="C668" s="24" t="s">
        <v>281</v>
      </c>
      <c r="D668" s="24" t="s">
        <v>281</v>
      </c>
      <c r="E668" s="24"/>
      <c r="F668" s="24"/>
      <c r="G668" s="21">
        <f>G669</f>
        <v>6836.3</v>
      </c>
      <c r="H668" s="272">
        <f aca="true" t="shared" si="355" ref="H668:I668">H669</f>
        <v>6836.3</v>
      </c>
      <c r="I668" s="272">
        <f t="shared" si="355"/>
        <v>6836.3</v>
      </c>
      <c r="L668" s="117"/>
    </row>
    <row r="669" spans="1:12" ht="47.25">
      <c r="A669" s="23" t="s">
        <v>443</v>
      </c>
      <c r="B669" s="19">
        <v>906</v>
      </c>
      <c r="C669" s="24" t="s">
        <v>281</v>
      </c>
      <c r="D669" s="24" t="s">
        <v>281</v>
      </c>
      <c r="E669" s="24" t="s">
        <v>423</v>
      </c>
      <c r="F669" s="24"/>
      <c r="G669" s="21">
        <f aca="true" t="shared" si="356" ref="G669:I676">G670</f>
        <v>6836.3</v>
      </c>
      <c r="H669" s="272">
        <f t="shared" si="356"/>
        <v>6836.3</v>
      </c>
      <c r="I669" s="272">
        <f t="shared" si="356"/>
        <v>6836.3</v>
      </c>
      <c r="L669" s="117"/>
    </row>
    <row r="670" spans="1:12" ht="31.5">
      <c r="A670" s="23" t="s">
        <v>484</v>
      </c>
      <c r="B670" s="19">
        <v>906</v>
      </c>
      <c r="C670" s="24" t="s">
        <v>281</v>
      </c>
      <c r="D670" s="24" t="s">
        <v>485</v>
      </c>
      <c r="E670" s="24" t="s">
        <v>486</v>
      </c>
      <c r="F670" s="24"/>
      <c r="G670" s="21">
        <f>G671</f>
        <v>6836.3</v>
      </c>
      <c r="H670" s="272">
        <f t="shared" si="356"/>
        <v>6836.3</v>
      </c>
      <c r="I670" s="272">
        <f t="shared" si="356"/>
        <v>6836.3</v>
      </c>
      <c r="L670" s="117"/>
    </row>
    <row r="671" spans="1:12" s="253" customFormat="1" ht="31.5">
      <c r="A671" s="23" t="s">
        <v>1064</v>
      </c>
      <c r="B671" s="19">
        <v>906</v>
      </c>
      <c r="C671" s="24" t="s">
        <v>281</v>
      </c>
      <c r="D671" s="24" t="s">
        <v>281</v>
      </c>
      <c r="E671" s="24" t="s">
        <v>1065</v>
      </c>
      <c r="F671" s="24"/>
      <c r="G671" s="21">
        <f>G672+G675</f>
        <v>6836.3</v>
      </c>
      <c r="H671" s="272">
        <f aca="true" t="shared" si="357" ref="H671:I671">H672+H675</f>
        <v>6836.3</v>
      </c>
      <c r="I671" s="272">
        <f t="shared" si="357"/>
        <v>6836.3</v>
      </c>
      <c r="J671" s="228"/>
      <c r="K671" s="117"/>
      <c r="L671" s="117"/>
    </row>
    <row r="672" spans="1:12" ht="31.5">
      <c r="A672" s="32" t="s">
        <v>1252</v>
      </c>
      <c r="B672" s="16">
        <v>906</v>
      </c>
      <c r="C672" s="20" t="s">
        <v>281</v>
      </c>
      <c r="D672" s="20" t="s">
        <v>281</v>
      </c>
      <c r="E672" s="20" t="s">
        <v>1066</v>
      </c>
      <c r="F672" s="20"/>
      <c r="G672" s="26">
        <f t="shared" si="356"/>
        <v>3584</v>
      </c>
      <c r="H672" s="261">
        <f t="shared" si="356"/>
        <v>3584</v>
      </c>
      <c r="I672" s="261">
        <f t="shared" si="356"/>
        <v>3584</v>
      </c>
      <c r="L672" s="117"/>
    </row>
    <row r="673" spans="1:12" ht="36" customHeight="1">
      <c r="A673" s="25" t="s">
        <v>289</v>
      </c>
      <c r="B673" s="16">
        <v>906</v>
      </c>
      <c r="C673" s="20" t="s">
        <v>281</v>
      </c>
      <c r="D673" s="20" t="s">
        <v>281</v>
      </c>
      <c r="E673" s="20" t="s">
        <v>1066</v>
      </c>
      <c r="F673" s="20" t="s">
        <v>290</v>
      </c>
      <c r="G673" s="26">
        <f t="shared" si="356"/>
        <v>3584</v>
      </c>
      <c r="H673" s="261">
        <f t="shared" si="356"/>
        <v>3584</v>
      </c>
      <c r="I673" s="261">
        <f t="shared" si="356"/>
        <v>3584</v>
      </c>
      <c r="L673" s="117"/>
    </row>
    <row r="674" spans="1:12" ht="15.75">
      <c r="A674" s="25" t="s">
        <v>291</v>
      </c>
      <c r="B674" s="16">
        <v>906</v>
      </c>
      <c r="C674" s="20" t="s">
        <v>281</v>
      </c>
      <c r="D674" s="20" t="s">
        <v>281</v>
      </c>
      <c r="E674" s="20" t="s">
        <v>1066</v>
      </c>
      <c r="F674" s="20" t="s">
        <v>292</v>
      </c>
      <c r="G674" s="27">
        <f>3485+99</f>
        <v>3584</v>
      </c>
      <c r="H674" s="262">
        <f aca="true" t="shared" si="358" ref="H674:I674">3485+99</f>
        <v>3584</v>
      </c>
      <c r="I674" s="262">
        <f t="shared" si="358"/>
        <v>3584</v>
      </c>
      <c r="L674" s="117"/>
    </row>
    <row r="675" spans="1:12" ht="31.5">
      <c r="A675" s="32" t="s">
        <v>491</v>
      </c>
      <c r="B675" s="16">
        <v>906</v>
      </c>
      <c r="C675" s="20" t="s">
        <v>281</v>
      </c>
      <c r="D675" s="20" t="s">
        <v>281</v>
      </c>
      <c r="E675" s="20" t="s">
        <v>1067</v>
      </c>
      <c r="F675" s="20"/>
      <c r="G675" s="26">
        <f t="shared" si="356"/>
        <v>3252.3</v>
      </c>
      <c r="H675" s="261">
        <f t="shared" si="356"/>
        <v>3252.3</v>
      </c>
      <c r="I675" s="261">
        <f t="shared" si="356"/>
        <v>3252.3</v>
      </c>
      <c r="K675" s="122"/>
      <c r="L675" s="117"/>
    </row>
    <row r="676" spans="1:12" ht="36.75" customHeight="1">
      <c r="A676" s="25" t="s">
        <v>289</v>
      </c>
      <c r="B676" s="16">
        <v>906</v>
      </c>
      <c r="C676" s="20" t="s">
        <v>281</v>
      </c>
      <c r="D676" s="20" t="s">
        <v>281</v>
      </c>
      <c r="E676" s="20" t="s">
        <v>1067</v>
      </c>
      <c r="F676" s="20" t="s">
        <v>290</v>
      </c>
      <c r="G676" s="26">
        <f t="shared" si="356"/>
        <v>3252.3</v>
      </c>
      <c r="H676" s="261">
        <f t="shared" si="356"/>
        <v>3252.3</v>
      </c>
      <c r="I676" s="261">
        <f t="shared" si="356"/>
        <v>3252.3</v>
      </c>
      <c r="L676" s="117"/>
    </row>
    <row r="677" spans="1:12" ht="15.75">
      <c r="A677" s="25" t="s">
        <v>291</v>
      </c>
      <c r="B677" s="16">
        <v>906</v>
      </c>
      <c r="C677" s="20" t="s">
        <v>281</v>
      </c>
      <c r="D677" s="20" t="s">
        <v>281</v>
      </c>
      <c r="E677" s="20" t="s">
        <v>1067</v>
      </c>
      <c r="F677" s="20" t="s">
        <v>292</v>
      </c>
      <c r="G677" s="27">
        <f>2124.9+1127.4</f>
        <v>3252.3</v>
      </c>
      <c r="H677" s="262">
        <f aca="true" t="shared" si="359" ref="H677:I677">2124.9+1127.4</f>
        <v>3252.3</v>
      </c>
      <c r="I677" s="262">
        <f t="shared" si="359"/>
        <v>3252.3</v>
      </c>
      <c r="J677" s="273"/>
      <c r="L677" s="117"/>
    </row>
    <row r="678" spans="1:12" ht="15.75">
      <c r="A678" s="23" t="s">
        <v>312</v>
      </c>
      <c r="B678" s="19">
        <v>906</v>
      </c>
      <c r="C678" s="24" t="s">
        <v>281</v>
      </c>
      <c r="D678" s="24" t="s">
        <v>236</v>
      </c>
      <c r="E678" s="24"/>
      <c r="F678" s="24"/>
      <c r="G678" s="21">
        <f>G679+G689</f>
        <v>20468.931</v>
      </c>
      <c r="H678" s="272">
        <f aca="true" t="shared" si="360" ref="H678:I678">H679+H689</f>
        <v>20019.8</v>
      </c>
      <c r="I678" s="272">
        <f t="shared" si="360"/>
        <v>20019.8</v>
      </c>
      <c r="L678" s="117"/>
    </row>
    <row r="679" spans="1:12" ht="31.5">
      <c r="A679" s="23" t="s">
        <v>995</v>
      </c>
      <c r="B679" s="19">
        <v>906</v>
      </c>
      <c r="C679" s="24" t="s">
        <v>281</v>
      </c>
      <c r="D679" s="24" t="s">
        <v>236</v>
      </c>
      <c r="E679" s="24" t="s">
        <v>909</v>
      </c>
      <c r="F679" s="24"/>
      <c r="G679" s="21">
        <f>G680</f>
        <v>5806.718</v>
      </c>
      <c r="H679" s="272">
        <f aca="true" t="shared" si="361" ref="H679:I679">H680</f>
        <v>5581.400000000001</v>
      </c>
      <c r="I679" s="272">
        <f t="shared" si="361"/>
        <v>5581.400000000001</v>
      </c>
      <c r="L679" s="117"/>
    </row>
    <row r="680" spans="1:12" ht="15.75">
      <c r="A680" s="23" t="s">
        <v>996</v>
      </c>
      <c r="B680" s="19">
        <v>906</v>
      </c>
      <c r="C680" s="24" t="s">
        <v>281</v>
      </c>
      <c r="D680" s="24" t="s">
        <v>236</v>
      </c>
      <c r="E680" s="24" t="s">
        <v>910</v>
      </c>
      <c r="F680" s="24"/>
      <c r="G680" s="21">
        <f>G681+G686</f>
        <v>5806.718</v>
      </c>
      <c r="H680" s="272">
        <f aca="true" t="shared" si="362" ref="H680:I680">H681+H686</f>
        <v>5581.400000000001</v>
      </c>
      <c r="I680" s="272">
        <f t="shared" si="362"/>
        <v>5581.400000000001</v>
      </c>
      <c r="L680" s="117"/>
    </row>
    <row r="681" spans="1:12" ht="36.75" customHeight="1">
      <c r="A681" s="25" t="s">
        <v>972</v>
      </c>
      <c r="B681" s="16">
        <v>906</v>
      </c>
      <c r="C681" s="20" t="s">
        <v>281</v>
      </c>
      <c r="D681" s="20" t="s">
        <v>236</v>
      </c>
      <c r="E681" s="20" t="s">
        <v>911</v>
      </c>
      <c r="F681" s="20"/>
      <c r="G681" s="26">
        <f>G682+G684</f>
        <v>5706.718</v>
      </c>
      <c r="H681" s="261">
        <f aca="true" t="shared" si="363" ref="H681:I681">H682+H684</f>
        <v>5581.400000000001</v>
      </c>
      <c r="I681" s="261">
        <f t="shared" si="363"/>
        <v>5581.400000000001</v>
      </c>
      <c r="L681" s="117"/>
    </row>
    <row r="682" spans="1:12" ht="72" customHeight="1">
      <c r="A682" s="25" t="s">
        <v>144</v>
      </c>
      <c r="B682" s="16">
        <v>906</v>
      </c>
      <c r="C682" s="20" t="s">
        <v>281</v>
      </c>
      <c r="D682" s="20" t="s">
        <v>236</v>
      </c>
      <c r="E682" s="20" t="s">
        <v>911</v>
      </c>
      <c r="F682" s="20" t="s">
        <v>145</v>
      </c>
      <c r="G682" s="26">
        <f>G683</f>
        <v>5450.718</v>
      </c>
      <c r="H682" s="261">
        <f aca="true" t="shared" si="364" ref="H682:I682">H683</f>
        <v>5325.8</v>
      </c>
      <c r="I682" s="261">
        <f t="shared" si="364"/>
        <v>5325.8</v>
      </c>
      <c r="L682" s="117"/>
    </row>
    <row r="683" spans="1:12" ht="31.5">
      <c r="A683" s="25" t="s">
        <v>146</v>
      </c>
      <c r="B683" s="16">
        <v>906</v>
      </c>
      <c r="C683" s="20" t="s">
        <v>281</v>
      </c>
      <c r="D683" s="20" t="s">
        <v>236</v>
      </c>
      <c r="E683" s="20" t="s">
        <v>911</v>
      </c>
      <c r="F683" s="20" t="s">
        <v>147</v>
      </c>
      <c r="G683" s="27">
        <f>5226*1.043</f>
        <v>5450.718</v>
      </c>
      <c r="H683" s="262">
        <f aca="true" t="shared" si="365" ref="H683:I683">5430.2-175.2+169.2-98.4</f>
        <v>5325.8</v>
      </c>
      <c r="I683" s="262">
        <f t="shared" si="365"/>
        <v>5325.8</v>
      </c>
      <c r="J683" s="362" t="s">
        <v>891</v>
      </c>
      <c r="K683" s="117">
        <v>1.043</v>
      </c>
      <c r="L683" s="117"/>
    </row>
    <row r="684" spans="1:12" ht="31.5">
      <c r="A684" s="25" t="s">
        <v>148</v>
      </c>
      <c r="B684" s="16">
        <v>906</v>
      </c>
      <c r="C684" s="20" t="s">
        <v>281</v>
      </c>
      <c r="D684" s="20" t="s">
        <v>236</v>
      </c>
      <c r="E684" s="20" t="s">
        <v>911</v>
      </c>
      <c r="F684" s="20" t="s">
        <v>149</v>
      </c>
      <c r="G684" s="26">
        <f>G685</f>
        <v>256</v>
      </c>
      <c r="H684" s="261">
        <f aca="true" t="shared" si="366" ref="H684:I684">H685</f>
        <v>255.6</v>
      </c>
      <c r="I684" s="261">
        <f t="shared" si="366"/>
        <v>255.6</v>
      </c>
      <c r="L684" s="117"/>
    </row>
    <row r="685" spans="1:12" ht="31.5">
      <c r="A685" s="25" t="s">
        <v>150</v>
      </c>
      <c r="B685" s="16">
        <v>906</v>
      </c>
      <c r="C685" s="20" t="s">
        <v>281</v>
      </c>
      <c r="D685" s="20" t="s">
        <v>236</v>
      </c>
      <c r="E685" s="20" t="s">
        <v>911</v>
      </c>
      <c r="F685" s="20" t="s">
        <v>151</v>
      </c>
      <c r="G685" s="26">
        <f>157.2+98.4+0.4</f>
        <v>256</v>
      </c>
      <c r="H685" s="261">
        <f aca="true" t="shared" si="367" ref="H685:I685">157.2+98.4</f>
        <v>255.6</v>
      </c>
      <c r="I685" s="261">
        <f t="shared" si="367"/>
        <v>255.6</v>
      </c>
      <c r="J685" s="273"/>
      <c r="L685" s="245"/>
    </row>
    <row r="686" spans="1:12" s="253" customFormat="1" ht="31.5">
      <c r="A686" s="25" t="s">
        <v>889</v>
      </c>
      <c r="B686" s="16">
        <v>906</v>
      </c>
      <c r="C686" s="20" t="s">
        <v>281</v>
      </c>
      <c r="D686" s="20" t="s">
        <v>236</v>
      </c>
      <c r="E686" s="20" t="s">
        <v>913</v>
      </c>
      <c r="F686" s="20"/>
      <c r="G686" s="26">
        <f>G687</f>
        <v>100</v>
      </c>
      <c r="H686" s="261">
        <f aca="true" t="shared" si="368" ref="H686:I687">H687</f>
        <v>0</v>
      </c>
      <c r="I686" s="261">
        <f t="shared" si="368"/>
        <v>0</v>
      </c>
      <c r="J686" s="283"/>
      <c r="K686" s="117"/>
      <c r="L686" s="303"/>
    </row>
    <row r="687" spans="1:12" s="253" customFormat="1" ht="63">
      <c r="A687" s="25" t="s">
        <v>144</v>
      </c>
      <c r="B687" s="16">
        <v>906</v>
      </c>
      <c r="C687" s="20" t="s">
        <v>281</v>
      </c>
      <c r="D687" s="20" t="s">
        <v>236</v>
      </c>
      <c r="E687" s="20" t="s">
        <v>913</v>
      </c>
      <c r="F687" s="20" t="s">
        <v>145</v>
      </c>
      <c r="G687" s="26">
        <f>G688</f>
        <v>100</v>
      </c>
      <c r="H687" s="261">
        <f t="shared" si="368"/>
        <v>0</v>
      </c>
      <c r="I687" s="261">
        <f t="shared" si="368"/>
        <v>0</v>
      </c>
      <c r="J687" s="283"/>
      <c r="K687" s="117"/>
      <c r="L687" s="303"/>
    </row>
    <row r="688" spans="1:12" s="253" customFormat="1" ht="31.5">
      <c r="A688" s="25" t="s">
        <v>146</v>
      </c>
      <c r="B688" s="16">
        <v>906</v>
      </c>
      <c r="C688" s="20" t="s">
        <v>281</v>
      </c>
      <c r="D688" s="20" t="s">
        <v>236</v>
      </c>
      <c r="E688" s="20" t="s">
        <v>913</v>
      </c>
      <c r="F688" s="20" t="s">
        <v>147</v>
      </c>
      <c r="G688" s="26">
        <v>100</v>
      </c>
      <c r="H688" s="308"/>
      <c r="I688" s="308"/>
      <c r="J688" s="283"/>
      <c r="K688" s="117"/>
      <c r="L688" s="303"/>
    </row>
    <row r="689" spans="1:12" ht="15.75">
      <c r="A689" s="23" t="s">
        <v>158</v>
      </c>
      <c r="B689" s="19">
        <v>906</v>
      </c>
      <c r="C689" s="24" t="s">
        <v>281</v>
      </c>
      <c r="D689" s="24" t="s">
        <v>236</v>
      </c>
      <c r="E689" s="24" t="s">
        <v>917</v>
      </c>
      <c r="F689" s="24"/>
      <c r="G689" s="21">
        <f>G690+G694</f>
        <v>14662.213</v>
      </c>
      <c r="H689" s="272">
        <f aca="true" t="shared" si="369" ref="H689:I689">H690+H694</f>
        <v>14438.4</v>
      </c>
      <c r="I689" s="272">
        <f t="shared" si="369"/>
        <v>14438.4</v>
      </c>
      <c r="L689" s="117"/>
    </row>
    <row r="690" spans="1:12" s="253" customFormat="1" ht="31.5">
      <c r="A690" s="23" t="s">
        <v>921</v>
      </c>
      <c r="B690" s="19">
        <v>906</v>
      </c>
      <c r="C690" s="24" t="s">
        <v>281</v>
      </c>
      <c r="D690" s="24" t="s">
        <v>236</v>
      </c>
      <c r="E690" s="24" t="s">
        <v>916</v>
      </c>
      <c r="F690" s="24"/>
      <c r="G690" s="21">
        <f>G691</f>
        <v>300</v>
      </c>
      <c r="H690" s="272">
        <f aca="true" t="shared" si="370" ref="H690:I692">H691</f>
        <v>600</v>
      </c>
      <c r="I690" s="272">
        <f t="shared" si="370"/>
        <v>600</v>
      </c>
      <c r="J690" s="228"/>
      <c r="K690" s="117"/>
      <c r="L690" s="117"/>
    </row>
    <row r="691" spans="1:12" ht="15.75">
      <c r="A691" s="25" t="s">
        <v>495</v>
      </c>
      <c r="B691" s="16">
        <v>906</v>
      </c>
      <c r="C691" s="20" t="s">
        <v>281</v>
      </c>
      <c r="D691" s="20" t="s">
        <v>236</v>
      </c>
      <c r="E691" s="20" t="s">
        <v>1068</v>
      </c>
      <c r="F691" s="20"/>
      <c r="G691" s="26">
        <f>G692</f>
        <v>300</v>
      </c>
      <c r="H691" s="261">
        <f t="shared" si="370"/>
        <v>600</v>
      </c>
      <c r="I691" s="261">
        <f t="shared" si="370"/>
        <v>600</v>
      </c>
      <c r="L691" s="117"/>
    </row>
    <row r="692" spans="1:12" ht="31.5">
      <c r="A692" s="25" t="s">
        <v>148</v>
      </c>
      <c r="B692" s="16">
        <v>906</v>
      </c>
      <c r="C692" s="20" t="s">
        <v>281</v>
      </c>
      <c r="D692" s="20" t="s">
        <v>236</v>
      </c>
      <c r="E692" s="20" t="s">
        <v>1068</v>
      </c>
      <c r="F692" s="20" t="s">
        <v>149</v>
      </c>
      <c r="G692" s="26">
        <f>G693</f>
        <v>300</v>
      </c>
      <c r="H692" s="261">
        <f t="shared" si="370"/>
        <v>600</v>
      </c>
      <c r="I692" s="261">
        <f t="shared" si="370"/>
        <v>600</v>
      </c>
      <c r="L692" s="117"/>
    </row>
    <row r="693" spans="1:12" ht="31.5">
      <c r="A693" s="25" t="s">
        <v>150</v>
      </c>
      <c r="B693" s="16">
        <v>906</v>
      </c>
      <c r="C693" s="20" t="s">
        <v>281</v>
      </c>
      <c r="D693" s="20" t="s">
        <v>236</v>
      </c>
      <c r="E693" s="20" t="s">
        <v>1068</v>
      </c>
      <c r="F693" s="20" t="s">
        <v>151</v>
      </c>
      <c r="G693" s="26">
        <v>300</v>
      </c>
      <c r="H693" s="261">
        <f aca="true" t="shared" si="371" ref="H693:I693">350-35+35+250</f>
        <v>600</v>
      </c>
      <c r="I693" s="261">
        <f t="shared" si="371"/>
        <v>600</v>
      </c>
      <c r="L693" s="117"/>
    </row>
    <row r="694" spans="1:12" s="253" customFormat="1" ht="31.5">
      <c r="A694" s="23" t="s">
        <v>1009</v>
      </c>
      <c r="B694" s="19">
        <v>906</v>
      </c>
      <c r="C694" s="24" t="s">
        <v>281</v>
      </c>
      <c r="D694" s="24" t="s">
        <v>236</v>
      </c>
      <c r="E694" s="24" t="s">
        <v>992</v>
      </c>
      <c r="F694" s="24"/>
      <c r="G694" s="21">
        <f>G695+G702</f>
        <v>14362.213</v>
      </c>
      <c r="H694" s="272">
        <f aca="true" t="shared" si="372" ref="H694:I694">H695+H702</f>
        <v>13838.4</v>
      </c>
      <c r="I694" s="272">
        <f t="shared" si="372"/>
        <v>13838.4</v>
      </c>
      <c r="J694" s="228"/>
      <c r="K694" s="117"/>
      <c r="L694" s="117"/>
    </row>
    <row r="695" spans="1:12" ht="31.5">
      <c r="A695" s="25" t="s">
        <v>1301</v>
      </c>
      <c r="B695" s="16">
        <v>906</v>
      </c>
      <c r="C695" s="20" t="s">
        <v>281</v>
      </c>
      <c r="D695" s="20" t="s">
        <v>236</v>
      </c>
      <c r="E695" s="20" t="s">
        <v>993</v>
      </c>
      <c r="F695" s="20"/>
      <c r="G695" s="26">
        <f>G696+G698+G700</f>
        <v>14032.213</v>
      </c>
      <c r="H695" s="261">
        <f aca="true" t="shared" si="373" ref="H695:I695">H696+H698+H700</f>
        <v>13838.4</v>
      </c>
      <c r="I695" s="261">
        <f t="shared" si="373"/>
        <v>13838.4</v>
      </c>
      <c r="L695" s="117"/>
    </row>
    <row r="696" spans="1:12" ht="61.5" customHeight="1">
      <c r="A696" s="25" t="s">
        <v>144</v>
      </c>
      <c r="B696" s="16">
        <v>906</v>
      </c>
      <c r="C696" s="20" t="s">
        <v>281</v>
      </c>
      <c r="D696" s="20" t="s">
        <v>236</v>
      </c>
      <c r="E696" s="20" t="s">
        <v>993</v>
      </c>
      <c r="F696" s="20" t="s">
        <v>145</v>
      </c>
      <c r="G696" s="26">
        <f>G697</f>
        <v>12715.213</v>
      </c>
      <c r="H696" s="261">
        <f aca="true" t="shared" si="374" ref="H696:I696">H697</f>
        <v>12520.9</v>
      </c>
      <c r="I696" s="261">
        <f t="shared" si="374"/>
        <v>12520.9</v>
      </c>
      <c r="L696" s="117"/>
    </row>
    <row r="697" spans="1:12" ht="25.5">
      <c r="A697" s="25" t="s">
        <v>359</v>
      </c>
      <c r="B697" s="16">
        <v>906</v>
      </c>
      <c r="C697" s="20" t="s">
        <v>281</v>
      </c>
      <c r="D697" s="20" t="s">
        <v>236</v>
      </c>
      <c r="E697" s="20" t="s">
        <v>993</v>
      </c>
      <c r="F697" s="20" t="s">
        <v>226</v>
      </c>
      <c r="G697" s="27">
        <f>12191*1.043</f>
        <v>12715.213</v>
      </c>
      <c r="H697" s="262">
        <f aca="true" t="shared" si="375" ref="H697:I697">11858.3-4.3+509+157.9</f>
        <v>12520.9</v>
      </c>
      <c r="I697" s="262">
        <f t="shared" si="375"/>
        <v>12520.9</v>
      </c>
      <c r="J697" s="362" t="s">
        <v>891</v>
      </c>
      <c r="K697" s="245" t="s">
        <v>1338</v>
      </c>
      <c r="L697" s="117"/>
    </row>
    <row r="698" spans="1:12" ht="31.5">
      <c r="A698" s="25" t="s">
        <v>148</v>
      </c>
      <c r="B698" s="16">
        <v>906</v>
      </c>
      <c r="C698" s="20" t="s">
        <v>281</v>
      </c>
      <c r="D698" s="20" t="s">
        <v>236</v>
      </c>
      <c r="E698" s="20" t="s">
        <v>993</v>
      </c>
      <c r="F698" s="20" t="s">
        <v>149</v>
      </c>
      <c r="G698" s="26">
        <f>G699</f>
        <v>1302</v>
      </c>
      <c r="H698" s="261">
        <f aca="true" t="shared" si="376" ref="H698:I698">H699</f>
        <v>1302.1</v>
      </c>
      <c r="I698" s="261">
        <f t="shared" si="376"/>
        <v>1302.1</v>
      </c>
      <c r="L698" s="244"/>
    </row>
    <row r="699" spans="1:12" ht="33" customHeight="1">
      <c r="A699" s="25" t="s">
        <v>150</v>
      </c>
      <c r="B699" s="16">
        <v>906</v>
      </c>
      <c r="C699" s="20" t="s">
        <v>281</v>
      </c>
      <c r="D699" s="20" t="s">
        <v>236</v>
      </c>
      <c r="E699" s="20" t="s">
        <v>993</v>
      </c>
      <c r="F699" s="20" t="s">
        <v>151</v>
      </c>
      <c r="G699" s="26">
        <f>1272.1+30-0.1</f>
        <v>1302</v>
      </c>
      <c r="H699" s="261">
        <f aca="true" t="shared" si="377" ref="H699:I699">1272.1+30</f>
        <v>1302.1</v>
      </c>
      <c r="I699" s="261">
        <f t="shared" si="377"/>
        <v>1302.1</v>
      </c>
      <c r="J699" s="273"/>
      <c r="L699" s="117"/>
    </row>
    <row r="700" spans="1:12" ht="15.75">
      <c r="A700" s="25" t="s">
        <v>152</v>
      </c>
      <c r="B700" s="16">
        <v>906</v>
      </c>
      <c r="C700" s="20" t="s">
        <v>281</v>
      </c>
      <c r="D700" s="20" t="s">
        <v>236</v>
      </c>
      <c r="E700" s="20" t="s">
        <v>993</v>
      </c>
      <c r="F700" s="20" t="s">
        <v>162</v>
      </c>
      <c r="G700" s="26">
        <f>G701</f>
        <v>15</v>
      </c>
      <c r="H700" s="261">
        <f aca="true" t="shared" si="378" ref="H700:I700">H701</f>
        <v>15.4</v>
      </c>
      <c r="I700" s="261">
        <f t="shared" si="378"/>
        <v>15.4</v>
      </c>
      <c r="L700" s="117"/>
    </row>
    <row r="701" spans="1:12" ht="15.75">
      <c r="A701" s="25" t="s">
        <v>585</v>
      </c>
      <c r="B701" s="16">
        <v>906</v>
      </c>
      <c r="C701" s="20" t="s">
        <v>281</v>
      </c>
      <c r="D701" s="20" t="s">
        <v>236</v>
      </c>
      <c r="E701" s="20" t="s">
        <v>993</v>
      </c>
      <c r="F701" s="20" t="s">
        <v>155</v>
      </c>
      <c r="G701" s="26">
        <f>15.4-0.4</f>
        <v>15</v>
      </c>
      <c r="H701" s="261">
        <f aca="true" t="shared" si="379" ref="H701:I701">15.4</f>
        <v>15.4</v>
      </c>
      <c r="I701" s="261">
        <f t="shared" si="379"/>
        <v>15.4</v>
      </c>
      <c r="J701" s="273"/>
      <c r="L701" s="117"/>
    </row>
    <row r="702" spans="1:12" s="253" customFormat="1" ht="31.5">
      <c r="A702" s="25" t="s">
        <v>889</v>
      </c>
      <c r="B702" s="16">
        <v>906</v>
      </c>
      <c r="C702" s="20" t="s">
        <v>281</v>
      </c>
      <c r="D702" s="20" t="s">
        <v>236</v>
      </c>
      <c r="E702" s="20" t="s">
        <v>994</v>
      </c>
      <c r="F702" s="20"/>
      <c r="G702" s="26">
        <f>G703</f>
        <v>330</v>
      </c>
      <c r="H702" s="261">
        <f aca="true" t="shared" si="380" ref="H702:I703">H703</f>
        <v>0</v>
      </c>
      <c r="I702" s="261">
        <f t="shared" si="380"/>
        <v>0</v>
      </c>
      <c r="J702" s="283"/>
      <c r="K702" s="117"/>
      <c r="L702" s="117"/>
    </row>
    <row r="703" spans="1:12" s="253" customFormat="1" ht="63">
      <c r="A703" s="25" t="s">
        <v>144</v>
      </c>
      <c r="B703" s="16">
        <v>906</v>
      </c>
      <c r="C703" s="20" t="s">
        <v>281</v>
      </c>
      <c r="D703" s="20" t="s">
        <v>236</v>
      </c>
      <c r="E703" s="20" t="s">
        <v>994</v>
      </c>
      <c r="F703" s="20" t="s">
        <v>145</v>
      </c>
      <c r="G703" s="26">
        <f>G704</f>
        <v>330</v>
      </c>
      <c r="H703" s="261">
        <f t="shared" si="380"/>
        <v>0</v>
      </c>
      <c r="I703" s="261">
        <f t="shared" si="380"/>
        <v>0</v>
      </c>
      <c r="J703" s="283"/>
      <c r="K703" s="117"/>
      <c r="L703" s="117"/>
    </row>
    <row r="704" spans="1:12" s="253" customFormat="1" ht="15.75">
      <c r="A704" s="25" t="s">
        <v>359</v>
      </c>
      <c r="B704" s="16">
        <v>906</v>
      </c>
      <c r="C704" s="20" t="s">
        <v>281</v>
      </c>
      <c r="D704" s="20" t="s">
        <v>236</v>
      </c>
      <c r="E704" s="20" t="s">
        <v>994</v>
      </c>
      <c r="F704" s="20" t="s">
        <v>226</v>
      </c>
      <c r="G704" s="26">
        <v>330</v>
      </c>
      <c r="H704" s="308"/>
      <c r="I704" s="308"/>
      <c r="J704" s="283"/>
      <c r="K704" s="117"/>
      <c r="L704" s="117"/>
    </row>
    <row r="705" spans="1:12" ht="36.75" customHeight="1">
      <c r="A705" s="19" t="s">
        <v>497</v>
      </c>
      <c r="B705" s="19">
        <v>907</v>
      </c>
      <c r="C705" s="20"/>
      <c r="D705" s="20"/>
      <c r="E705" s="20"/>
      <c r="F705" s="20"/>
      <c r="G705" s="21">
        <f>G713+G706</f>
        <v>61005.022999999994</v>
      </c>
      <c r="H705" s="272">
        <f aca="true" t="shared" si="381" ref="H705:I705">H713</f>
        <v>59348.2</v>
      </c>
      <c r="I705" s="272">
        <f t="shared" si="381"/>
        <v>59348.2</v>
      </c>
      <c r="J705" s="275"/>
      <c r="L705" s="244"/>
    </row>
    <row r="706" spans="1:12" s="253" customFormat="1" ht="18.75" customHeight="1">
      <c r="A706" s="23" t="s">
        <v>134</v>
      </c>
      <c r="B706" s="19">
        <v>907</v>
      </c>
      <c r="C706" s="24" t="s">
        <v>135</v>
      </c>
      <c r="D706" s="24"/>
      <c r="E706" s="24"/>
      <c r="F706" s="24"/>
      <c r="G706" s="21">
        <f aca="true" t="shared" si="382" ref="G706:G707">G707</f>
        <v>70</v>
      </c>
      <c r="H706" s="272"/>
      <c r="I706" s="272"/>
      <c r="J706" s="275"/>
      <c r="K706" s="117"/>
      <c r="L706" s="244"/>
    </row>
    <row r="707" spans="1:12" s="253" customFormat="1" ht="21.75" customHeight="1">
      <c r="A707" s="35" t="s">
        <v>156</v>
      </c>
      <c r="B707" s="19">
        <v>907</v>
      </c>
      <c r="C707" s="24" t="s">
        <v>135</v>
      </c>
      <c r="D707" s="24" t="s">
        <v>157</v>
      </c>
      <c r="E707" s="24"/>
      <c r="F707" s="24"/>
      <c r="G707" s="21">
        <f t="shared" si="382"/>
        <v>70</v>
      </c>
      <c r="H707" s="272"/>
      <c r="I707" s="272"/>
      <c r="J707" s="275"/>
      <c r="K707" s="117"/>
      <c r="L707" s="244"/>
    </row>
    <row r="708" spans="1:12" s="253" customFormat="1" ht="56.25" customHeight="1">
      <c r="A708" s="23" t="s">
        <v>351</v>
      </c>
      <c r="B708" s="19">
        <v>907</v>
      </c>
      <c r="C708" s="24" t="s">
        <v>135</v>
      </c>
      <c r="D708" s="24" t="s">
        <v>157</v>
      </c>
      <c r="E708" s="24" t="s">
        <v>352</v>
      </c>
      <c r="F708" s="24"/>
      <c r="G708" s="21">
        <f>G709</f>
        <v>70</v>
      </c>
      <c r="H708" s="272"/>
      <c r="I708" s="272"/>
      <c r="J708" s="275"/>
      <c r="K708" s="117"/>
      <c r="L708" s="244"/>
    </row>
    <row r="709" spans="1:12" s="253" customFormat="1" ht="36.75" customHeight="1">
      <c r="A709" s="313" t="s">
        <v>1242</v>
      </c>
      <c r="B709" s="19">
        <v>907</v>
      </c>
      <c r="C709" s="24" t="s">
        <v>135</v>
      </c>
      <c r="D709" s="24" t="s">
        <v>157</v>
      </c>
      <c r="E709" s="24" t="s">
        <v>1243</v>
      </c>
      <c r="F709" s="24"/>
      <c r="G709" s="21">
        <f>G710</f>
        <v>70</v>
      </c>
      <c r="H709" s="272"/>
      <c r="I709" s="272"/>
      <c r="J709" s="275"/>
      <c r="K709" s="117"/>
      <c r="L709" s="244"/>
    </row>
    <row r="710" spans="1:12" s="253" customFormat="1" ht="36.75" customHeight="1">
      <c r="A710" s="105" t="s">
        <v>353</v>
      </c>
      <c r="B710" s="16">
        <v>907</v>
      </c>
      <c r="C710" s="20" t="s">
        <v>135</v>
      </c>
      <c r="D710" s="20" t="s">
        <v>157</v>
      </c>
      <c r="E710" s="20" t="s">
        <v>1244</v>
      </c>
      <c r="F710" s="20"/>
      <c r="G710" s="26">
        <f>G711</f>
        <v>70</v>
      </c>
      <c r="H710" s="272"/>
      <c r="I710" s="272"/>
      <c r="J710" s="275"/>
      <c r="K710" s="117"/>
      <c r="L710" s="244"/>
    </row>
    <row r="711" spans="1:12" s="253" customFormat="1" ht="36.75" customHeight="1">
      <c r="A711" s="25" t="s">
        <v>148</v>
      </c>
      <c r="B711" s="16">
        <v>907</v>
      </c>
      <c r="C711" s="20" t="s">
        <v>135</v>
      </c>
      <c r="D711" s="20" t="s">
        <v>157</v>
      </c>
      <c r="E711" s="20" t="s">
        <v>1244</v>
      </c>
      <c r="F711" s="20" t="s">
        <v>149</v>
      </c>
      <c r="G711" s="26">
        <f>G712</f>
        <v>70</v>
      </c>
      <c r="H711" s="272"/>
      <c r="I711" s="272"/>
      <c r="J711" s="275"/>
      <c r="K711" s="117"/>
      <c r="L711" s="244"/>
    </row>
    <row r="712" spans="1:12" s="253" customFormat="1" ht="36.75" customHeight="1">
      <c r="A712" s="25" t="s">
        <v>150</v>
      </c>
      <c r="B712" s="16">
        <v>907</v>
      </c>
      <c r="C712" s="20" t="s">
        <v>135</v>
      </c>
      <c r="D712" s="20" t="s">
        <v>157</v>
      </c>
      <c r="E712" s="20" t="s">
        <v>1244</v>
      </c>
      <c r="F712" s="20" t="s">
        <v>151</v>
      </c>
      <c r="G712" s="26">
        <v>70</v>
      </c>
      <c r="H712" s="272"/>
      <c r="I712" s="272"/>
      <c r="J712" s="275"/>
      <c r="K712" s="117"/>
      <c r="L712" s="244"/>
    </row>
    <row r="713" spans="1:12" ht="15.75">
      <c r="A713" s="23" t="s">
        <v>507</v>
      </c>
      <c r="B713" s="19">
        <v>907</v>
      </c>
      <c r="C713" s="24" t="s">
        <v>508</v>
      </c>
      <c r="D713" s="20"/>
      <c r="E713" s="20"/>
      <c r="F713" s="20"/>
      <c r="G713" s="21">
        <f>G714+G753</f>
        <v>60935.022999999994</v>
      </c>
      <c r="H713" s="272">
        <f>H714+H753</f>
        <v>59348.2</v>
      </c>
      <c r="I713" s="272">
        <f>I714+I753</f>
        <v>59348.2</v>
      </c>
      <c r="L713" s="117"/>
    </row>
    <row r="714" spans="1:12" ht="15.75">
      <c r="A714" s="23" t="s">
        <v>509</v>
      </c>
      <c r="B714" s="19">
        <v>907</v>
      </c>
      <c r="C714" s="24" t="s">
        <v>508</v>
      </c>
      <c r="D714" s="24" t="s">
        <v>135</v>
      </c>
      <c r="E714" s="20"/>
      <c r="F714" s="20"/>
      <c r="G714" s="21">
        <f>G715+G748</f>
        <v>48328.299999999996</v>
      </c>
      <c r="H714" s="272">
        <f>H715+H748</f>
        <v>47122.59999999999</v>
      </c>
      <c r="I714" s="272">
        <f>I715+I748</f>
        <v>47122.59999999999</v>
      </c>
      <c r="L714" s="117"/>
    </row>
    <row r="715" spans="1:12" ht="47.25">
      <c r="A715" s="23" t="s">
        <v>498</v>
      </c>
      <c r="B715" s="19">
        <v>907</v>
      </c>
      <c r="C715" s="24" t="s">
        <v>508</v>
      </c>
      <c r="D715" s="24" t="s">
        <v>135</v>
      </c>
      <c r="E715" s="24" t="s">
        <v>499</v>
      </c>
      <c r="F715" s="24"/>
      <c r="G715" s="21">
        <f>G716</f>
        <v>47788.2</v>
      </c>
      <c r="H715" s="272">
        <f aca="true" t="shared" si="383" ref="H715:I715">H716</f>
        <v>46582.49999999999</v>
      </c>
      <c r="I715" s="272">
        <f t="shared" si="383"/>
        <v>46582.49999999999</v>
      </c>
      <c r="L715" s="117"/>
    </row>
    <row r="716" spans="1:12" ht="47.25">
      <c r="A716" s="23" t="s">
        <v>510</v>
      </c>
      <c r="B716" s="19">
        <v>907</v>
      </c>
      <c r="C716" s="24" t="s">
        <v>508</v>
      </c>
      <c r="D716" s="24" t="s">
        <v>135</v>
      </c>
      <c r="E716" s="24" t="s">
        <v>511</v>
      </c>
      <c r="F716" s="24"/>
      <c r="G716" s="21">
        <f>G717+G727+G737</f>
        <v>47788.2</v>
      </c>
      <c r="H716" s="272">
        <f aca="true" t="shared" si="384" ref="H716:I716">H717+H727+H737</f>
        <v>46582.49999999999</v>
      </c>
      <c r="I716" s="272">
        <f t="shared" si="384"/>
        <v>46582.49999999999</v>
      </c>
      <c r="L716" s="117"/>
    </row>
    <row r="717" spans="1:12" ht="31.5">
      <c r="A717" s="23" t="s">
        <v>1036</v>
      </c>
      <c r="B717" s="19">
        <v>907</v>
      </c>
      <c r="C717" s="24" t="s">
        <v>508</v>
      </c>
      <c r="D717" s="24" t="s">
        <v>135</v>
      </c>
      <c r="E717" s="24" t="s">
        <v>1069</v>
      </c>
      <c r="F717" s="24"/>
      <c r="G717" s="21">
        <f>G718+G721+G724+G744</f>
        <v>46952.2</v>
      </c>
      <c r="H717" s="272">
        <f aca="true" t="shared" si="385" ref="H717:I717">H718+H721+H724+H744</f>
        <v>44684.49999999999</v>
      </c>
      <c r="I717" s="272">
        <f t="shared" si="385"/>
        <v>44684.49999999999</v>
      </c>
      <c r="L717" s="117"/>
    </row>
    <row r="718" spans="1:12" ht="47.25">
      <c r="A718" s="25" t="s">
        <v>841</v>
      </c>
      <c r="B718" s="16">
        <v>907</v>
      </c>
      <c r="C718" s="20" t="s">
        <v>508</v>
      </c>
      <c r="D718" s="20" t="s">
        <v>135</v>
      </c>
      <c r="E718" s="20" t="s">
        <v>1079</v>
      </c>
      <c r="F718" s="20"/>
      <c r="G718" s="26">
        <f>G719</f>
        <v>13608</v>
      </c>
      <c r="H718" s="261">
        <f aca="true" t="shared" si="386" ref="H718:I719">H719</f>
        <v>12832.4</v>
      </c>
      <c r="I718" s="261">
        <f t="shared" si="386"/>
        <v>12832.4</v>
      </c>
      <c r="L718" s="117"/>
    </row>
    <row r="719" spans="1:12" ht="36" customHeight="1">
      <c r="A719" s="25" t="s">
        <v>289</v>
      </c>
      <c r="B719" s="16">
        <v>907</v>
      </c>
      <c r="C719" s="20" t="s">
        <v>508</v>
      </c>
      <c r="D719" s="20" t="s">
        <v>135</v>
      </c>
      <c r="E719" s="20" t="s">
        <v>1079</v>
      </c>
      <c r="F719" s="20" t="s">
        <v>290</v>
      </c>
      <c r="G719" s="26">
        <f>G720</f>
        <v>13608</v>
      </c>
      <c r="H719" s="261">
        <f t="shared" si="386"/>
        <v>12832.4</v>
      </c>
      <c r="I719" s="261">
        <f t="shared" si="386"/>
        <v>12832.4</v>
      </c>
      <c r="L719" s="117"/>
    </row>
    <row r="720" spans="1:15" ht="15.75">
      <c r="A720" s="25" t="s">
        <v>291</v>
      </c>
      <c r="B720" s="16">
        <v>907</v>
      </c>
      <c r="C720" s="20" t="s">
        <v>508</v>
      </c>
      <c r="D720" s="20" t="s">
        <v>135</v>
      </c>
      <c r="E720" s="20" t="s">
        <v>1079</v>
      </c>
      <c r="F720" s="20" t="s">
        <v>292</v>
      </c>
      <c r="G720" s="27">
        <f>12832.4-0.4+776</f>
        <v>13608</v>
      </c>
      <c r="H720" s="262">
        <v>12832.4</v>
      </c>
      <c r="I720" s="262">
        <v>12832.4</v>
      </c>
      <c r="J720" s="281"/>
      <c r="K720" s="376">
        <v>1.07</v>
      </c>
      <c r="L720" s="117"/>
      <c r="M720" s="117"/>
      <c r="N720" s="117"/>
      <c r="O720" s="117"/>
    </row>
    <row r="721" spans="1:15" ht="47.25" customHeight="1">
      <c r="A721" s="25" t="s">
        <v>862</v>
      </c>
      <c r="B721" s="16">
        <v>907</v>
      </c>
      <c r="C721" s="20" t="s">
        <v>508</v>
      </c>
      <c r="D721" s="20" t="s">
        <v>135</v>
      </c>
      <c r="E721" s="20" t="s">
        <v>1080</v>
      </c>
      <c r="F721" s="20"/>
      <c r="G721" s="27">
        <f>G722</f>
        <v>13397</v>
      </c>
      <c r="H721" s="262">
        <f aca="true" t="shared" si="387" ref="H721:I722">H722</f>
        <v>12697.8</v>
      </c>
      <c r="I721" s="262">
        <f t="shared" si="387"/>
        <v>12697.8</v>
      </c>
      <c r="J721" s="285"/>
      <c r="K721" s="243"/>
      <c r="L721" s="244"/>
      <c r="M721" s="117"/>
      <c r="N721" s="117"/>
      <c r="O721" s="117"/>
    </row>
    <row r="722" spans="1:15" ht="31.5">
      <c r="A722" s="25" t="s">
        <v>289</v>
      </c>
      <c r="B722" s="16">
        <v>907</v>
      </c>
      <c r="C722" s="20" t="s">
        <v>508</v>
      </c>
      <c r="D722" s="20" t="s">
        <v>135</v>
      </c>
      <c r="E722" s="20" t="s">
        <v>1080</v>
      </c>
      <c r="F722" s="20" t="s">
        <v>290</v>
      </c>
      <c r="G722" s="27">
        <f>G723</f>
        <v>13397</v>
      </c>
      <c r="H722" s="262">
        <f t="shared" si="387"/>
        <v>12697.8</v>
      </c>
      <c r="I722" s="262">
        <f t="shared" si="387"/>
        <v>12697.8</v>
      </c>
      <c r="J722" s="285"/>
      <c r="K722" s="243"/>
      <c r="L722" s="117"/>
      <c r="M722" s="117"/>
      <c r="N722" s="117"/>
      <c r="O722" s="117"/>
    </row>
    <row r="723" spans="1:15" ht="15.75">
      <c r="A723" s="25" t="s">
        <v>291</v>
      </c>
      <c r="B723" s="16">
        <v>907</v>
      </c>
      <c r="C723" s="20" t="s">
        <v>508</v>
      </c>
      <c r="D723" s="20" t="s">
        <v>135</v>
      </c>
      <c r="E723" s="20" t="s">
        <v>1080</v>
      </c>
      <c r="F723" s="20" t="s">
        <v>292</v>
      </c>
      <c r="G723" s="27">
        <f>12697.8+0.2+699</f>
        <v>13397</v>
      </c>
      <c r="H723" s="27">
        <v>12697.8</v>
      </c>
      <c r="I723" s="27">
        <v>12697.8</v>
      </c>
      <c r="J723" s="285"/>
      <c r="K723" s="376">
        <v>1.07</v>
      </c>
      <c r="L723" s="117"/>
      <c r="M723" s="117"/>
      <c r="N723" s="117"/>
      <c r="O723" s="117"/>
    </row>
    <row r="724" spans="1:15" ht="47.25">
      <c r="A724" s="25" t="s">
        <v>863</v>
      </c>
      <c r="B724" s="16">
        <v>907</v>
      </c>
      <c r="C724" s="20" t="s">
        <v>508</v>
      </c>
      <c r="D724" s="20" t="s">
        <v>135</v>
      </c>
      <c r="E724" s="20" t="s">
        <v>1081</v>
      </c>
      <c r="F724" s="20"/>
      <c r="G724" s="27">
        <f>G725</f>
        <v>19077</v>
      </c>
      <c r="H724" s="27">
        <f aca="true" t="shared" si="388" ref="H724:I725">H725</f>
        <v>18284.1</v>
      </c>
      <c r="I724" s="27">
        <f t="shared" si="388"/>
        <v>18284.1</v>
      </c>
      <c r="J724" s="285"/>
      <c r="K724" s="243"/>
      <c r="L724" s="244"/>
      <c r="M724" s="117"/>
      <c r="N724" s="117"/>
      <c r="O724" s="117"/>
    </row>
    <row r="725" spans="1:15" ht="31.5">
      <c r="A725" s="25" t="s">
        <v>289</v>
      </c>
      <c r="B725" s="16">
        <v>907</v>
      </c>
      <c r="C725" s="20" t="s">
        <v>508</v>
      </c>
      <c r="D725" s="20" t="s">
        <v>135</v>
      </c>
      <c r="E725" s="20" t="s">
        <v>1081</v>
      </c>
      <c r="F725" s="20" t="s">
        <v>290</v>
      </c>
      <c r="G725" s="27">
        <f>G726</f>
        <v>19077</v>
      </c>
      <c r="H725" s="27">
        <f t="shared" si="388"/>
        <v>18284.1</v>
      </c>
      <c r="I725" s="27">
        <f t="shared" si="388"/>
        <v>18284.1</v>
      </c>
      <c r="J725" s="285"/>
      <c r="K725" s="243"/>
      <c r="L725" s="117"/>
      <c r="M725" s="117"/>
      <c r="N725" s="117"/>
      <c r="O725" s="117"/>
    </row>
    <row r="726" spans="1:15" ht="15.75">
      <c r="A726" s="25" t="s">
        <v>291</v>
      </c>
      <c r="B726" s="16">
        <v>907</v>
      </c>
      <c r="C726" s="20" t="s">
        <v>508</v>
      </c>
      <c r="D726" s="20" t="s">
        <v>135</v>
      </c>
      <c r="E726" s="20" t="s">
        <v>1081</v>
      </c>
      <c r="F726" s="20" t="s">
        <v>292</v>
      </c>
      <c r="G726" s="27">
        <f>18284.1-0.1+793</f>
        <v>19077</v>
      </c>
      <c r="H726" s="27">
        <v>18284.1</v>
      </c>
      <c r="I726" s="27">
        <v>18284.1</v>
      </c>
      <c r="J726" s="285"/>
      <c r="K726" s="378">
        <v>1.07</v>
      </c>
      <c r="L726" s="377"/>
      <c r="M726" s="117"/>
      <c r="N726" s="117"/>
      <c r="O726" s="117"/>
    </row>
    <row r="727" spans="1:15" s="253" customFormat="1" ht="15.75">
      <c r="A727" s="23" t="s">
        <v>1082</v>
      </c>
      <c r="B727" s="19">
        <v>907</v>
      </c>
      <c r="C727" s="24" t="s">
        <v>508</v>
      </c>
      <c r="D727" s="24" t="s">
        <v>135</v>
      </c>
      <c r="E727" s="24" t="s">
        <v>1083</v>
      </c>
      <c r="F727" s="24"/>
      <c r="G727" s="45">
        <f>G728+G731+G734</f>
        <v>36</v>
      </c>
      <c r="H727" s="45">
        <f aca="true" t="shared" si="389" ref="H727:I727">H728+H731+H734</f>
        <v>651</v>
      </c>
      <c r="I727" s="45">
        <f t="shared" si="389"/>
        <v>651</v>
      </c>
      <c r="J727" s="285"/>
      <c r="K727" s="305"/>
      <c r="L727" s="305"/>
      <c r="M727" s="117"/>
      <c r="N727" s="117"/>
      <c r="O727" s="117"/>
    </row>
    <row r="728" spans="1:15" ht="31.5" hidden="1">
      <c r="A728" s="25" t="s">
        <v>295</v>
      </c>
      <c r="B728" s="16">
        <v>907</v>
      </c>
      <c r="C728" s="20" t="s">
        <v>508</v>
      </c>
      <c r="D728" s="20" t="s">
        <v>135</v>
      </c>
      <c r="E728" s="20" t="s">
        <v>1087</v>
      </c>
      <c r="F728" s="20"/>
      <c r="G728" s="26">
        <f>G729</f>
        <v>0</v>
      </c>
      <c r="H728" s="26">
        <f aca="true" t="shared" si="390" ref="H728:I729">H729</f>
        <v>429.6</v>
      </c>
      <c r="I728" s="26">
        <f t="shared" si="390"/>
        <v>429.6</v>
      </c>
      <c r="L728" s="117"/>
      <c r="M728" s="117"/>
      <c r="N728" s="407"/>
      <c r="O728" s="407"/>
    </row>
    <row r="729" spans="1:15" ht="31.5" hidden="1">
      <c r="A729" s="25" t="s">
        <v>289</v>
      </c>
      <c r="B729" s="16">
        <v>907</v>
      </c>
      <c r="C729" s="20" t="s">
        <v>508</v>
      </c>
      <c r="D729" s="20" t="s">
        <v>135</v>
      </c>
      <c r="E729" s="20" t="s">
        <v>1087</v>
      </c>
      <c r="F729" s="20" t="s">
        <v>290</v>
      </c>
      <c r="G729" s="26">
        <f>G730</f>
        <v>0</v>
      </c>
      <c r="H729" s="26">
        <f t="shared" si="390"/>
        <v>429.6</v>
      </c>
      <c r="I729" s="26">
        <f t="shared" si="390"/>
        <v>429.6</v>
      </c>
      <c r="L729" s="117"/>
      <c r="M729" s="117"/>
      <c r="N729" s="117"/>
      <c r="O729" s="117"/>
    </row>
    <row r="730" spans="1:15" ht="15.75" hidden="1">
      <c r="A730" s="25" t="s">
        <v>291</v>
      </c>
      <c r="B730" s="16">
        <v>907</v>
      </c>
      <c r="C730" s="20" t="s">
        <v>508</v>
      </c>
      <c r="D730" s="20" t="s">
        <v>135</v>
      </c>
      <c r="E730" s="20" t="s">
        <v>1087</v>
      </c>
      <c r="F730" s="20" t="s">
        <v>292</v>
      </c>
      <c r="G730" s="26">
        <v>0</v>
      </c>
      <c r="H730" s="26">
        <v>429.6</v>
      </c>
      <c r="I730" s="26">
        <v>429.6</v>
      </c>
      <c r="J730" s="279"/>
      <c r="L730" s="117"/>
      <c r="M730" s="117"/>
      <c r="N730" s="117"/>
      <c r="O730" s="117"/>
    </row>
    <row r="731" spans="1:15" ht="33" customHeight="1" hidden="1">
      <c r="A731" s="25" t="s">
        <v>297</v>
      </c>
      <c r="B731" s="16">
        <v>907</v>
      </c>
      <c r="C731" s="20" t="s">
        <v>508</v>
      </c>
      <c r="D731" s="20" t="s">
        <v>135</v>
      </c>
      <c r="E731" s="20" t="s">
        <v>1088</v>
      </c>
      <c r="F731" s="20"/>
      <c r="G731" s="26">
        <f>G732</f>
        <v>0</v>
      </c>
      <c r="H731" s="261">
        <f aca="true" t="shared" si="391" ref="H731:I732">H732</f>
        <v>185.4</v>
      </c>
      <c r="I731" s="261">
        <f t="shared" si="391"/>
        <v>185.4</v>
      </c>
      <c r="L731" s="117"/>
      <c r="M731" s="117"/>
      <c r="N731" s="117"/>
      <c r="O731" s="117"/>
    </row>
    <row r="732" spans="1:15" ht="37.5" customHeight="1" hidden="1">
      <c r="A732" s="25" t="s">
        <v>289</v>
      </c>
      <c r="B732" s="16">
        <v>907</v>
      </c>
      <c r="C732" s="20" t="s">
        <v>508</v>
      </c>
      <c r="D732" s="20" t="s">
        <v>135</v>
      </c>
      <c r="E732" s="20" t="s">
        <v>1088</v>
      </c>
      <c r="F732" s="20" t="s">
        <v>290</v>
      </c>
      <c r="G732" s="26">
        <f>G733</f>
        <v>0</v>
      </c>
      <c r="H732" s="261">
        <f t="shared" si="391"/>
        <v>185.4</v>
      </c>
      <c r="I732" s="261">
        <f t="shared" si="391"/>
        <v>185.4</v>
      </c>
      <c r="L732" s="117"/>
      <c r="M732" s="117"/>
      <c r="N732" s="117"/>
      <c r="O732" s="117"/>
    </row>
    <row r="733" spans="1:15" ht="15.75" customHeight="1" hidden="1">
      <c r="A733" s="25" t="s">
        <v>291</v>
      </c>
      <c r="B733" s="16">
        <v>907</v>
      </c>
      <c r="C733" s="20" t="s">
        <v>508</v>
      </c>
      <c r="D733" s="20" t="s">
        <v>135</v>
      </c>
      <c r="E733" s="20" t="s">
        <v>1088</v>
      </c>
      <c r="F733" s="20" t="s">
        <v>292</v>
      </c>
      <c r="G733" s="26">
        <v>0</v>
      </c>
      <c r="H733" s="261">
        <v>185.4</v>
      </c>
      <c r="I733" s="261">
        <v>185.4</v>
      </c>
      <c r="J733" s="273"/>
      <c r="L733" s="117"/>
      <c r="M733" s="117"/>
      <c r="N733" s="117"/>
      <c r="O733" s="117"/>
    </row>
    <row r="734" spans="1:15" s="253" customFormat="1" ht="15.75" customHeight="1">
      <c r="A734" s="25" t="s">
        <v>880</v>
      </c>
      <c r="B734" s="16">
        <v>907</v>
      </c>
      <c r="C734" s="20" t="s">
        <v>508</v>
      </c>
      <c r="D734" s="20" t="s">
        <v>135</v>
      </c>
      <c r="E734" s="20" t="s">
        <v>1089</v>
      </c>
      <c r="F734" s="20"/>
      <c r="G734" s="26">
        <f>G735</f>
        <v>36</v>
      </c>
      <c r="H734" s="261">
        <f aca="true" t="shared" si="392" ref="H734:I735">H735</f>
        <v>36</v>
      </c>
      <c r="I734" s="261">
        <f t="shared" si="392"/>
        <v>36</v>
      </c>
      <c r="J734" s="228"/>
      <c r="K734" s="117"/>
      <c r="L734" s="117"/>
      <c r="M734" s="117"/>
      <c r="N734" s="117"/>
      <c r="O734" s="117"/>
    </row>
    <row r="735" spans="1:15" s="253" customFormat="1" ht="15.75" customHeight="1">
      <c r="A735" s="25" t="s">
        <v>289</v>
      </c>
      <c r="B735" s="16">
        <v>907</v>
      </c>
      <c r="C735" s="20" t="s">
        <v>508</v>
      </c>
      <c r="D735" s="20" t="s">
        <v>135</v>
      </c>
      <c r="E735" s="20" t="s">
        <v>1089</v>
      </c>
      <c r="F735" s="20" t="s">
        <v>290</v>
      </c>
      <c r="G735" s="26">
        <f>G736</f>
        <v>36</v>
      </c>
      <c r="H735" s="261">
        <f t="shared" si="392"/>
        <v>36</v>
      </c>
      <c r="I735" s="261">
        <f t="shared" si="392"/>
        <v>36</v>
      </c>
      <c r="J735" s="228"/>
      <c r="K735" s="117"/>
      <c r="L735" s="117"/>
      <c r="M735" s="117"/>
      <c r="N735" s="117"/>
      <c r="O735" s="117"/>
    </row>
    <row r="736" spans="1:15" s="253" customFormat="1" ht="15.75" customHeight="1">
      <c r="A736" s="25" t="s">
        <v>291</v>
      </c>
      <c r="B736" s="16">
        <v>907</v>
      </c>
      <c r="C736" s="20" t="s">
        <v>508</v>
      </c>
      <c r="D736" s="20" t="s">
        <v>135</v>
      </c>
      <c r="E736" s="20" t="s">
        <v>1089</v>
      </c>
      <c r="F736" s="20" t="s">
        <v>292</v>
      </c>
      <c r="G736" s="26">
        <v>36</v>
      </c>
      <c r="H736" s="261">
        <v>36</v>
      </c>
      <c r="I736" s="261">
        <v>36</v>
      </c>
      <c r="J736" s="273"/>
      <c r="K736" s="117"/>
      <c r="L736" s="117"/>
      <c r="M736" s="117"/>
      <c r="N736" s="117"/>
      <c r="O736" s="117"/>
    </row>
    <row r="737" spans="1:15" s="253" customFormat="1" ht="35.25" customHeight="1">
      <c r="A737" s="23" t="s">
        <v>1084</v>
      </c>
      <c r="B737" s="19">
        <v>907</v>
      </c>
      <c r="C737" s="24" t="s">
        <v>508</v>
      </c>
      <c r="D737" s="24" t="s">
        <v>135</v>
      </c>
      <c r="E737" s="24" t="s">
        <v>1086</v>
      </c>
      <c r="F737" s="24"/>
      <c r="G737" s="21">
        <f>G738+G741</f>
        <v>800</v>
      </c>
      <c r="H737" s="272">
        <f aca="true" t="shared" si="393" ref="H737:I737">H738+H741</f>
        <v>1247</v>
      </c>
      <c r="I737" s="272">
        <f t="shared" si="393"/>
        <v>1247</v>
      </c>
      <c r="J737" s="283"/>
      <c r="K737" s="117"/>
      <c r="L737" s="117"/>
      <c r="M737" s="117"/>
      <c r="N737" s="117"/>
      <c r="O737" s="117"/>
    </row>
    <row r="738" spans="1:15" ht="33.75" customHeight="1" hidden="1">
      <c r="A738" s="25" t="s">
        <v>819</v>
      </c>
      <c r="B738" s="16">
        <v>907</v>
      </c>
      <c r="C738" s="20" t="s">
        <v>508</v>
      </c>
      <c r="D738" s="20" t="s">
        <v>135</v>
      </c>
      <c r="E738" s="20" t="s">
        <v>1090</v>
      </c>
      <c r="F738" s="20"/>
      <c r="G738" s="26">
        <f>G739</f>
        <v>0</v>
      </c>
      <c r="H738" s="261">
        <f aca="true" t="shared" si="394" ref="H738:I739">H739</f>
        <v>53.7</v>
      </c>
      <c r="I738" s="261">
        <f t="shared" si="394"/>
        <v>53.7</v>
      </c>
      <c r="L738" s="117"/>
      <c r="M738" s="117"/>
      <c r="N738" s="117"/>
      <c r="O738" s="117"/>
    </row>
    <row r="739" spans="1:15" ht="31.5" hidden="1">
      <c r="A739" s="25" t="s">
        <v>289</v>
      </c>
      <c r="B739" s="16">
        <v>907</v>
      </c>
      <c r="C739" s="20" t="s">
        <v>508</v>
      </c>
      <c r="D739" s="20" t="s">
        <v>135</v>
      </c>
      <c r="E739" s="20" t="s">
        <v>1090</v>
      </c>
      <c r="F739" s="20" t="s">
        <v>290</v>
      </c>
      <c r="G739" s="26">
        <f>G740</f>
        <v>0</v>
      </c>
      <c r="H739" s="261">
        <f t="shared" si="394"/>
        <v>53.7</v>
      </c>
      <c r="I739" s="261">
        <f t="shared" si="394"/>
        <v>53.7</v>
      </c>
      <c r="L739" s="117"/>
      <c r="M739" s="117"/>
      <c r="N739" s="117"/>
      <c r="O739" s="117"/>
    </row>
    <row r="740" spans="1:15" ht="15.75" customHeight="1" hidden="1">
      <c r="A740" s="25" t="s">
        <v>291</v>
      </c>
      <c r="B740" s="16">
        <v>907</v>
      </c>
      <c r="C740" s="20" t="s">
        <v>508</v>
      </c>
      <c r="D740" s="20" t="s">
        <v>135</v>
      </c>
      <c r="E740" s="20" t="s">
        <v>1090</v>
      </c>
      <c r="F740" s="20" t="s">
        <v>292</v>
      </c>
      <c r="G740" s="26">
        <v>0</v>
      </c>
      <c r="H740" s="261">
        <v>53.7</v>
      </c>
      <c r="I740" s="261">
        <v>53.7</v>
      </c>
      <c r="J740" s="273"/>
      <c r="L740" s="117"/>
      <c r="M740" s="117"/>
      <c r="N740" s="117"/>
      <c r="O740" s="117"/>
    </row>
    <row r="741" spans="1:15" ht="34.5" customHeight="1">
      <c r="A741" s="46" t="s">
        <v>789</v>
      </c>
      <c r="B741" s="16">
        <v>907</v>
      </c>
      <c r="C741" s="20" t="s">
        <v>508</v>
      </c>
      <c r="D741" s="20" t="s">
        <v>135</v>
      </c>
      <c r="E741" s="20" t="s">
        <v>1091</v>
      </c>
      <c r="F741" s="20"/>
      <c r="G741" s="26">
        <f>G742</f>
        <v>800</v>
      </c>
      <c r="H741" s="261">
        <f aca="true" t="shared" si="395" ref="H741:I742">H742</f>
        <v>1193.3</v>
      </c>
      <c r="I741" s="261">
        <f t="shared" si="395"/>
        <v>1193.3</v>
      </c>
      <c r="L741" s="244"/>
      <c r="M741" s="117"/>
      <c r="N741" s="117"/>
      <c r="O741" s="117"/>
    </row>
    <row r="742" spans="1:15" ht="33" customHeight="1">
      <c r="A742" s="32" t="s">
        <v>289</v>
      </c>
      <c r="B742" s="16">
        <v>907</v>
      </c>
      <c r="C742" s="20" t="s">
        <v>508</v>
      </c>
      <c r="D742" s="20" t="s">
        <v>135</v>
      </c>
      <c r="E742" s="20" t="s">
        <v>1091</v>
      </c>
      <c r="F742" s="20" t="s">
        <v>290</v>
      </c>
      <c r="G742" s="26">
        <f>G743</f>
        <v>800</v>
      </c>
      <c r="H742" s="261">
        <f t="shared" si="395"/>
        <v>1193.3</v>
      </c>
      <c r="I742" s="261">
        <f t="shared" si="395"/>
        <v>1193.3</v>
      </c>
      <c r="L742" s="117"/>
      <c r="M742" s="117"/>
      <c r="N742" s="117"/>
      <c r="O742" s="117"/>
    </row>
    <row r="743" spans="1:15" ht="15.75" customHeight="1">
      <c r="A743" s="32" t="s">
        <v>291</v>
      </c>
      <c r="B743" s="16">
        <v>907</v>
      </c>
      <c r="C743" s="20" t="s">
        <v>508</v>
      </c>
      <c r="D743" s="20" t="s">
        <v>135</v>
      </c>
      <c r="E743" s="20" t="s">
        <v>1091</v>
      </c>
      <c r="F743" s="20" t="s">
        <v>292</v>
      </c>
      <c r="G743" s="26">
        <v>800</v>
      </c>
      <c r="H743" s="261">
        <f aca="true" t="shared" si="396" ref="H743:I743">808.1+438.9-53.7</f>
        <v>1193.3</v>
      </c>
      <c r="I743" s="261">
        <f t="shared" si="396"/>
        <v>1193.3</v>
      </c>
      <c r="J743" s="273"/>
      <c r="L743" s="117"/>
      <c r="M743" s="117"/>
      <c r="N743" s="117"/>
      <c r="O743" s="117"/>
    </row>
    <row r="744" spans="1:15" s="253" customFormat="1" ht="40.5" customHeight="1">
      <c r="A744" s="23" t="s">
        <v>976</v>
      </c>
      <c r="B744" s="19">
        <v>907</v>
      </c>
      <c r="C744" s="24" t="s">
        <v>508</v>
      </c>
      <c r="D744" s="24" t="s">
        <v>135</v>
      </c>
      <c r="E744" s="24" t="s">
        <v>1092</v>
      </c>
      <c r="F744" s="24"/>
      <c r="G744" s="21">
        <f>G745</f>
        <v>870.2</v>
      </c>
      <c r="H744" s="272">
        <f aca="true" t="shared" si="397" ref="H744:I746">H745</f>
        <v>870.2</v>
      </c>
      <c r="I744" s="272">
        <f t="shared" si="397"/>
        <v>870.2</v>
      </c>
      <c r="J744" s="228"/>
      <c r="K744" s="117"/>
      <c r="L744" s="117"/>
      <c r="M744" s="117"/>
      <c r="N744" s="117"/>
      <c r="O744" s="117"/>
    </row>
    <row r="745" spans="1:15" s="253" customFormat="1" ht="78.75">
      <c r="A745" s="32" t="s">
        <v>481</v>
      </c>
      <c r="B745" s="16">
        <v>907</v>
      </c>
      <c r="C745" s="20" t="s">
        <v>508</v>
      </c>
      <c r="D745" s="20" t="s">
        <v>135</v>
      </c>
      <c r="E745" s="20" t="s">
        <v>1093</v>
      </c>
      <c r="F745" s="20"/>
      <c r="G745" s="26">
        <f>G746</f>
        <v>870.2</v>
      </c>
      <c r="H745" s="261">
        <f t="shared" si="397"/>
        <v>870.2</v>
      </c>
      <c r="I745" s="261">
        <f t="shared" si="397"/>
        <v>870.2</v>
      </c>
      <c r="J745" s="228"/>
      <c r="K745" s="117"/>
      <c r="L745" s="117"/>
      <c r="M745" s="117"/>
      <c r="N745" s="117"/>
      <c r="O745" s="117"/>
    </row>
    <row r="746" spans="1:15" s="253" customFormat="1" ht="31.5">
      <c r="A746" s="25" t="s">
        <v>289</v>
      </c>
      <c r="B746" s="16">
        <v>907</v>
      </c>
      <c r="C746" s="20" t="s">
        <v>508</v>
      </c>
      <c r="D746" s="20" t="s">
        <v>135</v>
      </c>
      <c r="E746" s="20" t="s">
        <v>1093</v>
      </c>
      <c r="F746" s="20" t="s">
        <v>290</v>
      </c>
      <c r="G746" s="26">
        <f>G747</f>
        <v>870.2</v>
      </c>
      <c r="H746" s="261">
        <f t="shared" si="397"/>
        <v>870.2</v>
      </c>
      <c r="I746" s="261">
        <f t="shared" si="397"/>
        <v>870.2</v>
      </c>
      <c r="J746" s="228"/>
      <c r="K746" s="117"/>
      <c r="L746" s="117"/>
      <c r="M746" s="117"/>
      <c r="N746" s="117"/>
      <c r="O746" s="117"/>
    </row>
    <row r="747" spans="1:15" s="253" customFormat="1" ht="15.75">
      <c r="A747" s="25" t="s">
        <v>291</v>
      </c>
      <c r="B747" s="16">
        <v>907</v>
      </c>
      <c r="C747" s="20" t="s">
        <v>508</v>
      </c>
      <c r="D747" s="20" t="s">
        <v>135</v>
      </c>
      <c r="E747" s="20" t="s">
        <v>1093</v>
      </c>
      <c r="F747" s="20" t="s">
        <v>292</v>
      </c>
      <c r="G747" s="26">
        <f>56.7+813.5</f>
        <v>870.2</v>
      </c>
      <c r="H747" s="261">
        <f aca="true" t="shared" si="398" ref="H747:I747">56.7+813.5</f>
        <v>870.2</v>
      </c>
      <c r="I747" s="261">
        <f t="shared" si="398"/>
        <v>870.2</v>
      </c>
      <c r="J747" s="228"/>
      <c r="K747" s="117"/>
      <c r="L747" s="117"/>
      <c r="M747" s="117"/>
      <c r="N747" s="117"/>
      <c r="O747" s="117"/>
    </row>
    <row r="748" spans="1:15" ht="47.25">
      <c r="A748" s="42" t="s">
        <v>1188</v>
      </c>
      <c r="B748" s="19">
        <v>907</v>
      </c>
      <c r="C748" s="24" t="s">
        <v>508</v>
      </c>
      <c r="D748" s="24" t="s">
        <v>135</v>
      </c>
      <c r="E748" s="24" t="s">
        <v>730</v>
      </c>
      <c r="F748" s="324"/>
      <c r="G748" s="21">
        <f>G749</f>
        <v>540.1</v>
      </c>
      <c r="H748" s="272">
        <f aca="true" t="shared" si="399" ref="H748:I751">H749</f>
        <v>540.1</v>
      </c>
      <c r="I748" s="272">
        <f t="shared" si="399"/>
        <v>540.1</v>
      </c>
      <c r="J748" s="228" t="s">
        <v>1189</v>
      </c>
      <c r="L748" s="244"/>
      <c r="M748" s="117"/>
      <c r="N748" s="117"/>
      <c r="O748" s="117"/>
    </row>
    <row r="749" spans="1:15" s="253" customFormat="1" ht="47.25">
      <c r="A749" s="42" t="s">
        <v>954</v>
      </c>
      <c r="B749" s="19">
        <v>907</v>
      </c>
      <c r="C749" s="24" t="s">
        <v>508</v>
      </c>
      <c r="D749" s="24" t="s">
        <v>135</v>
      </c>
      <c r="E749" s="24" t="s">
        <v>952</v>
      </c>
      <c r="F749" s="324"/>
      <c r="G749" s="21">
        <f>G750</f>
        <v>540.1</v>
      </c>
      <c r="H749" s="272">
        <f t="shared" si="399"/>
        <v>540.1</v>
      </c>
      <c r="I749" s="272">
        <f t="shared" si="399"/>
        <v>540.1</v>
      </c>
      <c r="J749" s="228"/>
      <c r="K749" s="117"/>
      <c r="L749" s="244"/>
      <c r="M749" s="117"/>
      <c r="N749" s="117"/>
      <c r="O749" s="117"/>
    </row>
    <row r="750" spans="1:12" ht="39" customHeight="1">
      <c r="A750" s="107" t="s">
        <v>805</v>
      </c>
      <c r="B750" s="16">
        <v>907</v>
      </c>
      <c r="C750" s="20" t="s">
        <v>508</v>
      </c>
      <c r="D750" s="20" t="s">
        <v>135</v>
      </c>
      <c r="E750" s="20" t="s">
        <v>1035</v>
      </c>
      <c r="F750" s="33"/>
      <c r="G750" s="26">
        <f>G751</f>
        <v>540.1</v>
      </c>
      <c r="H750" s="261">
        <f t="shared" si="399"/>
        <v>540.1</v>
      </c>
      <c r="I750" s="261">
        <f t="shared" si="399"/>
        <v>540.1</v>
      </c>
      <c r="L750" s="117"/>
    </row>
    <row r="751" spans="1:12" ht="31.5">
      <c r="A751" s="30" t="s">
        <v>289</v>
      </c>
      <c r="B751" s="16">
        <v>907</v>
      </c>
      <c r="C751" s="20" t="s">
        <v>508</v>
      </c>
      <c r="D751" s="20" t="s">
        <v>135</v>
      </c>
      <c r="E751" s="20" t="s">
        <v>1035</v>
      </c>
      <c r="F751" s="33" t="s">
        <v>290</v>
      </c>
      <c r="G751" s="26">
        <f>G752</f>
        <v>540.1</v>
      </c>
      <c r="H751" s="261">
        <f t="shared" si="399"/>
        <v>540.1</v>
      </c>
      <c r="I751" s="261">
        <f t="shared" si="399"/>
        <v>540.1</v>
      </c>
      <c r="L751" s="117"/>
    </row>
    <row r="752" spans="1:12" ht="15.75">
      <c r="A752" s="208" t="s">
        <v>291</v>
      </c>
      <c r="B752" s="16">
        <v>907</v>
      </c>
      <c r="C752" s="20" t="s">
        <v>508</v>
      </c>
      <c r="D752" s="20" t="s">
        <v>135</v>
      </c>
      <c r="E752" s="20" t="s">
        <v>1035</v>
      </c>
      <c r="F752" s="33" t="s">
        <v>292</v>
      </c>
      <c r="G752" s="26">
        <f>377+163.1</f>
        <v>540.1</v>
      </c>
      <c r="H752" s="261">
        <f aca="true" t="shared" si="400" ref="H752:I752">377+163.1</f>
        <v>540.1</v>
      </c>
      <c r="I752" s="261">
        <f t="shared" si="400"/>
        <v>540.1</v>
      </c>
      <c r="L752" s="117"/>
    </row>
    <row r="753" spans="1:12" ht="19.5" customHeight="1">
      <c r="A753" s="23" t="s">
        <v>517</v>
      </c>
      <c r="B753" s="19">
        <v>907</v>
      </c>
      <c r="C753" s="24" t="s">
        <v>508</v>
      </c>
      <c r="D753" s="24" t="s">
        <v>251</v>
      </c>
      <c r="E753" s="24"/>
      <c r="F753" s="24"/>
      <c r="G753" s="21">
        <f>G754+G762+G774</f>
        <v>12606.723</v>
      </c>
      <c r="H753" s="272">
        <f>H754+H774</f>
        <v>12225.600000000002</v>
      </c>
      <c r="I753" s="272">
        <f>I754+I774</f>
        <v>12225.600000000002</v>
      </c>
      <c r="L753" s="117"/>
    </row>
    <row r="754" spans="1:12" ht="31.5">
      <c r="A754" s="23" t="s">
        <v>995</v>
      </c>
      <c r="B754" s="19">
        <v>907</v>
      </c>
      <c r="C754" s="24" t="s">
        <v>508</v>
      </c>
      <c r="D754" s="24" t="s">
        <v>251</v>
      </c>
      <c r="E754" s="24" t="s">
        <v>909</v>
      </c>
      <c r="F754" s="24"/>
      <c r="G754" s="21">
        <f>G755</f>
        <v>4728.834</v>
      </c>
      <c r="H754" s="272">
        <f>H755+H762</f>
        <v>9728.400000000001</v>
      </c>
      <c r="I754" s="272">
        <f>I755+I762</f>
        <v>9728.400000000001</v>
      </c>
      <c r="L754" s="117"/>
    </row>
    <row r="755" spans="1:12" ht="15.75">
      <c r="A755" s="23" t="s">
        <v>996</v>
      </c>
      <c r="B755" s="19">
        <v>907</v>
      </c>
      <c r="C755" s="24" t="s">
        <v>508</v>
      </c>
      <c r="D755" s="24" t="s">
        <v>251</v>
      </c>
      <c r="E755" s="24" t="s">
        <v>910</v>
      </c>
      <c r="F755" s="24"/>
      <c r="G755" s="21">
        <f>G756+G759</f>
        <v>4728.834</v>
      </c>
      <c r="H755" s="272">
        <f>H756+H759</f>
        <v>4537.200000000001</v>
      </c>
      <c r="I755" s="272">
        <f>I756+I759</f>
        <v>4537.200000000001</v>
      </c>
      <c r="L755" s="117"/>
    </row>
    <row r="756" spans="1:12" ht="33" customHeight="1">
      <c r="A756" s="25" t="s">
        <v>972</v>
      </c>
      <c r="B756" s="16">
        <v>907</v>
      </c>
      <c r="C756" s="20" t="s">
        <v>508</v>
      </c>
      <c r="D756" s="20" t="s">
        <v>251</v>
      </c>
      <c r="E756" s="20" t="s">
        <v>911</v>
      </c>
      <c r="F756" s="20"/>
      <c r="G756" s="26">
        <f>G757</f>
        <v>4628.834</v>
      </c>
      <c r="H756" s="261">
        <f aca="true" t="shared" si="401" ref="H756:I756">H757</f>
        <v>4537.200000000001</v>
      </c>
      <c r="I756" s="261">
        <f t="shared" si="401"/>
        <v>4537.200000000001</v>
      </c>
      <c r="L756" s="117"/>
    </row>
    <row r="757" spans="1:12" ht="64.5" customHeight="1">
      <c r="A757" s="25" t="s">
        <v>144</v>
      </c>
      <c r="B757" s="16">
        <v>907</v>
      </c>
      <c r="C757" s="20" t="s">
        <v>508</v>
      </c>
      <c r="D757" s="20" t="s">
        <v>251</v>
      </c>
      <c r="E757" s="20" t="s">
        <v>911</v>
      </c>
      <c r="F757" s="20" t="s">
        <v>145</v>
      </c>
      <c r="G757" s="26">
        <f>G758</f>
        <v>4628.834</v>
      </c>
      <c r="H757" s="261">
        <f aca="true" t="shared" si="402" ref="H757:I757">H758</f>
        <v>4537.200000000001</v>
      </c>
      <c r="I757" s="261">
        <f t="shared" si="402"/>
        <v>4537.200000000001</v>
      </c>
      <c r="L757" s="117"/>
    </row>
    <row r="758" spans="1:12" ht="31.5">
      <c r="A758" s="25" t="s">
        <v>146</v>
      </c>
      <c r="B758" s="16">
        <v>907</v>
      </c>
      <c r="C758" s="20" t="s">
        <v>508</v>
      </c>
      <c r="D758" s="20" t="s">
        <v>251</v>
      </c>
      <c r="E758" s="20" t="s">
        <v>911</v>
      </c>
      <c r="F758" s="20" t="s">
        <v>147</v>
      </c>
      <c r="G758" s="27">
        <f>4438*1.043</f>
        <v>4628.834</v>
      </c>
      <c r="H758" s="262">
        <f aca="true" t="shared" si="403" ref="H758:I758">4378.8-26.2+184.6</f>
        <v>4537.200000000001</v>
      </c>
      <c r="I758" s="262">
        <f t="shared" si="403"/>
        <v>4537.200000000001</v>
      </c>
      <c r="J758" s="362" t="s">
        <v>891</v>
      </c>
      <c r="K758" s="117">
        <v>1.043</v>
      </c>
      <c r="L758" s="117"/>
    </row>
    <row r="759" spans="1:12" s="253" customFormat="1" ht="36.75" customHeight="1">
      <c r="A759" s="25" t="s">
        <v>889</v>
      </c>
      <c r="B759" s="16">
        <v>907</v>
      </c>
      <c r="C759" s="20" t="s">
        <v>508</v>
      </c>
      <c r="D759" s="20" t="s">
        <v>251</v>
      </c>
      <c r="E759" s="20" t="s">
        <v>913</v>
      </c>
      <c r="F759" s="20"/>
      <c r="G759" s="26">
        <f>G760</f>
        <v>100</v>
      </c>
      <c r="H759" s="261">
        <f aca="true" t="shared" si="404" ref="H759:I760">H760</f>
        <v>0</v>
      </c>
      <c r="I759" s="261">
        <f t="shared" si="404"/>
        <v>0</v>
      </c>
      <c r="J759" s="228"/>
      <c r="K759" s="117"/>
      <c r="L759" s="117"/>
    </row>
    <row r="760" spans="1:12" s="253" customFormat="1" ht="47.25" customHeight="1">
      <c r="A760" s="25" t="s">
        <v>144</v>
      </c>
      <c r="B760" s="16">
        <v>907</v>
      </c>
      <c r="C760" s="20" t="s">
        <v>508</v>
      </c>
      <c r="D760" s="20" t="s">
        <v>251</v>
      </c>
      <c r="E760" s="20" t="s">
        <v>913</v>
      </c>
      <c r="F760" s="20" t="s">
        <v>145</v>
      </c>
      <c r="G760" s="26">
        <f>G761</f>
        <v>100</v>
      </c>
      <c r="H760" s="261">
        <f t="shared" si="404"/>
        <v>0</v>
      </c>
      <c r="I760" s="261">
        <f t="shared" si="404"/>
        <v>0</v>
      </c>
      <c r="J760" s="228"/>
      <c r="K760" s="117"/>
      <c r="L760" s="117"/>
    </row>
    <row r="761" spans="1:12" s="253" customFormat="1" ht="34.5" customHeight="1">
      <c r="A761" s="25" t="s">
        <v>146</v>
      </c>
      <c r="B761" s="16">
        <v>907</v>
      </c>
      <c r="C761" s="20" t="s">
        <v>508</v>
      </c>
      <c r="D761" s="20" t="s">
        <v>251</v>
      </c>
      <c r="E761" s="20" t="s">
        <v>913</v>
      </c>
      <c r="F761" s="20" t="s">
        <v>147</v>
      </c>
      <c r="G761" s="26">
        <v>100</v>
      </c>
      <c r="H761" s="308"/>
      <c r="I761" s="308"/>
      <c r="J761" s="228"/>
      <c r="K761" s="117"/>
      <c r="L761" s="117"/>
    </row>
    <row r="762" spans="1:12" ht="15.75">
      <c r="A762" s="23" t="s">
        <v>158</v>
      </c>
      <c r="B762" s="19">
        <v>907</v>
      </c>
      <c r="C762" s="24" t="s">
        <v>508</v>
      </c>
      <c r="D762" s="24" t="s">
        <v>251</v>
      </c>
      <c r="E762" s="24" t="s">
        <v>917</v>
      </c>
      <c r="F762" s="24"/>
      <c r="G762" s="21">
        <f>G763</f>
        <v>5377.889</v>
      </c>
      <c r="H762" s="272">
        <f aca="true" t="shared" si="405" ref="H762:I762">H764</f>
        <v>5191.2</v>
      </c>
      <c r="I762" s="272">
        <f t="shared" si="405"/>
        <v>5191.2</v>
      </c>
      <c r="L762" s="117"/>
    </row>
    <row r="763" spans="1:12" s="253" customFormat="1" ht="31.5">
      <c r="A763" s="23" t="s">
        <v>1009</v>
      </c>
      <c r="B763" s="19">
        <v>907</v>
      </c>
      <c r="C763" s="24" t="s">
        <v>508</v>
      </c>
      <c r="D763" s="24" t="s">
        <v>251</v>
      </c>
      <c r="E763" s="24" t="s">
        <v>992</v>
      </c>
      <c r="F763" s="24"/>
      <c r="G763" s="21">
        <f>G764+G771</f>
        <v>5377.889</v>
      </c>
      <c r="H763" s="272">
        <f aca="true" t="shared" si="406" ref="H763:I763">H764+H771</f>
        <v>5191.2</v>
      </c>
      <c r="I763" s="272">
        <f t="shared" si="406"/>
        <v>5191.2</v>
      </c>
      <c r="J763" s="228"/>
      <c r="K763" s="117"/>
      <c r="L763" s="117"/>
    </row>
    <row r="764" spans="1:12" ht="31.5">
      <c r="A764" s="25" t="s">
        <v>979</v>
      </c>
      <c r="B764" s="16">
        <v>907</v>
      </c>
      <c r="C764" s="20" t="s">
        <v>508</v>
      </c>
      <c r="D764" s="20" t="s">
        <v>251</v>
      </c>
      <c r="E764" s="20" t="s">
        <v>993</v>
      </c>
      <c r="F764" s="20"/>
      <c r="G764" s="26">
        <f>G765+G767+G769</f>
        <v>5157.889</v>
      </c>
      <c r="H764" s="261">
        <f aca="true" t="shared" si="407" ref="H764:I764">H765+H767+H769</f>
        <v>5191.2</v>
      </c>
      <c r="I764" s="261">
        <f t="shared" si="407"/>
        <v>5191.2</v>
      </c>
      <c r="L764" s="117"/>
    </row>
    <row r="765" spans="1:12" ht="72.75" customHeight="1">
      <c r="A765" s="25" t="s">
        <v>144</v>
      </c>
      <c r="B765" s="16">
        <v>907</v>
      </c>
      <c r="C765" s="20" t="s">
        <v>508</v>
      </c>
      <c r="D765" s="20" t="s">
        <v>251</v>
      </c>
      <c r="E765" s="20" t="s">
        <v>993</v>
      </c>
      <c r="F765" s="20" t="s">
        <v>145</v>
      </c>
      <c r="G765" s="26">
        <f>G766</f>
        <v>4508.889</v>
      </c>
      <c r="H765" s="261">
        <f aca="true" t="shared" si="408" ref="H765:I765">H766</f>
        <v>4542.6</v>
      </c>
      <c r="I765" s="261">
        <f t="shared" si="408"/>
        <v>4542.6</v>
      </c>
      <c r="L765" s="117"/>
    </row>
    <row r="766" spans="1:12" ht="30" customHeight="1">
      <c r="A766" s="25" t="s">
        <v>359</v>
      </c>
      <c r="B766" s="16">
        <v>907</v>
      </c>
      <c r="C766" s="20" t="s">
        <v>508</v>
      </c>
      <c r="D766" s="20" t="s">
        <v>251</v>
      </c>
      <c r="E766" s="20" t="s">
        <v>993</v>
      </c>
      <c r="F766" s="20" t="s">
        <v>226</v>
      </c>
      <c r="G766" s="27">
        <f>4323*1.043</f>
        <v>4508.889</v>
      </c>
      <c r="H766" s="262">
        <f aca="true" t="shared" si="409" ref="H766:I766">3501.9+462.6+159.1+419</f>
        <v>4542.6</v>
      </c>
      <c r="I766" s="262">
        <f t="shared" si="409"/>
        <v>4542.6</v>
      </c>
      <c r="J766" s="362" t="s">
        <v>891</v>
      </c>
      <c r="K766" s="245" t="s">
        <v>1338</v>
      </c>
      <c r="L766" s="245"/>
    </row>
    <row r="767" spans="1:12" ht="31.5">
      <c r="A767" s="25" t="s">
        <v>148</v>
      </c>
      <c r="B767" s="16">
        <v>907</v>
      </c>
      <c r="C767" s="20" t="s">
        <v>508</v>
      </c>
      <c r="D767" s="20" t="s">
        <v>251</v>
      </c>
      <c r="E767" s="20" t="s">
        <v>993</v>
      </c>
      <c r="F767" s="20" t="s">
        <v>149</v>
      </c>
      <c r="G767" s="26">
        <f>G768</f>
        <v>598.0000000000001</v>
      </c>
      <c r="H767" s="261">
        <f aca="true" t="shared" si="410" ref="H767:I767">H768</f>
        <v>597.4000000000001</v>
      </c>
      <c r="I767" s="261">
        <f t="shared" si="410"/>
        <v>597.4000000000001</v>
      </c>
      <c r="L767" s="117"/>
    </row>
    <row r="768" spans="1:12" ht="31.5">
      <c r="A768" s="25" t="s">
        <v>150</v>
      </c>
      <c r="B768" s="16">
        <v>907</v>
      </c>
      <c r="C768" s="20" t="s">
        <v>508</v>
      </c>
      <c r="D768" s="20" t="s">
        <v>251</v>
      </c>
      <c r="E768" s="20" t="s">
        <v>993</v>
      </c>
      <c r="F768" s="20" t="s">
        <v>151</v>
      </c>
      <c r="G768" s="27">
        <f>764.2-166.8+0.6</f>
        <v>598.0000000000001</v>
      </c>
      <c r="H768" s="262">
        <f aca="true" t="shared" si="411" ref="H768:I768">764.2-166.8</f>
        <v>597.4000000000001</v>
      </c>
      <c r="I768" s="262">
        <f t="shared" si="411"/>
        <v>597.4000000000001</v>
      </c>
      <c r="J768" s="273"/>
      <c r="L768" s="245"/>
    </row>
    <row r="769" spans="1:12" ht="15.75">
      <c r="A769" s="25" t="s">
        <v>152</v>
      </c>
      <c r="B769" s="16">
        <v>907</v>
      </c>
      <c r="C769" s="20" t="s">
        <v>508</v>
      </c>
      <c r="D769" s="20" t="s">
        <v>251</v>
      </c>
      <c r="E769" s="20" t="s">
        <v>993</v>
      </c>
      <c r="F769" s="20" t="s">
        <v>162</v>
      </c>
      <c r="G769" s="26">
        <f>G770</f>
        <v>51</v>
      </c>
      <c r="H769" s="261">
        <f aca="true" t="shared" si="412" ref="H769:I769">H770</f>
        <v>51.2</v>
      </c>
      <c r="I769" s="261">
        <f t="shared" si="412"/>
        <v>51.2</v>
      </c>
      <c r="L769" s="117"/>
    </row>
    <row r="770" spans="1:12" ht="15.75">
      <c r="A770" s="25" t="s">
        <v>585</v>
      </c>
      <c r="B770" s="16">
        <v>907</v>
      </c>
      <c r="C770" s="20" t="s">
        <v>508</v>
      </c>
      <c r="D770" s="20" t="s">
        <v>251</v>
      </c>
      <c r="E770" s="20" t="s">
        <v>993</v>
      </c>
      <c r="F770" s="20" t="s">
        <v>155</v>
      </c>
      <c r="G770" s="26">
        <f>27.1+24.1-0.2</f>
        <v>51</v>
      </c>
      <c r="H770" s="261">
        <f aca="true" t="shared" si="413" ref="H770:I770">27.1+24.1</f>
        <v>51.2</v>
      </c>
      <c r="I770" s="261">
        <f t="shared" si="413"/>
        <v>51.2</v>
      </c>
      <c r="L770" s="117"/>
    </row>
    <row r="771" spans="1:12" s="253" customFormat="1" ht="31.5">
      <c r="A771" s="25" t="s">
        <v>889</v>
      </c>
      <c r="B771" s="16">
        <v>907</v>
      </c>
      <c r="C771" s="20" t="s">
        <v>508</v>
      </c>
      <c r="D771" s="20" t="s">
        <v>251</v>
      </c>
      <c r="E771" s="20" t="s">
        <v>994</v>
      </c>
      <c r="F771" s="20"/>
      <c r="G771" s="26">
        <f>G772</f>
        <v>220</v>
      </c>
      <c r="H771" s="261">
        <f aca="true" t="shared" si="414" ref="H771:I772">H772</f>
        <v>0</v>
      </c>
      <c r="I771" s="261">
        <f t="shared" si="414"/>
        <v>0</v>
      </c>
      <c r="J771" s="228"/>
      <c r="K771" s="117"/>
      <c r="L771" s="117"/>
    </row>
    <row r="772" spans="1:12" s="253" customFormat="1" ht="63">
      <c r="A772" s="25" t="s">
        <v>144</v>
      </c>
      <c r="B772" s="16">
        <v>907</v>
      </c>
      <c r="C772" s="20" t="s">
        <v>508</v>
      </c>
      <c r="D772" s="20" t="s">
        <v>251</v>
      </c>
      <c r="E772" s="20" t="s">
        <v>994</v>
      </c>
      <c r="F772" s="20" t="s">
        <v>145</v>
      </c>
      <c r="G772" s="26">
        <f>G773</f>
        <v>220</v>
      </c>
      <c r="H772" s="261">
        <f t="shared" si="414"/>
        <v>0</v>
      </c>
      <c r="I772" s="261">
        <f t="shared" si="414"/>
        <v>0</v>
      </c>
      <c r="J772" s="228"/>
      <c r="K772" s="117"/>
      <c r="L772" s="117"/>
    </row>
    <row r="773" spans="1:12" s="253" customFormat="1" ht="15.75">
      <c r="A773" s="25" t="s">
        <v>359</v>
      </c>
      <c r="B773" s="16">
        <v>907</v>
      </c>
      <c r="C773" s="20" t="s">
        <v>508</v>
      </c>
      <c r="D773" s="20" t="s">
        <v>251</v>
      </c>
      <c r="E773" s="20" t="s">
        <v>994</v>
      </c>
      <c r="F773" s="20" t="s">
        <v>226</v>
      </c>
      <c r="G773" s="26">
        <v>220</v>
      </c>
      <c r="H773" s="308"/>
      <c r="I773" s="308"/>
      <c r="J773" s="228"/>
      <c r="K773" s="117"/>
      <c r="L773" s="117"/>
    </row>
    <row r="774" spans="1:12" s="253" customFormat="1" ht="47.25">
      <c r="A774" s="42" t="s">
        <v>498</v>
      </c>
      <c r="B774" s="19">
        <v>907</v>
      </c>
      <c r="C774" s="24" t="s">
        <v>508</v>
      </c>
      <c r="D774" s="24" t="s">
        <v>251</v>
      </c>
      <c r="E774" s="7" t="s">
        <v>499</v>
      </c>
      <c r="F774" s="24"/>
      <c r="G774" s="21">
        <f>G775</f>
        <v>2500</v>
      </c>
      <c r="H774" s="272">
        <f aca="true" t="shared" si="415" ref="H774:I776">H775</f>
        <v>2497.2</v>
      </c>
      <c r="I774" s="272">
        <f t="shared" si="415"/>
        <v>2497.2</v>
      </c>
      <c r="J774" s="228"/>
      <c r="K774" s="117"/>
      <c r="L774" s="117"/>
    </row>
    <row r="775" spans="1:12" s="253" customFormat="1" ht="31.5">
      <c r="A775" s="60" t="s">
        <v>518</v>
      </c>
      <c r="B775" s="19">
        <v>907</v>
      </c>
      <c r="C775" s="24" t="s">
        <v>508</v>
      </c>
      <c r="D775" s="24" t="s">
        <v>251</v>
      </c>
      <c r="E775" s="7" t="s">
        <v>519</v>
      </c>
      <c r="F775" s="24"/>
      <c r="G775" s="21">
        <f>G776</f>
        <v>2500</v>
      </c>
      <c r="H775" s="272">
        <f t="shared" si="415"/>
        <v>2497.2</v>
      </c>
      <c r="I775" s="272">
        <f t="shared" si="415"/>
        <v>2497.2</v>
      </c>
      <c r="J775" s="228"/>
      <c r="K775" s="117"/>
      <c r="L775" s="117"/>
    </row>
    <row r="776" spans="1:12" s="253" customFormat="1" ht="31.5">
      <c r="A776" s="60" t="s">
        <v>1094</v>
      </c>
      <c r="B776" s="19">
        <v>907</v>
      </c>
      <c r="C776" s="24" t="s">
        <v>508</v>
      </c>
      <c r="D776" s="24" t="s">
        <v>251</v>
      </c>
      <c r="E776" s="7" t="s">
        <v>1095</v>
      </c>
      <c r="F776" s="24"/>
      <c r="G776" s="21">
        <f>G777</f>
        <v>2500</v>
      </c>
      <c r="H776" s="272">
        <f t="shared" si="415"/>
        <v>2497.2</v>
      </c>
      <c r="I776" s="272">
        <f t="shared" si="415"/>
        <v>2497.2</v>
      </c>
      <c r="J776" s="228"/>
      <c r="K776" s="117"/>
      <c r="L776" s="117"/>
    </row>
    <row r="777" spans="1:12" s="253" customFormat="1" ht="15.75">
      <c r="A777" s="30" t="s">
        <v>1096</v>
      </c>
      <c r="B777" s="16">
        <v>907</v>
      </c>
      <c r="C777" s="20" t="s">
        <v>508</v>
      </c>
      <c r="D777" s="20" t="s">
        <v>251</v>
      </c>
      <c r="E777" s="41" t="s">
        <v>1253</v>
      </c>
      <c r="F777" s="20"/>
      <c r="G777" s="26">
        <f>G778+G780</f>
        <v>2500</v>
      </c>
      <c r="H777" s="261">
        <f aca="true" t="shared" si="416" ref="H777:I777">H778+H780</f>
        <v>2497.2</v>
      </c>
      <c r="I777" s="261">
        <f t="shared" si="416"/>
        <v>2497.2</v>
      </c>
      <c r="J777" s="228"/>
      <c r="K777" s="117"/>
      <c r="L777" s="117"/>
    </row>
    <row r="778" spans="1:12" s="253" customFormat="1" ht="63">
      <c r="A778" s="25" t="s">
        <v>144</v>
      </c>
      <c r="B778" s="16">
        <v>907</v>
      </c>
      <c r="C778" s="20" t="s">
        <v>508</v>
      </c>
      <c r="D778" s="20" t="s">
        <v>251</v>
      </c>
      <c r="E778" s="41" t="s">
        <v>1253</v>
      </c>
      <c r="F778" s="20" t="s">
        <v>145</v>
      </c>
      <c r="G778" s="26">
        <f>G779</f>
        <v>1611</v>
      </c>
      <c r="H778" s="261">
        <f aca="true" t="shared" si="417" ref="H778:I778">H779</f>
        <v>1611</v>
      </c>
      <c r="I778" s="261">
        <f t="shared" si="417"/>
        <v>1611</v>
      </c>
      <c r="J778" s="228"/>
      <c r="K778" s="117"/>
      <c r="L778" s="117"/>
    </row>
    <row r="779" spans="1:12" s="253" customFormat="1" ht="15.75">
      <c r="A779" s="25" t="s">
        <v>359</v>
      </c>
      <c r="B779" s="16">
        <v>907</v>
      </c>
      <c r="C779" s="20" t="s">
        <v>508</v>
      </c>
      <c r="D779" s="20" t="s">
        <v>251</v>
      </c>
      <c r="E779" s="41" t="s">
        <v>1253</v>
      </c>
      <c r="F779" s="20" t="s">
        <v>226</v>
      </c>
      <c r="G779" s="26">
        <f>1611-4.8+4.8</f>
        <v>1611</v>
      </c>
      <c r="H779" s="261">
        <f aca="true" t="shared" si="418" ref="H779:I779">1611-4.8+4.8</f>
        <v>1611</v>
      </c>
      <c r="I779" s="261">
        <f t="shared" si="418"/>
        <v>1611</v>
      </c>
      <c r="J779" s="228"/>
      <c r="K779" s="117"/>
      <c r="L779" s="117"/>
    </row>
    <row r="780" spans="1:12" s="253" customFormat="1" ht="31.5">
      <c r="A780" s="30" t="s">
        <v>148</v>
      </c>
      <c r="B780" s="16">
        <v>907</v>
      </c>
      <c r="C780" s="20" t="s">
        <v>508</v>
      </c>
      <c r="D780" s="20" t="s">
        <v>251</v>
      </c>
      <c r="E780" s="41" t="s">
        <v>1253</v>
      </c>
      <c r="F780" s="20" t="s">
        <v>149</v>
      </c>
      <c r="G780" s="26">
        <f>G781</f>
        <v>889</v>
      </c>
      <c r="H780" s="261">
        <f aca="true" t="shared" si="419" ref="H780:I780">H781</f>
        <v>886.2</v>
      </c>
      <c r="I780" s="261">
        <f t="shared" si="419"/>
        <v>886.2</v>
      </c>
      <c r="J780" s="228"/>
      <c r="K780" s="117"/>
      <c r="L780" s="117"/>
    </row>
    <row r="781" spans="1:12" s="253" customFormat="1" ht="31.5">
      <c r="A781" s="30" t="s">
        <v>150</v>
      </c>
      <c r="B781" s="16">
        <v>907</v>
      </c>
      <c r="C781" s="20" t="s">
        <v>508</v>
      </c>
      <c r="D781" s="20" t="s">
        <v>251</v>
      </c>
      <c r="E781" s="41" t="s">
        <v>1253</v>
      </c>
      <c r="F781" s="20" t="s">
        <v>151</v>
      </c>
      <c r="G781" s="26">
        <f>789+97.2+4.8-4.8+2.8</f>
        <v>889</v>
      </c>
      <c r="H781" s="261">
        <f aca="true" t="shared" si="420" ref="H781:I781">789+97.2+4.8-4.8</f>
        <v>886.2</v>
      </c>
      <c r="I781" s="261">
        <f t="shared" si="420"/>
        <v>886.2</v>
      </c>
      <c r="J781" s="228"/>
      <c r="K781" s="117"/>
      <c r="L781" s="117"/>
    </row>
    <row r="782" spans="1:12" ht="31.5">
      <c r="A782" s="19" t="s">
        <v>521</v>
      </c>
      <c r="B782" s="19">
        <v>908</v>
      </c>
      <c r="C782" s="20"/>
      <c r="D782" s="20"/>
      <c r="E782" s="20"/>
      <c r="F782" s="20"/>
      <c r="G782" s="21">
        <f>G797+G804+G823+G981+G783</f>
        <v>93197.596</v>
      </c>
      <c r="H782" s="272">
        <f>H797+H804+H823+H981+H783</f>
        <v>224395.14999999997</v>
      </c>
      <c r="I782" s="272">
        <f>I797+I804+I823+I981+I783</f>
        <v>224395.14999999997</v>
      </c>
      <c r="J782" s="275"/>
      <c r="L782" s="117"/>
    </row>
    <row r="783" spans="1:12" ht="15.75">
      <c r="A783" s="35" t="s">
        <v>134</v>
      </c>
      <c r="B783" s="19">
        <v>908</v>
      </c>
      <c r="C783" s="24" t="s">
        <v>135</v>
      </c>
      <c r="D783" s="20"/>
      <c r="E783" s="20"/>
      <c r="F783" s="20"/>
      <c r="G783" s="21">
        <f>G784</f>
        <v>46570</v>
      </c>
      <c r="H783" s="272">
        <f aca="true" t="shared" si="421" ref="H783:I785">H784</f>
        <v>46568.799999999996</v>
      </c>
      <c r="I783" s="272">
        <f t="shared" si="421"/>
        <v>46568.799999999996</v>
      </c>
      <c r="L783" s="117"/>
    </row>
    <row r="784" spans="1:12" ht="15.75">
      <c r="A784" s="35" t="s">
        <v>156</v>
      </c>
      <c r="B784" s="19">
        <v>908</v>
      </c>
      <c r="C784" s="24" t="s">
        <v>135</v>
      </c>
      <c r="D784" s="24" t="s">
        <v>157</v>
      </c>
      <c r="E784" s="20"/>
      <c r="F784" s="20"/>
      <c r="G784" s="21">
        <f>G785</f>
        <v>46570</v>
      </c>
      <c r="H784" s="272">
        <f t="shared" si="421"/>
        <v>46568.799999999996</v>
      </c>
      <c r="I784" s="272">
        <f t="shared" si="421"/>
        <v>46568.799999999996</v>
      </c>
      <c r="L784" s="117"/>
    </row>
    <row r="785" spans="1:12" ht="21" customHeight="1">
      <c r="A785" s="23" t="s">
        <v>158</v>
      </c>
      <c r="B785" s="19">
        <v>908</v>
      </c>
      <c r="C785" s="24" t="s">
        <v>135</v>
      </c>
      <c r="D785" s="24" t="s">
        <v>157</v>
      </c>
      <c r="E785" s="24" t="s">
        <v>917</v>
      </c>
      <c r="F785" s="24"/>
      <c r="G785" s="45">
        <f>G786</f>
        <v>46570</v>
      </c>
      <c r="H785" s="284">
        <f t="shared" si="421"/>
        <v>46568.799999999996</v>
      </c>
      <c r="I785" s="284">
        <f t="shared" si="421"/>
        <v>46568.799999999996</v>
      </c>
      <c r="L785" s="117"/>
    </row>
    <row r="786" spans="1:12" ht="15.75">
      <c r="A786" s="23" t="s">
        <v>1098</v>
      </c>
      <c r="B786" s="19">
        <v>908</v>
      </c>
      <c r="C786" s="24" t="s">
        <v>135</v>
      </c>
      <c r="D786" s="24" t="s">
        <v>157</v>
      </c>
      <c r="E786" s="24" t="s">
        <v>1097</v>
      </c>
      <c r="F786" s="24"/>
      <c r="G786" s="45">
        <f>G790+G787</f>
        <v>46570</v>
      </c>
      <c r="H786" s="284">
        <f>H790+H787</f>
        <v>46568.799999999996</v>
      </c>
      <c r="I786" s="284">
        <f>I790+I787</f>
        <v>46568.799999999996</v>
      </c>
      <c r="L786" s="117"/>
    </row>
    <row r="787" spans="1:12" s="253" customFormat="1" ht="31.5">
      <c r="A787" s="25" t="s">
        <v>889</v>
      </c>
      <c r="B787" s="16">
        <v>908</v>
      </c>
      <c r="C787" s="20" t="s">
        <v>135</v>
      </c>
      <c r="D787" s="20" t="s">
        <v>157</v>
      </c>
      <c r="E787" s="20" t="s">
        <v>1100</v>
      </c>
      <c r="F787" s="20"/>
      <c r="G787" s="26">
        <f>G788</f>
        <v>675</v>
      </c>
      <c r="H787" s="261">
        <f aca="true" t="shared" si="422" ref="H787:I788">H788</f>
        <v>674.7</v>
      </c>
      <c r="I787" s="261">
        <f t="shared" si="422"/>
        <v>674.7</v>
      </c>
      <c r="J787" s="228"/>
      <c r="K787" s="117"/>
      <c r="L787" s="117"/>
    </row>
    <row r="788" spans="1:12" s="253" customFormat="1" ht="63">
      <c r="A788" s="25" t="s">
        <v>144</v>
      </c>
      <c r="B788" s="16">
        <v>908</v>
      </c>
      <c r="C788" s="20" t="s">
        <v>135</v>
      </c>
      <c r="D788" s="20" t="s">
        <v>157</v>
      </c>
      <c r="E788" s="20" t="s">
        <v>1100</v>
      </c>
      <c r="F788" s="20" t="s">
        <v>145</v>
      </c>
      <c r="G788" s="26">
        <f>G789</f>
        <v>675</v>
      </c>
      <c r="H788" s="261">
        <f t="shared" si="422"/>
        <v>674.7</v>
      </c>
      <c r="I788" s="261">
        <f t="shared" si="422"/>
        <v>674.7</v>
      </c>
      <c r="J788" s="228"/>
      <c r="K788" s="117"/>
      <c r="L788" s="117"/>
    </row>
    <row r="789" spans="1:12" s="253" customFormat="1" ht="31.5">
      <c r="A789" s="25" t="s">
        <v>146</v>
      </c>
      <c r="B789" s="16">
        <v>908</v>
      </c>
      <c r="C789" s="20" t="s">
        <v>135</v>
      </c>
      <c r="D789" s="20" t="s">
        <v>157</v>
      </c>
      <c r="E789" s="20" t="s">
        <v>1100</v>
      </c>
      <c r="F789" s="20" t="s">
        <v>226</v>
      </c>
      <c r="G789" s="26">
        <v>675</v>
      </c>
      <c r="H789" s="26">
        <v>674.7</v>
      </c>
      <c r="I789" s="26">
        <v>674.7</v>
      </c>
      <c r="J789" s="228"/>
      <c r="K789" s="117"/>
      <c r="L789" s="117"/>
    </row>
    <row r="790" spans="1:12" s="253" customFormat="1" ht="15.75">
      <c r="A790" s="25" t="s">
        <v>837</v>
      </c>
      <c r="B790" s="16">
        <v>908</v>
      </c>
      <c r="C790" s="20" t="s">
        <v>135</v>
      </c>
      <c r="D790" s="20" t="s">
        <v>157</v>
      </c>
      <c r="E790" s="20" t="s">
        <v>1099</v>
      </c>
      <c r="F790" s="20"/>
      <c r="G790" s="27">
        <f>G791+G793+G795</f>
        <v>45895</v>
      </c>
      <c r="H790" s="262">
        <f aca="true" t="shared" si="423" ref="H790:I790">H791+H793+H795</f>
        <v>45894.1</v>
      </c>
      <c r="I790" s="262">
        <f t="shared" si="423"/>
        <v>45894.1</v>
      </c>
      <c r="J790" s="228"/>
      <c r="K790" s="117"/>
      <c r="L790" s="117"/>
    </row>
    <row r="791" spans="1:12" ht="74.25" customHeight="1">
      <c r="A791" s="25" t="s">
        <v>144</v>
      </c>
      <c r="B791" s="16">
        <v>908</v>
      </c>
      <c r="C791" s="20" t="s">
        <v>135</v>
      </c>
      <c r="D791" s="20" t="s">
        <v>157</v>
      </c>
      <c r="E791" s="20" t="s">
        <v>1099</v>
      </c>
      <c r="F791" s="20" t="s">
        <v>145</v>
      </c>
      <c r="G791" s="27">
        <f>G792</f>
        <v>34924</v>
      </c>
      <c r="H791" s="262">
        <f aca="true" t="shared" si="424" ref="H791:I791">H792</f>
        <v>34923.9</v>
      </c>
      <c r="I791" s="262">
        <f t="shared" si="424"/>
        <v>34923.9</v>
      </c>
      <c r="L791" s="117"/>
    </row>
    <row r="792" spans="1:13" ht="25.5">
      <c r="A792" s="47" t="s">
        <v>359</v>
      </c>
      <c r="B792" s="16">
        <v>908</v>
      </c>
      <c r="C792" s="20" t="s">
        <v>135</v>
      </c>
      <c r="D792" s="20" t="s">
        <v>157</v>
      </c>
      <c r="E792" s="20" t="s">
        <v>1099</v>
      </c>
      <c r="F792" s="20" t="s">
        <v>226</v>
      </c>
      <c r="G792" s="27">
        <f>30242.8+2244.5+3111.3-674.7+0.1</f>
        <v>34924</v>
      </c>
      <c r="H792" s="262">
        <f aca="true" t="shared" si="425" ref="H792:I792">30242.8+2244.5+3111.3-674.7</f>
        <v>34923.9</v>
      </c>
      <c r="I792" s="262">
        <f t="shared" si="425"/>
        <v>34923.9</v>
      </c>
      <c r="J792" s="362" t="s">
        <v>891</v>
      </c>
      <c r="K792" s="117" t="s">
        <v>1339</v>
      </c>
      <c r="L792" s="117"/>
      <c r="M792" s="240"/>
    </row>
    <row r="793" spans="1:13" ht="31.5">
      <c r="A793" s="25" t="s">
        <v>148</v>
      </c>
      <c r="B793" s="16">
        <v>908</v>
      </c>
      <c r="C793" s="20" t="s">
        <v>135</v>
      </c>
      <c r="D793" s="20" t="s">
        <v>157</v>
      </c>
      <c r="E793" s="20" t="s">
        <v>1099</v>
      </c>
      <c r="F793" s="20" t="s">
        <v>149</v>
      </c>
      <c r="G793" s="27">
        <f>G794</f>
        <v>10549.999999999998</v>
      </c>
      <c r="H793" s="262">
        <f aca="true" t="shared" si="426" ref="H793:I793">H794</f>
        <v>10549.599999999999</v>
      </c>
      <c r="I793" s="262">
        <f t="shared" si="426"/>
        <v>10549.599999999999</v>
      </c>
      <c r="L793" s="117"/>
      <c r="M793" s="229"/>
    </row>
    <row r="794" spans="1:14" ht="31.5">
      <c r="A794" s="25" t="s">
        <v>150</v>
      </c>
      <c r="B794" s="16">
        <v>908</v>
      </c>
      <c r="C794" s="20" t="s">
        <v>135</v>
      </c>
      <c r="D794" s="20" t="s">
        <v>157</v>
      </c>
      <c r="E794" s="20" t="s">
        <v>1099</v>
      </c>
      <c r="F794" s="20" t="s">
        <v>151</v>
      </c>
      <c r="G794" s="27">
        <f>8950+1731.8-124.7-7.5+0.4</f>
        <v>10549.999999999998</v>
      </c>
      <c r="H794" s="262">
        <f aca="true" t="shared" si="427" ref="H794:I794">8950+1731.8-124.7-7.5</f>
        <v>10549.599999999999</v>
      </c>
      <c r="I794" s="262">
        <f t="shared" si="427"/>
        <v>10549.599999999999</v>
      </c>
      <c r="J794" s="286"/>
      <c r="L794" s="117"/>
      <c r="N794" s="117"/>
    </row>
    <row r="795" spans="1:12" ht="15.75">
      <c r="A795" s="25" t="s">
        <v>152</v>
      </c>
      <c r="B795" s="16">
        <v>908</v>
      </c>
      <c r="C795" s="20" t="s">
        <v>135</v>
      </c>
      <c r="D795" s="20" t="s">
        <v>157</v>
      </c>
      <c r="E795" s="20" t="s">
        <v>1099</v>
      </c>
      <c r="F795" s="20" t="s">
        <v>162</v>
      </c>
      <c r="G795" s="27">
        <f>G796</f>
        <v>421</v>
      </c>
      <c r="H795" s="262">
        <f aca="true" t="shared" si="428" ref="H795:I795">H796</f>
        <v>420.59999999999997</v>
      </c>
      <c r="I795" s="262">
        <f t="shared" si="428"/>
        <v>420.59999999999997</v>
      </c>
      <c r="J795" s="287"/>
      <c r="L795" s="117"/>
    </row>
    <row r="796" spans="1:12" ht="15.75">
      <c r="A796" s="25" t="s">
        <v>729</v>
      </c>
      <c r="B796" s="16">
        <v>908</v>
      </c>
      <c r="C796" s="20" t="s">
        <v>135</v>
      </c>
      <c r="D796" s="20" t="s">
        <v>157</v>
      </c>
      <c r="E796" s="20" t="s">
        <v>1099</v>
      </c>
      <c r="F796" s="20" t="s">
        <v>155</v>
      </c>
      <c r="G796" s="27">
        <v>421</v>
      </c>
      <c r="H796" s="262">
        <f aca="true" t="shared" si="429" ref="H796:I796">156.7+131.7+124.7+7.5</f>
        <v>420.59999999999997</v>
      </c>
      <c r="I796" s="262">
        <f t="shared" si="429"/>
        <v>420.59999999999997</v>
      </c>
      <c r="J796" s="273"/>
      <c r="L796" s="117"/>
    </row>
    <row r="797" spans="1:12" ht="31.5">
      <c r="A797" s="23" t="s">
        <v>239</v>
      </c>
      <c r="B797" s="19">
        <v>908</v>
      </c>
      <c r="C797" s="24" t="s">
        <v>232</v>
      </c>
      <c r="D797" s="24"/>
      <c r="E797" s="24"/>
      <c r="F797" s="24"/>
      <c r="G797" s="21">
        <f aca="true" t="shared" si="430" ref="G797:I802">G798</f>
        <v>107</v>
      </c>
      <c r="H797" s="272">
        <f t="shared" si="430"/>
        <v>106.9</v>
      </c>
      <c r="I797" s="272">
        <f t="shared" si="430"/>
        <v>106.9</v>
      </c>
      <c r="L797" s="117"/>
    </row>
    <row r="798" spans="1:12" ht="51" customHeight="1">
      <c r="A798" s="23" t="s">
        <v>240</v>
      </c>
      <c r="B798" s="19">
        <v>908</v>
      </c>
      <c r="C798" s="24" t="s">
        <v>232</v>
      </c>
      <c r="D798" s="24" t="s">
        <v>236</v>
      </c>
      <c r="E798" s="24"/>
      <c r="F798" s="24"/>
      <c r="G798" s="21">
        <f t="shared" si="430"/>
        <v>107</v>
      </c>
      <c r="H798" s="272">
        <f t="shared" si="430"/>
        <v>106.9</v>
      </c>
      <c r="I798" s="272">
        <f t="shared" si="430"/>
        <v>106.9</v>
      </c>
      <c r="L798" s="117"/>
    </row>
    <row r="799" spans="1:12" ht="21.75" customHeight="1">
      <c r="A799" s="23" t="s">
        <v>158</v>
      </c>
      <c r="B799" s="19">
        <v>908</v>
      </c>
      <c r="C799" s="24" t="s">
        <v>232</v>
      </c>
      <c r="D799" s="24" t="s">
        <v>236</v>
      </c>
      <c r="E799" s="24" t="s">
        <v>917</v>
      </c>
      <c r="F799" s="24"/>
      <c r="G799" s="21">
        <f t="shared" si="430"/>
        <v>107</v>
      </c>
      <c r="H799" s="272">
        <f t="shared" si="430"/>
        <v>106.9</v>
      </c>
      <c r="I799" s="272">
        <f t="shared" si="430"/>
        <v>106.9</v>
      </c>
      <c r="L799" s="117"/>
    </row>
    <row r="800" spans="1:12" ht="31.5">
      <c r="A800" s="23" t="s">
        <v>921</v>
      </c>
      <c r="B800" s="19">
        <v>908</v>
      </c>
      <c r="C800" s="24" t="s">
        <v>232</v>
      </c>
      <c r="D800" s="24" t="s">
        <v>236</v>
      </c>
      <c r="E800" s="24" t="s">
        <v>916</v>
      </c>
      <c r="F800" s="24"/>
      <c r="G800" s="21">
        <f t="shared" si="430"/>
        <v>107</v>
      </c>
      <c r="H800" s="272">
        <f t="shared" si="430"/>
        <v>106.9</v>
      </c>
      <c r="I800" s="272">
        <f t="shared" si="430"/>
        <v>106.9</v>
      </c>
      <c r="L800" s="117"/>
    </row>
    <row r="801" spans="1:12" ht="15.75">
      <c r="A801" s="25" t="s">
        <v>247</v>
      </c>
      <c r="B801" s="16">
        <v>908</v>
      </c>
      <c r="C801" s="20" t="s">
        <v>232</v>
      </c>
      <c r="D801" s="20" t="s">
        <v>236</v>
      </c>
      <c r="E801" s="20" t="s">
        <v>927</v>
      </c>
      <c r="F801" s="20"/>
      <c r="G801" s="26">
        <f t="shared" si="430"/>
        <v>107</v>
      </c>
      <c r="H801" s="261">
        <f t="shared" si="430"/>
        <v>106.9</v>
      </c>
      <c r="I801" s="261">
        <f t="shared" si="430"/>
        <v>106.9</v>
      </c>
      <c r="L801" s="117"/>
    </row>
    <row r="802" spans="1:12" ht="31.5">
      <c r="A802" s="25" t="s">
        <v>148</v>
      </c>
      <c r="B802" s="16">
        <v>908</v>
      </c>
      <c r="C802" s="20" t="s">
        <v>232</v>
      </c>
      <c r="D802" s="20" t="s">
        <v>236</v>
      </c>
      <c r="E802" s="20" t="s">
        <v>927</v>
      </c>
      <c r="F802" s="20" t="s">
        <v>149</v>
      </c>
      <c r="G802" s="26">
        <f t="shared" si="430"/>
        <v>107</v>
      </c>
      <c r="H802" s="261">
        <f t="shared" si="430"/>
        <v>106.9</v>
      </c>
      <c r="I802" s="261">
        <f t="shared" si="430"/>
        <v>106.9</v>
      </c>
      <c r="L802" s="117"/>
    </row>
    <row r="803" spans="1:12" ht="31.5">
      <c r="A803" s="25" t="s">
        <v>150</v>
      </c>
      <c r="B803" s="16">
        <v>908</v>
      </c>
      <c r="C803" s="20" t="s">
        <v>232</v>
      </c>
      <c r="D803" s="20" t="s">
        <v>236</v>
      </c>
      <c r="E803" s="20" t="s">
        <v>927</v>
      </c>
      <c r="F803" s="20" t="s">
        <v>151</v>
      </c>
      <c r="G803" s="26">
        <v>107</v>
      </c>
      <c r="H803" s="261">
        <v>106.9</v>
      </c>
      <c r="I803" s="261">
        <v>106.9</v>
      </c>
      <c r="J803" s="273"/>
      <c r="L803" s="117"/>
    </row>
    <row r="804" spans="1:12" ht="15.75">
      <c r="A804" s="23" t="s">
        <v>249</v>
      </c>
      <c r="B804" s="19">
        <v>908</v>
      </c>
      <c r="C804" s="24" t="s">
        <v>167</v>
      </c>
      <c r="D804" s="24"/>
      <c r="E804" s="24"/>
      <c r="F804" s="24"/>
      <c r="G804" s="21">
        <f>G805+G811</f>
        <v>7820.3</v>
      </c>
      <c r="H804" s="272">
        <f aca="true" t="shared" si="431" ref="H804:I804">H805+H811</f>
        <v>8024.900000000001</v>
      </c>
      <c r="I804" s="272">
        <f t="shared" si="431"/>
        <v>8024.900000000001</v>
      </c>
      <c r="L804" s="117"/>
    </row>
    <row r="805" spans="1:12" ht="15.75">
      <c r="A805" s="23" t="s">
        <v>522</v>
      </c>
      <c r="B805" s="19">
        <v>908</v>
      </c>
      <c r="C805" s="24" t="s">
        <v>167</v>
      </c>
      <c r="D805" s="24" t="s">
        <v>316</v>
      </c>
      <c r="E805" s="24"/>
      <c r="F805" s="24"/>
      <c r="G805" s="21">
        <f>G806</f>
        <v>3258</v>
      </c>
      <c r="H805" s="272">
        <f aca="true" t="shared" si="432" ref="H805:I809">H806</f>
        <v>3258.3</v>
      </c>
      <c r="I805" s="272">
        <f t="shared" si="432"/>
        <v>3258.3</v>
      </c>
      <c r="L805" s="117"/>
    </row>
    <row r="806" spans="1:12" ht="15.75">
      <c r="A806" s="23" t="s">
        <v>158</v>
      </c>
      <c r="B806" s="19">
        <v>908</v>
      </c>
      <c r="C806" s="24" t="s">
        <v>167</v>
      </c>
      <c r="D806" s="24" t="s">
        <v>316</v>
      </c>
      <c r="E806" s="24" t="s">
        <v>917</v>
      </c>
      <c r="F806" s="24"/>
      <c r="G806" s="21">
        <f>G807</f>
        <v>3258</v>
      </c>
      <c r="H806" s="272">
        <f t="shared" si="432"/>
        <v>3258.3</v>
      </c>
      <c r="I806" s="272">
        <f t="shared" si="432"/>
        <v>3258.3</v>
      </c>
      <c r="L806" s="117"/>
    </row>
    <row r="807" spans="1:12" ht="31.5">
      <c r="A807" s="23" t="s">
        <v>921</v>
      </c>
      <c r="B807" s="19">
        <v>908</v>
      </c>
      <c r="C807" s="24" t="s">
        <v>167</v>
      </c>
      <c r="D807" s="24" t="s">
        <v>316</v>
      </c>
      <c r="E807" s="24" t="s">
        <v>916</v>
      </c>
      <c r="F807" s="24"/>
      <c r="G807" s="21">
        <f>G808</f>
        <v>3258</v>
      </c>
      <c r="H807" s="272">
        <f t="shared" si="432"/>
        <v>3258.3</v>
      </c>
      <c r="I807" s="272">
        <f t="shared" si="432"/>
        <v>3258.3</v>
      </c>
      <c r="L807" s="117"/>
    </row>
    <row r="808" spans="1:12" ht="18" customHeight="1">
      <c r="A808" s="25" t="s">
        <v>523</v>
      </c>
      <c r="B808" s="16">
        <v>908</v>
      </c>
      <c r="C808" s="20" t="s">
        <v>167</v>
      </c>
      <c r="D808" s="20" t="s">
        <v>316</v>
      </c>
      <c r="E808" s="20" t="s">
        <v>1101</v>
      </c>
      <c r="F808" s="20"/>
      <c r="G808" s="26">
        <f>G809</f>
        <v>3258</v>
      </c>
      <c r="H808" s="261">
        <f t="shared" si="432"/>
        <v>3258.3</v>
      </c>
      <c r="I808" s="261">
        <f t="shared" si="432"/>
        <v>3258.3</v>
      </c>
      <c r="L808" s="117"/>
    </row>
    <row r="809" spans="1:12" ht="31.5">
      <c r="A809" s="25" t="s">
        <v>148</v>
      </c>
      <c r="B809" s="16">
        <v>908</v>
      </c>
      <c r="C809" s="20" t="s">
        <v>167</v>
      </c>
      <c r="D809" s="20" t="s">
        <v>316</v>
      </c>
      <c r="E809" s="20" t="s">
        <v>1101</v>
      </c>
      <c r="F809" s="20" t="s">
        <v>149</v>
      </c>
      <c r="G809" s="26">
        <f>G810</f>
        <v>3258</v>
      </c>
      <c r="H809" s="261">
        <f t="shared" si="432"/>
        <v>3258.3</v>
      </c>
      <c r="I809" s="261">
        <f t="shared" si="432"/>
        <v>3258.3</v>
      </c>
      <c r="L809" s="117"/>
    </row>
    <row r="810" spans="1:12" ht="31.5">
      <c r="A810" s="25" t="s">
        <v>150</v>
      </c>
      <c r="B810" s="16">
        <v>908</v>
      </c>
      <c r="C810" s="20" t="s">
        <v>167</v>
      </c>
      <c r="D810" s="20" t="s">
        <v>316</v>
      </c>
      <c r="E810" s="20" t="s">
        <v>1101</v>
      </c>
      <c r="F810" s="20" t="s">
        <v>151</v>
      </c>
      <c r="G810" s="26">
        <v>3258</v>
      </c>
      <c r="H810" s="261">
        <f aca="true" t="shared" si="433" ref="H810:I810">3258.3</f>
        <v>3258.3</v>
      </c>
      <c r="I810" s="261">
        <f t="shared" si="433"/>
        <v>3258.3</v>
      </c>
      <c r="L810" s="117"/>
    </row>
    <row r="811" spans="1:12" ht="15.75">
      <c r="A811" s="23" t="s">
        <v>525</v>
      </c>
      <c r="B811" s="19">
        <v>908</v>
      </c>
      <c r="C811" s="24" t="s">
        <v>167</v>
      </c>
      <c r="D811" s="24" t="s">
        <v>236</v>
      </c>
      <c r="E811" s="20"/>
      <c r="F811" s="24"/>
      <c r="G811" s="21">
        <f>G812</f>
        <v>4562.3</v>
      </c>
      <c r="H811" s="272">
        <f aca="true" t="shared" si="434" ref="H811:I811">H812</f>
        <v>4766.6</v>
      </c>
      <c r="I811" s="272">
        <f t="shared" si="434"/>
        <v>4766.6</v>
      </c>
      <c r="L811" s="117"/>
    </row>
    <row r="812" spans="1:12" ht="47.25">
      <c r="A812" s="35" t="s">
        <v>1190</v>
      </c>
      <c r="B812" s="19">
        <v>908</v>
      </c>
      <c r="C812" s="24" t="s">
        <v>167</v>
      </c>
      <c r="D812" s="24" t="s">
        <v>236</v>
      </c>
      <c r="E812" s="24" t="s">
        <v>527</v>
      </c>
      <c r="F812" s="24"/>
      <c r="G812" s="21">
        <f>G818+G813</f>
        <v>4562.3</v>
      </c>
      <c r="H812" s="272">
        <f aca="true" t="shared" si="435" ref="H812:I812">H818+H813</f>
        <v>4766.6</v>
      </c>
      <c r="I812" s="272">
        <f t="shared" si="435"/>
        <v>4766.6</v>
      </c>
      <c r="J812" s="228" t="s">
        <v>1189</v>
      </c>
      <c r="L812" s="117"/>
    </row>
    <row r="813" spans="1:12" s="253" customFormat="1" ht="31.5" hidden="1">
      <c r="A813" s="35" t="s">
        <v>1159</v>
      </c>
      <c r="B813" s="19">
        <v>908</v>
      </c>
      <c r="C813" s="24" t="s">
        <v>167</v>
      </c>
      <c r="D813" s="24" t="s">
        <v>236</v>
      </c>
      <c r="E813" s="7" t="s">
        <v>1102</v>
      </c>
      <c r="F813" s="24"/>
      <c r="G813" s="21">
        <f>G814</f>
        <v>0</v>
      </c>
      <c r="H813" s="272">
        <f aca="true" t="shared" si="436" ref="H813:I815">H814</f>
        <v>0</v>
      </c>
      <c r="I813" s="272">
        <f t="shared" si="436"/>
        <v>0</v>
      </c>
      <c r="J813" s="228"/>
      <c r="K813" s="117"/>
      <c r="L813" s="117"/>
    </row>
    <row r="814" spans="1:12" s="253" customFormat="1" ht="15.75" hidden="1">
      <c r="A814" s="30" t="s">
        <v>1161</v>
      </c>
      <c r="B814" s="16">
        <v>908</v>
      </c>
      <c r="C814" s="20" t="s">
        <v>167</v>
      </c>
      <c r="D814" s="20" t="s">
        <v>236</v>
      </c>
      <c r="E814" s="41" t="s">
        <v>1160</v>
      </c>
      <c r="F814" s="20"/>
      <c r="G814" s="26">
        <f>G815</f>
        <v>0</v>
      </c>
      <c r="H814" s="26">
        <f t="shared" si="436"/>
        <v>0</v>
      </c>
      <c r="I814" s="26">
        <f t="shared" si="436"/>
        <v>0</v>
      </c>
      <c r="J814" s="228"/>
      <c r="K814" s="117"/>
      <c r="L814" s="117"/>
    </row>
    <row r="815" spans="1:12" s="253" customFormat="1" ht="31.5" hidden="1">
      <c r="A815" s="25" t="s">
        <v>148</v>
      </c>
      <c r="B815" s="16">
        <v>908</v>
      </c>
      <c r="C815" s="20" t="s">
        <v>167</v>
      </c>
      <c r="D815" s="20" t="s">
        <v>236</v>
      </c>
      <c r="E815" s="41" t="s">
        <v>1160</v>
      </c>
      <c r="F815" s="20" t="s">
        <v>149</v>
      </c>
      <c r="G815" s="26">
        <f>G816</f>
        <v>0</v>
      </c>
      <c r="H815" s="26">
        <f t="shared" si="436"/>
        <v>0</v>
      </c>
      <c r="I815" s="26">
        <f t="shared" si="436"/>
        <v>0</v>
      </c>
      <c r="J815" s="228"/>
      <c r="K815" s="117"/>
      <c r="L815" s="117"/>
    </row>
    <row r="816" spans="1:12" s="253" customFormat="1" ht="31.5" hidden="1">
      <c r="A816" s="25" t="s">
        <v>150</v>
      </c>
      <c r="B816" s="16">
        <v>908</v>
      </c>
      <c r="C816" s="20" t="s">
        <v>167</v>
      </c>
      <c r="D816" s="20" t="s">
        <v>236</v>
      </c>
      <c r="E816" s="41" t="s">
        <v>1160</v>
      </c>
      <c r="F816" s="20" t="s">
        <v>151</v>
      </c>
      <c r="G816" s="26">
        <v>0</v>
      </c>
      <c r="H816" s="26">
        <v>0</v>
      </c>
      <c r="I816" s="26">
        <v>0</v>
      </c>
      <c r="J816" s="228"/>
      <c r="K816" s="117"/>
      <c r="L816" s="117"/>
    </row>
    <row r="817" spans="1:12" s="253" customFormat="1" ht="31.5">
      <c r="A817" s="35" t="s">
        <v>1254</v>
      </c>
      <c r="B817" s="19">
        <v>908</v>
      </c>
      <c r="C817" s="24" t="s">
        <v>167</v>
      </c>
      <c r="D817" s="24" t="s">
        <v>236</v>
      </c>
      <c r="E817" s="24" t="s">
        <v>1103</v>
      </c>
      <c r="F817" s="24"/>
      <c r="G817" s="21">
        <f>G818</f>
        <v>4562.3</v>
      </c>
      <c r="H817" s="272">
        <f aca="true" t="shared" si="437" ref="H817:I817">H818</f>
        <v>4766.6</v>
      </c>
      <c r="I817" s="272">
        <f t="shared" si="437"/>
        <v>4766.6</v>
      </c>
      <c r="J817" s="228"/>
      <c r="K817" s="117"/>
      <c r="L817" s="117"/>
    </row>
    <row r="818" spans="1:12" ht="15.75">
      <c r="A818" s="30" t="s">
        <v>528</v>
      </c>
      <c r="B818" s="16">
        <v>908</v>
      </c>
      <c r="C818" s="20" t="s">
        <v>167</v>
      </c>
      <c r="D818" s="20" t="s">
        <v>236</v>
      </c>
      <c r="E818" s="41" t="s">
        <v>1162</v>
      </c>
      <c r="F818" s="20"/>
      <c r="G818" s="26">
        <f>G819+G821</f>
        <v>4562.3</v>
      </c>
      <c r="H818" s="261">
        <f aca="true" t="shared" si="438" ref="H818:I818">H819+H821</f>
        <v>4766.6</v>
      </c>
      <c r="I818" s="261">
        <f t="shared" si="438"/>
        <v>4766.6</v>
      </c>
      <c r="L818" s="117"/>
    </row>
    <row r="819" spans="1:12" ht="31.5">
      <c r="A819" s="25" t="s">
        <v>148</v>
      </c>
      <c r="B819" s="16">
        <v>908</v>
      </c>
      <c r="C819" s="20" t="s">
        <v>167</v>
      </c>
      <c r="D819" s="20" t="s">
        <v>236</v>
      </c>
      <c r="E819" s="41" t="s">
        <v>1162</v>
      </c>
      <c r="F819" s="20" t="s">
        <v>149</v>
      </c>
      <c r="G819" s="26">
        <f>G820</f>
        <v>4562.3</v>
      </c>
      <c r="H819" s="261">
        <f aca="true" t="shared" si="439" ref="H819:I819">H820</f>
        <v>4740.5</v>
      </c>
      <c r="I819" s="261">
        <f t="shared" si="439"/>
        <v>4740.5</v>
      </c>
      <c r="L819" s="117"/>
    </row>
    <row r="820" spans="1:12" ht="31.5">
      <c r="A820" s="25" t="s">
        <v>150</v>
      </c>
      <c r="B820" s="16">
        <v>908</v>
      </c>
      <c r="C820" s="20" t="s">
        <v>167</v>
      </c>
      <c r="D820" s="20" t="s">
        <v>236</v>
      </c>
      <c r="E820" s="41" t="s">
        <v>1162</v>
      </c>
      <c r="F820" s="20" t="s">
        <v>151</v>
      </c>
      <c r="G820" s="26">
        <v>4562.3</v>
      </c>
      <c r="H820" s="261">
        <v>4740.5</v>
      </c>
      <c r="I820" s="261">
        <v>4740.5</v>
      </c>
      <c r="J820" s="273"/>
      <c r="K820" s="306"/>
      <c r="L820" s="117"/>
    </row>
    <row r="821" spans="1:12" ht="15.75">
      <c r="A821" s="25" t="s">
        <v>152</v>
      </c>
      <c r="B821" s="16">
        <v>908</v>
      </c>
      <c r="C821" s="20" t="s">
        <v>167</v>
      </c>
      <c r="D821" s="20" t="s">
        <v>236</v>
      </c>
      <c r="E821" s="41" t="s">
        <v>1162</v>
      </c>
      <c r="F821" s="20" t="s">
        <v>162</v>
      </c>
      <c r="G821" s="26">
        <f>G822</f>
        <v>0</v>
      </c>
      <c r="H821" s="261">
        <f aca="true" t="shared" si="440" ref="H821:I821">H822</f>
        <v>26.1</v>
      </c>
      <c r="I821" s="261">
        <f t="shared" si="440"/>
        <v>26.1</v>
      </c>
      <c r="L821" s="117"/>
    </row>
    <row r="822" spans="1:12" ht="15.75">
      <c r="A822" s="25" t="s">
        <v>585</v>
      </c>
      <c r="B822" s="16">
        <v>908</v>
      </c>
      <c r="C822" s="20" t="s">
        <v>167</v>
      </c>
      <c r="D822" s="20" t="s">
        <v>236</v>
      </c>
      <c r="E822" s="41" t="s">
        <v>1162</v>
      </c>
      <c r="F822" s="20" t="s">
        <v>155</v>
      </c>
      <c r="G822" s="26">
        <v>0</v>
      </c>
      <c r="H822" s="261">
        <f aca="true" t="shared" si="441" ref="H822:I822">16+10.1</f>
        <v>26.1</v>
      </c>
      <c r="I822" s="261">
        <f t="shared" si="441"/>
        <v>26.1</v>
      </c>
      <c r="J822" s="273"/>
      <c r="L822" s="117"/>
    </row>
    <row r="823" spans="1:12" ht="15.75">
      <c r="A823" s="23" t="s">
        <v>407</v>
      </c>
      <c r="B823" s="19">
        <v>908</v>
      </c>
      <c r="C823" s="24" t="s">
        <v>251</v>
      </c>
      <c r="D823" s="24"/>
      <c r="E823" s="24"/>
      <c r="F823" s="24"/>
      <c r="G823" s="21">
        <f>G824+G838+G897+G946</f>
        <v>38613.296</v>
      </c>
      <c r="H823" s="272">
        <f>H824+H838+H897+H946</f>
        <v>169607.44999999998</v>
      </c>
      <c r="I823" s="272">
        <f>I824+I838+I897+I946</f>
        <v>169607.44999999998</v>
      </c>
      <c r="L823" s="117"/>
    </row>
    <row r="824" spans="1:12" ht="15.75">
      <c r="A824" s="23" t="s">
        <v>408</v>
      </c>
      <c r="B824" s="19">
        <v>908</v>
      </c>
      <c r="C824" s="24" t="s">
        <v>251</v>
      </c>
      <c r="D824" s="24" t="s">
        <v>135</v>
      </c>
      <c r="E824" s="24"/>
      <c r="F824" s="24"/>
      <c r="G824" s="21">
        <f>G825</f>
        <v>5160</v>
      </c>
      <c r="H824" s="272">
        <f aca="true" t="shared" si="442" ref="H824:I825">H825</f>
        <v>26909.4</v>
      </c>
      <c r="I824" s="272">
        <f t="shared" si="442"/>
        <v>26909.4</v>
      </c>
      <c r="L824" s="117"/>
    </row>
    <row r="825" spans="1:12" ht="15.75">
      <c r="A825" s="23" t="s">
        <v>158</v>
      </c>
      <c r="B825" s="19">
        <v>908</v>
      </c>
      <c r="C825" s="24" t="s">
        <v>251</v>
      </c>
      <c r="D825" s="24" t="s">
        <v>135</v>
      </c>
      <c r="E825" s="24" t="s">
        <v>917</v>
      </c>
      <c r="F825" s="24"/>
      <c r="G825" s="21">
        <f>G826</f>
        <v>5160</v>
      </c>
      <c r="H825" s="272">
        <f t="shared" si="442"/>
        <v>26909.4</v>
      </c>
      <c r="I825" s="272">
        <f t="shared" si="442"/>
        <v>26909.4</v>
      </c>
      <c r="L825" s="117"/>
    </row>
    <row r="826" spans="1:12" ht="31.5">
      <c r="A826" s="23" t="s">
        <v>921</v>
      </c>
      <c r="B826" s="19">
        <v>908</v>
      </c>
      <c r="C826" s="24" t="s">
        <v>251</v>
      </c>
      <c r="D826" s="24" t="s">
        <v>135</v>
      </c>
      <c r="E826" s="24" t="s">
        <v>916</v>
      </c>
      <c r="F826" s="24"/>
      <c r="G826" s="21">
        <f>G835+G832+G827</f>
        <v>5160</v>
      </c>
      <c r="H826" s="272">
        <f aca="true" t="shared" si="443" ref="H826:I826">H835+H832+H827</f>
        <v>26909.4</v>
      </c>
      <c r="I826" s="272">
        <f t="shared" si="443"/>
        <v>26909.4</v>
      </c>
      <c r="L826" s="117"/>
    </row>
    <row r="827" spans="1:12" ht="15.75" hidden="1">
      <c r="A827" s="25" t="s">
        <v>532</v>
      </c>
      <c r="B827" s="16">
        <v>908</v>
      </c>
      <c r="C827" s="20" t="s">
        <v>799</v>
      </c>
      <c r="D827" s="20" t="s">
        <v>135</v>
      </c>
      <c r="E827" s="20" t="s">
        <v>1104</v>
      </c>
      <c r="F827" s="24"/>
      <c r="G827" s="26">
        <f>G830+G828</f>
        <v>0</v>
      </c>
      <c r="H827" s="261">
        <f aca="true" t="shared" si="444" ref="H827:I827">H830+H828</f>
        <v>21756.5</v>
      </c>
      <c r="I827" s="261">
        <f t="shared" si="444"/>
        <v>21756.5</v>
      </c>
      <c r="L827" s="117"/>
    </row>
    <row r="828" spans="1:12" s="253" customFormat="1" ht="31.5" hidden="1">
      <c r="A828" s="25" t="s">
        <v>148</v>
      </c>
      <c r="B828" s="16">
        <v>908</v>
      </c>
      <c r="C828" s="20" t="s">
        <v>251</v>
      </c>
      <c r="D828" s="20" t="s">
        <v>135</v>
      </c>
      <c r="E828" s="20" t="s">
        <v>1104</v>
      </c>
      <c r="F828" s="20" t="s">
        <v>149</v>
      </c>
      <c r="G828" s="26">
        <f>G829</f>
        <v>0</v>
      </c>
      <c r="H828" s="261">
        <f aca="true" t="shared" si="445" ref="H828:I828">H829</f>
        <v>20230.9</v>
      </c>
      <c r="I828" s="261">
        <f t="shared" si="445"/>
        <v>20230.9</v>
      </c>
      <c r="J828" s="228"/>
      <c r="K828" s="117"/>
      <c r="L828" s="117"/>
    </row>
    <row r="829" spans="1:12" s="253" customFormat="1" ht="31.5" hidden="1">
      <c r="A829" s="25" t="s">
        <v>150</v>
      </c>
      <c r="B829" s="16">
        <v>908</v>
      </c>
      <c r="C829" s="20" t="s">
        <v>251</v>
      </c>
      <c r="D829" s="20" t="s">
        <v>135</v>
      </c>
      <c r="E829" s="20" t="s">
        <v>1104</v>
      </c>
      <c r="F829" s="20" t="s">
        <v>151</v>
      </c>
      <c r="G829" s="26">
        <v>0</v>
      </c>
      <c r="H829" s="261">
        <f aca="true" t="shared" si="446" ref="H829:I829">10000+10230.9</f>
        <v>20230.9</v>
      </c>
      <c r="I829" s="261">
        <f t="shared" si="446"/>
        <v>20230.9</v>
      </c>
      <c r="J829" s="117"/>
      <c r="K829" s="117"/>
      <c r="L829" s="117"/>
    </row>
    <row r="830" spans="1:12" ht="15.75" hidden="1">
      <c r="A830" s="25" t="s">
        <v>152</v>
      </c>
      <c r="B830" s="16">
        <v>908</v>
      </c>
      <c r="C830" s="20" t="s">
        <v>251</v>
      </c>
      <c r="D830" s="20" t="s">
        <v>135</v>
      </c>
      <c r="E830" s="20" t="s">
        <v>1104</v>
      </c>
      <c r="F830" s="20" t="s">
        <v>162</v>
      </c>
      <c r="G830" s="26">
        <f>G831</f>
        <v>0</v>
      </c>
      <c r="H830" s="261">
        <f aca="true" t="shared" si="447" ref="H830:I830">H831</f>
        <v>1525.6</v>
      </c>
      <c r="I830" s="261">
        <f t="shared" si="447"/>
        <v>1525.6</v>
      </c>
      <c r="L830" s="117"/>
    </row>
    <row r="831" spans="1:12" ht="48.75" customHeight="1" hidden="1">
      <c r="A831" s="25" t="s">
        <v>201</v>
      </c>
      <c r="B831" s="16">
        <v>908</v>
      </c>
      <c r="C831" s="20" t="s">
        <v>251</v>
      </c>
      <c r="D831" s="20" t="s">
        <v>135</v>
      </c>
      <c r="E831" s="20" t="s">
        <v>1104</v>
      </c>
      <c r="F831" s="20" t="s">
        <v>177</v>
      </c>
      <c r="G831" s="26">
        <v>0</v>
      </c>
      <c r="H831" s="261">
        <f aca="true" t="shared" si="448" ref="H831:I831">1525.6</f>
        <v>1525.6</v>
      </c>
      <c r="I831" s="261">
        <f t="shared" si="448"/>
        <v>1525.6</v>
      </c>
      <c r="L831" s="117"/>
    </row>
    <row r="832" spans="1:12" ht="31.5">
      <c r="A832" s="30" t="s">
        <v>415</v>
      </c>
      <c r="B832" s="16">
        <v>908</v>
      </c>
      <c r="C832" s="20" t="s">
        <v>251</v>
      </c>
      <c r="D832" s="20" t="s">
        <v>135</v>
      </c>
      <c r="E832" s="20" t="s">
        <v>1105</v>
      </c>
      <c r="F832" s="24"/>
      <c r="G832" s="26">
        <f>G833</f>
        <v>4020</v>
      </c>
      <c r="H832" s="261">
        <f aca="true" t="shared" si="449" ref="H832:I833">H833</f>
        <v>4017.6</v>
      </c>
      <c r="I832" s="261">
        <f t="shared" si="449"/>
        <v>4017.6</v>
      </c>
      <c r="L832" s="117"/>
    </row>
    <row r="833" spans="1:12" ht="31.5">
      <c r="A833" s="25" t="s">
        <v>148</v>
      </c>
      <c r="B833" s="16">
        <v>908</v>
      </c>
      <c r="C833" s="20" t="s">
        <v>251</v>
      </c>
      <c r="D833" s="20" t="s">
        <v>135</v>
      </c>
      <c r="E833" s="20" t="s">
        <v>1105</v>
      </c>
      <c r="F833" s="20" t="s">
        <v>149</v>
      </c>
      <c r="G833" s="26">
        <f>G834</f>
        <v>4020</v>
      </c>
      <c r="H833" s="261">
        <f t="shared" si="449"/>
        <v>4017.6</v>
      </c>
      <c r="I833" s="261">
        <f t="shared" si="449"/>
        <v>4017.6</v>
      </c>
      <c r="L833" s="117"/>
    </row>
    <row r="834" spans="1:14" ht="33" customHeight="1">
      <c r="A834" s="25" t="s">
        <v>150</v>
      </c>
      <c r="B834" s="16">
        <v>908</v>
      </c>
      <c r="C834" s="20" t="s">
        <v>251</v>
      </c>
      <c r="D834" s="20" t="s">
        <v>135</v>
      </c>
      <c r="E834" s="20" t="s">
        <v>1105</v>
      </c>
      <c r="F834" s="20" t="s">
        <v>151</v>
      </c>
      <c r="G834" s="27">
        <v>4020</v>
      </c>
      <c r="H834" s="262">
        <f aca="true" t="shared" si="450" ref="H834:I834">4017.6</f>
        <v>4017.6</v>
      </c>
      <c r="I834" s="262">
        <f t="shared" si="450"/>
        <v>4017.6</v>
      </c>
      <c r="L834" s="117"/>
      <c r="M834" s="124"/>
      <c r="N834" s="124"/>
    </row>
    <row r="835" spans="1:12" ht="31.5">
      <c r="A835" s="30" t="s">
        <v>1012</v>
      </c>
      <c r="B835" s="16">
        <v>908</v>
      </c>
      <c r="C835" s="20" t="s">
        <v>251</v>
      </c>
      <c r="D835" s="20" t="s">
        <v>135</v>
      </c>
      <c r="E835" s="20" t="s">
        <v>1106</v>
      </c>
      <c r="F835" s="24"/>
      <c r="G835" s="26">
        <f>G836</f>
        <v>1140</v>
      </c>
      <c r="H835" s="261">
        <f aca="true" t="shared" si="451" ref="H835:I836">H836</f>
        <v>1135.3</v>
      </c>
      <c r="I835" s="261">
        <f t="shared" si="451"/>
        <v>1135.3</v>
      </c>
      <c r="L835" s="117"/>
    </row>
    <row r="836" spans="1:12" ht="31.5">
      <c r="A836" s="25" t="s">
        <v>148</v>
      </c>
      <c r="B836" s="16">
        <v>908</v>
      </c>
      <c r="C836" s="20" t="s">
        <v>251</v>
      </c>
      <c r="D836" s="20" t="s">
        <v>135</v>
      </c>
      <c r="E836" s="20" t="s">
        <v>1106</v>
      </c>
      <c r="F836" s="20" t="s">
        <v>149</v>
      </c>
      <c r="G836" s="26">
        <f>G837</f>
        <v>1140</v>
      </c>
      <c r="H836" s="261">
        <f t="shared" si="451"/>
        <v>1135.3</v>
      </c>
      <c r="I836" s="261">
        <f t="shared" si="451"/>
        <v>1135.3</v>
      </c>
      <c r="L836" s="117"/>
    </row>
    <row r="837" spans="1:12" ht="33" customHeight="1">
      <c r="A837" s="25" t="s">
        <v>150</v>
      </c>
      <c r="B837" s="16">
        <v>908</v>
      </c>
      <c r="C837" s="20" t="s">
        <v>251</v>
      </c>
      <c r="D837" s="20" t="s">
        <v>135</v>
      </c>
      <c r="E837" s="20" t="s">
        <v>1106</v>
      </c>
      <c r="F837" s="20" t="s">
        <v>151</v>
      </c>
      <c r="G837" s="26">
        <v>1140</v>
      </c>
      <c r="H837" s="26">
        <f aca="true" t="shared" si="452" ref="H837:I837">1191.6-15-41.3</f>
        <v>1135.3</v>
      </c>
      <c r="I837" s="26">
        <f t="shared" si="452"/>
        <v>1135.3</v>
      </c>
      <c r="L837" s="117"/>
    </row>
    <row r="838" spans="1:12" ht="15.75">
      <c r="A838" s="23" t="s">
        <v>534</v>
      </c>
      <c r="B838" s="19">
        <v>908</v>
      </c>
      <c r="C838" s="24" t="s">
        <v>251</v>
      </c>
      <c r="D838" s="24" t="s">
        <v>230</v>
      </c>
      <c r="E838" s="24"/>
      <c r="F838" s="24"/>
      <c r="G838" s="21">
        <f>G839+G868</f>
        <v>5000</v>
      </c>
      <c r="H838" s="272">
        <f aca="true" t="shared" si="453" ref="H838:I838">H839+H868</f>
        <v>105884.63</v>
      </c>
      <c r="I838" s="272">
        <f t="shared" si="453"/>
        <v>105884.63</v>
      </c>
      <c r="L838" s="117"/>
    </row>
    <row r="839" spans="1:12" s="253" customFormat="1" ht="15.75">
      <c r="A839" s="23" t="s">
        <v>158</v>
      </c>
      <c r="B839" s="19">
        <v>908</v>
      </c>
      <c r="C839" s="24" t="s">
        <v>251</v>
      </c>
      <c r="D839" s="24" t="s">
        <v>230</v>
      </c>
      <c r="E839" s="24" t="s">
        <v>917</v>
      </c>
      <c r="F839" s="24"/>
      <c r="G839" s="21">
        <f>G840+G851</f>
        <v>5000</v>
      </c>
      <c r="H839" s="272">
        <f aca="true" t="shared" si="454" ref="H839:I839">H840+H851</f>
        <v>96944.63</v>
      </c>
      <c r="I839" s="272">
        <f t="shared" si="454"/>
        <v>96944.63</v>
      </c>
      <c r="J839" s="228"/>
      <c r="K839" s="117"/>
      <c r="L839" s="117"/>
    </row>
    <row r="840" spans="1:12" s="253" customFormat="1" ht="31.5">
      <c r="A840" s="23" t="s">
        <v>921</v>
      </c>
      <c r="B840" s="19">
        <v>908</v>
      </c>
      <c r="C840" s="24" t="s">
        <v>251</v>
      </c>
      <c r="D840" s="24" t="s">
        <v>230</v>
      </c>
      <c r="E840" s="24" t="s">
        <v>916</v>
      </c>
      <c r="F840" s="24"/>
      <c r="G840" s="21">
        <f>G841+G846</f>
        <v>5000</v>
      </c>
      <c r="H840" s="272">
        <f aca="true" t="shared" si="455" ref="H840:I840">H841+H846</f>
        <v>23180.9</v>
      </c>
      <c r="I840" s="272">
        <f t="shared" si="455"/>
        <v>23180.9</v>
      </c>
      <c r="J840" s="228"/>
      <c r="K840" s="117"/>
      <c r="L840" s="117"/>
    </row>
    <row r="841" spans="1:12" s="253" customFormat="1" ht="15.75" hidden="1">
      <c r="A841" s="36" t="s">
        <v>554</v>
      </c>
      <c r="B841" s="16">
        <v>908</v>
      </c>
      <c r="C841" s="20" t="s">
        <v>251</v>
      </c>
      <c r="D841" s="20" t="s">
        <v>230</v>
      </c>
      <c r="E841" s="20" t="s">
        <v>1123</v>
      </c>
      <c r="F841" s="20"/>
      <c r="G841" s="26">
        <f>G842+G844</f>
        <v>0</v>
      </c>
      <c r="H841" s="261">
        <f aca="true" t="shared" si="456" ref="H841:I841">H842+H844</f>
        <v>15322.9</v>
      </c>
      <c r="I841" s="261">
        <f t="shared" si="456"/>
        <v>15322.9</v>
      </c>
      <c r="J841" s="228"/>
      <c r="K841" s="117"/>
      <c r="L841" s="117"/>
    </row>
    <row r="842" spans="1:12" s="253" customFormat="1" ht="31.5" hidden="1">
      <c r="A842" s="25" t="s">
        <v>148</v>
      </c>
      <c r="B842" s="16">
        <v>908</v>
      </c>
      <c r="C842" s="20" t="s">
        <v>251</v>
      </c>
      <c r="D842" s="20" t="s">
        <v>230</v>
      </c>
      <c r="E842" s="20" t="s">
        <v>1123</v>
      </c>
      <c r="F842" s="20" t="s">
        <v>149</v>
      </c>
      <c r="G842" s="26">
        <f>G843</f>
        <v>0</v>
      </c>
      <c r="H842" s="261">
        <f aca="true" t="shared" si="457" ref="H842:I842">H843</f>
        <v>322.9</v>
      </c>
      <c r="I842" s="261">
        <f t="shared" si="457"/>
        <v>322.9</v>
      </c>
      <c r="J842" s="228"/>
      <c r="K842" s="117"/>
      <c r="L842" s="117"/>
    </row>
    <row r="843" spans="1:12" s="253" customFormat="1" ht="31.5" hidden="1">
      <c r="A843" s="25" t="s">
        <v>150</v>
      </c>
      <c r="B843" s="16">
        <v>908</v>
      </c>
      <c r="C843" s="20" t="s">
        <v>251</v>
      </c>
      <c r="D843" s="20" t="s">
        <v>230</v>
      </c>
      <c r="E843" s="20" t="s">
        <v>1123</v>
      </c>
      <c r="F843" s="20" t="s">
        <v>151</v>
      </c>
      <c r="G843" s="304">
        <v>0</v>
      </c>
      <c r="H843" s="304">
        <v>322.9</v>
      </c>
      <c r="I843" s="304">
        <v>322.9</v>
      </c>
      <c r="J843" s="228"/>
      <c r="K843" s="117"/>
      <c r="L843" s="117"/>
    </row>
    <row r="844" spans="1:12" s="253" customFormat="1" ht="15.75" hidden="1">
      <c r="A844" s="25" t="s">
        <v>152</v>
      </c>
      <c r="B844" s="16">
        <v>908</v>
      </c>
      <c r="C844" s="20" t="s">
        <v>251</v>
      </c>
      <c r="D844" s="20" t="s">
        <v>230</v>
      </c>
      <c r="E844" s="20" t="s">
        <v>1123</v>
      </c>
      <c r="F844" s="20" t="s">
        <v>162</v>
      </c>
      <c r="G844" s="304">
        <f>G845</f>
        <v>0</v>
      </c>
      <c r="H844" s="304">
        <f aca="true" t="shared" si="458" ref="H844:I844">H845</f>
        <v>15000</v>
      </c>
      <c r="I844" s="304">
        <f t="shared" si="458"/>
        <v>15000</v>
      </c>
      <c r="J844" s="228"/>
      <c r="K844" s="117"/>
      <c r="L844" s="117"/>
    </row>
    <row r="845" spans="1:12" s="253" customFormat="1" ht="47.25" hidden="1">
      <c r="A845" s="25" t="s">
        <v>201</v>
      </c>
      <c r="B845" s="16">
        <v>908</v>
      </c>
      <c r="C845" s="20" t="s">
        <v>251</v>
      </c>
      <c r="D845" s="20" t="s">
        <v>230</v>
      </c>
      <c r="E845" s="20" t="s">
        <v>1123</v>
      </c>
      <c r="F845" s="20" t="s">
        <v>177</v>
      </c>
      <c r="G845" s="304">
        <v>0</v>
      </c>
      <c r="H845" s="304">
        <v>15000</v>
      </c>
      <c r="I845" s="304">
        <v>15000</v>
      </c>
      <c r="J845" s="228"/>
      <c r="K845" s="117"/>
      <c r="L845" s="117"/>
    </row>
    <row r="846" spans="1:12" s="253" customFormat="1" ht="31.5">
      <c r="A846" s="30" t="s">
        <v>1012</v>
      </c>
      <c r="B846" s="16">
        <v>908</v>
      </c>
      <c r="C846" s="20" t="s">
        <v>251</v>
      </c>
      <c r="D846" s="20" t="s">
        <v>230</v>
      </c>
      <c r="E846" s="20" t="s">
        <v>1106</v>
      </c>
      <c r="F846" s="20"/>
      <c r="G846" s="26">
        <f>G849+G847</f>
        <v>5000</v>
      </c>
      <c r="H846" s="26">
        <f aca="true" t="shared" si="459" ref="H846:I846">H849+H847</f>
        <v>7858</v>
      </c>
      <c r="I846" s="26">
        <f t="shared" si="459"/>
        <v>7858</v>
      </c>
      <c r="J846" s="228"/>
      <c r="K846" s="117"/>
      <c r="L846" s="117"/>
    </row>
    <row r="847" spans="1:12" s="253" customFormat="1" ht="31.5">
      <c r="A847" s="25" t="s">
        <v>148</v>
      </c>
      <c r="B847" s="16">
        <v>908</v>
      </c>
      <c r="C847" s="20" t="s">
        <v>251</v>
      </c>
      <c r="D847" s="20" t="s">
        <v>230</v>
      </c>
      <c r="E847" s="20" t="s">
        <v>1106</v>
      </c>
      <c r="F847" s="20" t="s">
        <v>149</v>
      </c>
      <c r="G847" s="26">
        <f>G848</f>
        <v>5000</v>
      </c>
      <c r="H847" s="26">
        <f aca="true" t="shared" si="460" ref="H847:I847">H848</f>
        <v>6970.2</v>
      </c>
      <c r="I847" s="26">
        <f t="shared" si="460"/>
        <v>6970.2</v>
      </c>
      <c r="J847" s="228"/>
      <c r="K847" s="117"/>
      <c r="L847" s="117"/>
    </row>
    <row r="848" spans="1:12" s="253" customFormat="1" ht="31.5">
      <c r="A848" s="25" t="s">
        <v>150</v>
      </c>
      <c r="B848" s="16">
        <v>908</v>
      </c>
      <c r="C848" s="20" t="s">
        <v>251</v>
      </c>
      <c r="D848" s="20" t="s">
        <v>230</v>
      </c>
      <c r="E848" s="20" t="s">
        <v>1106</v>
      </c>
      <c r="F848" s="20" t="s">
        <v>151</v>
      </c>
      <c r="G848" s="26">
        <v>5000</v>
      </c>
      <c r="H848" s="26">
        <v>6970.2</v>
      </c>
      <c r="I848" s="26">
        <v>6970.2</v>
      </c>
      <c r="J848" s="228"/>
      <c r="K848" s="117"/>
      <c r="L848" s="117"/>
    </row>
    <row r="849" spans="1:12" s="253" customFormat="1" ht="15.75" hidden="1">
      <c r="A849" s="25" t="s">
        <v>152</v>
      </c>
      <c r="B849" s="16">
        <v>908</v>
      </c>
      <c r="C849" s="20" t="s">
        <v>251</v>
      </c>
      <c r="D849" s="20" t="s">
        <v>230</v>
      </c>
      <c r="E849" s="20" t="s">
        <v>1106</v>
      </c>
      <c r="F849" s="20" t="s">
        <v>162</v>
      </c>
      <c r="G849" s="26">
        <f>G850</f>
        <v>0</v>
      </c>
      <c r="H849" s="26">
        <f aca="true" t="shared" si="461" ref="H849:I849">H850</f>
        <v>887.8</v>
      </c>
      <c r="I849" s="26">
        <f t="shared" si="461"/>
        <v>887.8</v>
      </c>
      <c r="J849" s="228"/>
      <c r="K849" s="117"/>
      <c r="L849" s="117"/>
    </row>
    <row r="850" spans="1:12" ht="15.75" hidden="1">
      <c r="A850" s="25" t="s">
        <v>163</v>
      </c>
      <c r="B850" s="16">
        <v>908</v>
      </c>
      <c r="C850" s="20" t="s">
        <v>251</v>
      </c>
      <c r="D850" s="20" t="s">
        <v>230</v>
      </c>
      <c r="E850" s="20" t="s">
        <v>1106</v>
      </c>
      <c r="F850" s="20" t="s">
        <v>164</v>
      </c>
      <c r="G850" s="26">
        <v>0</v>
      </c>
      <c r="H850" s="26">
        <v>887.8</v>
      </c>
      <c r="I850" s="26">
        <v>887.8</v>
      </c>
      <c r="L850" s="122"/>
    </row>
    <row r="851" spans="1:12" s="253" customFormat="1" ht="48.75" customHeight="1" hidden="1">
      <c r="A851" s="23" t="s">
        <v>1180</v>
      </c>
      <c r="B851" s="19">
        <v>908</v>
      </c>
      <c r="C851" s="24" t="s">
        <v>251</v>
      </c>
      <c r="D851" s="24" t="s">
        <v>230</v>
      </c>
      <c r="E851" s="24" t="s">
        <v>1124</v>
      </c>
      <c r="F851" s="24"/>
      <c r="G851" s="21">
        <f>G852+G860+G857+G865</f>
        <v>0</v>
      </c>
      <c r="H851" s="272">
        <f aca="true" t="shared" si="462" ref="H851:I851">H852+H860+H857+H865</f>
        <v>73763.73000000001</v>
      </c>
      <c r="I851" s="272">
        <f t="shared" si="462"/>
        <v>73763.73000000001</v>
      </c>
      <c r="J851" s="228"/>
      <c r="K851" s="117"/>
      <c r="L851" s="117"/>
    </row>
    <row r="852" spans="1:12" s="253" customFormat="1" ht="35.25" customHeight="1" hidden="1">
      <c r="A852" s="25" t="s">
        <v>877</v>
      </c>
      <c r="B852" s="16">
        <v>908</v>
      </c>
      <c r="C852" s="20" t="s">
        <v>251</v>
      </c>
      <c r="D852" s="20" t="s">
        <v>230</v>
      </c>
      <c r="E852" s="20" t="s">
        <v>1125</v>
      </c>
      <c r="F852" s="20"/>
      <c r="G852" s="26">
        <f>G853+G855</f>
        <v>0</v>
      </c>
      <c r="H852" s="261">
        <f aca="true" t="shared" si="463" ref="H852:I852">H853+H855</f>
        <v>20500</v>
      </c>
      <c r="I852" s="261">
        <f t="shared" si="463"/>
        <v>20500</v>
      </c>
      <c r="J852" s="228"/>
      <c r="K852" s="117"/>
      <c r="L852" s="117"/>
    </row>
    <row r="853" spans="1:12" s="253" customFormat="1" ht="34.5" customHeight="1" hidden="1">
      <c r="A853" s="25" t="s">
        <v>148</v>
      </c>
      <c r="B853" s="16">
        <v>908</v>
      </c>
      <c r="C853" s="20" t="s">
        <v>251</v>
      </c>
      <c r="D853" s="20" t="s">
        <v>230</v>
      </c>
      <c r="E853" s="20" t="s">
        <v>1125</v>
      </c>
      <c r="F853" s="20" t="s">
        <v>149</v>
      </c>
      <c r="G853" s="26">
        <f>G854</f>
        <v>0</v>
      </c>
      <c r="H853" s="261">
        <f aca="true" t="shared" si="464" ref="H853:I853">H854</f>
        <v>2125.4</v>
      </c>
      <c r="I853" s="261">
        <f t="shared" si="464"/>
        <v>2125.4</v>
      </c>
      <c r="J853" s="228"/>
      <c r="K853" s="117"/>
      <c r="L853" s="117"/>
    </row>
    <row r="854" spans="1:12" s="253" customFormat="1" ht="33" customHeight="1" hidden="1">
      <c r="A854" s="25" t="s">
        <v>150</v>
      </c>
      <c r="B854" s="16">
        <v>908</v>
      </c>
      <c r="C854" s="20" t="s">
        <v>251</v>
      </c>
      <c r="D854" s="20" t="s">
        <v>230</v>
      </c>
      <c r="E854" s="20" t="s">
        <v>1125</v>
      </c>
      <c r="F854" s="20" t="s">
        <v>151</v>
      </c>
      <c r="G854" s="26">
        <v>0</v>
      </c>
      <c r="H854" s="261">
        <v>2125.4</v>
      </c>
      <c r="I854" s="261">
        <v>2125.4</v>
      </c>
      <c r="J854" s="228"/>
      <c r="K854" s="117"/>
      <c r="L854" s="117"/>
    </row>
    <row r="855" spans="1:12" s="253" customFormat="1" ht="20.25" customHeight="1" hidden="1">
      <c r="A855" s="25" t="s">
        <v>152</v>
      </c>
      <c r="B855" s="16">
        <v>908</v>
      </c>
      <c r="C855" s="20" t="s">
        <v>251</v>
      </c>
      <c r="D855" s="20" t="s">
        <v>230</v>
      </c>
      <c r="E855" s="20" t="s">
        <v>1125</v>
      </c>
      <c r="F855" s="20" t="s">
        <v>887</v>
      </c>
      <c r="G855" s="26">
        <f>G856</f>
        <v>0</v>
      </c>
      <c r="H855" s="261">
        <f aca="true" t="shared" si="465" ref="H855:I855">H856</f>
        <v>18374.6</v>
      </c>
      <c r="I855" s="261">
        <f t="shared" si="465"/>
        <v>18374.6</v>
      </c>
      <c r="J855" s="228"/>
      <c r="K855" s="117"/>
      <c r="L855" s="117"/>
    </row>
    <row r="856" spans="1:12" s="253" customFormat="1" ht="20.25" customHeight="1" hidden="1">
      <c r="A856" s="25" t="s">
        <v>585</v>
      </c>
      <c r="B856" s="16">
        <v>908</v>
      </c>
      <c r="C856" s="20" t="s">
        <v>251</v>
      </c>
      <c r="D856" s="20" t="s">
        <v>230</v>
      </c>
      <c r="E856" s="20" t="s">
        <v>1125</v>
      </c>
      <c r="F856" s="20" t="s">
        <v>1263</v>
      </c>
      <c r="G856" s="26">
        <v>0</v>
      </c>
      <c r="H856" s="261">
        <v>18374.6</v>
      </c>
      <c r="I856" s="261">
        <v>18374.6</v>
      </c>
      <c r="J856" s="228"/>
      <c r="K856" s="117"/>
      <c r="L856" s="117"/>
    </row>
    <row r="857" spans="1:12" s="253" customFormat="1" ht="47.25" customHeight="1" hidden="1">
      <c r="A857" s="25" t="s">
        <v>826</v>
      </c>
      <c r="B857" s="16">
        <v>908</v>
      </c>
      <c r="C857" s="20" t="s">
        <v>251</v>
      </c>
      <c r="D857" s="20" t="s">
        <v>230</v>
      </c>
      <c r="E857" s="20" t="s">
        <v>1126</v>
      </c>
      <c r="F857" s="20"/>
      <c r="G857" s="26">
        <f>G858</f>
        <v>0</v>
      </c>
      <c r="H857" s="261">
        <f aca="true" t="shared" si="466" ref="H857:I858">H858</f>
        <v>0</v>
      </c>
      <c r="I857" s="261">
        <f t="shared" si="466"/>
        <v>0</v>
      </c>
      <c r="J857" s="228"/>
      <c r="K857" s="117"/>
      <c r="L857" s="117"/>
    </row>
    <row r="858" spans="1:12" s="253" customFormat="1" ht="33.75" customHeight="1" hidden="1">
      <c r="A858" s="25" t="s">
        <v>148</v>
      </c>
      <c r="B858" s="16">
        <v>908</v>
      </c>
      <c r="C858" s="20" t="s">
        <v>251</v>
      </c>
      <c r="D858" s="20" t="s">
        <v>230</v>
      </c>
      <c r="E858" s="20" t="s">
        <v>1126</v>
      </c>
      <c r="F858" s="20" t="s">
        <v>149</v>
      </c>
      <c r="G858" s="26">
        <f>G859</f>
        <v>0</v>
      </c>
      <c r="H858" s="261">
        <f t="shared" si="466"/>
        <v>0</v>
      </c>
      <c r="I858" s="261">
        <f t="shared" si="466"/>
        <v>0</v>
      </c>
      <c r="J858" s="228"/>
      <c r="K858" s="117"/>
      <c r="L858" s="117"/>
    </row>
    <row r="859" spans="1:12" s="253" customFormat="1" ht="32.25" customHeight="1" hidden="1">
      <c r="A859" s="25" t="s">
        <v>150</v>
      </c>
      <c r="B859" s="16">
        <v>908</v>
      </c>
      <c r="C859" s="20" t="s">
        <v>251</v>
      </c>
      <c r="D859" s="20" t="s">
        <v>230</v>
      </c>
      <c r="E859" s="20" t="s">
        <v>1126</v>
      </c>
      <c r="F859" s="20" t="s">
        <v>151</v>
      </c>
      <c r="G859" s="26">
        <v>0</v>
      </c>
      <c r="H859" s="261">
        <v>0</v>
      </c>
      <c r="I859" s="261">
        <v>0</v>
      </c>
      <c r="J859" s="228"/>
      <c r="K859" s="117"/>
      <c r="L859" s="117"/>
    </row>
    <row r="860" spans="1:12" s="253" customFormat="1" ht="47.25" customHeight="1" hidden="1">
      <c r="A860" s="105" t="s">
        <v>883</v>
      </c>
      <c r="B860" s="16">
        <v>908</v>
      </c>
      <c r="C860" s="20" t="s">
        <v>251</v>
      </c>
      <c r="D860" s="20" t="s">
        <v>230</v>
      </c>
      <c r="E860" s="20" t="s">
        <v>1127</v>
      </c>
      <c r="F860" s="20"/>
      <c r="G860" s="26">
        <f>G861+G863</f>
        <v>0</v>
      </c>
      <c r="H860" s="261">
        <f aca="true" t="shared" si="467" ref="H860:I860">H861+H863</f>
        <v>49220.1</v>
      </c>
      <c r="I860" s="261">
        <f t="shared" si="467"/>
        <v>49220.1</v>
      </c>
      <c r="J860" s="228"/>
      <c r="K860" s="117"/>
      <c r="L860" s="117"/>
    </row>
    <row r="861" spans="1:12" s="253" customFormat="1" ht="34.5" customHeight="1" hidden="1">
      <c r="A861" s="25" t="s">
        <v>888</v>
      </c>
      <c r="B861" s="16">
        <v>908</v>
      </c>
      <c r="C861" s="20" t="s">
        <v>251</v>
      </c>
      <c r="D861" s="20" t="s">
        <v>230</v>
      </c>
      <c r="E861" s="20" t="s">
        <v>1127</v>
      </c>
      <c r="F861" s="20" t="s">
        <v>887</v>
      </c>
      <c r="G861" s="26">
        <f>G862</f>
        <v>0</v>
      </c>
      <c r="H861" s="261">
        <f aca="true" t="shared" si="468" ref="H861:I861">H862</f>
        <v>49220.1</v>
      </c>
      <c r="I861" s="261">
        <f t="shared" si="468"/>
        <v>49220.1</v>
      </c>
      <c r="J861" s="228"/>
      <c r="K861" s="117"/>
      <c r="L861" s="117"/>
    </row>
    <row r="862" spans="1:12" s="253" customFormat="1" ht="47.25" customHeight="1" hidden="1">
      <c r="A862" s="25" t="s">
        <v>1241</v>
      </c>
      <c r="B862" s="16">
        <v>908</v>
      </c>
      <c r="C862" s="20" t="s">
        <v>251</v>
      </c>
      <c r="D862" s="20" t="s">
        <v>230</v>
      </c>
      <c r="E862" s="20" t="s">
        <v>1127</v>
      </c>
      <c r="F862" s="20" t="s">
        <v>1263</v>
      </c>
      <c r="G862" s="26">
        <v>0</v>
      </c>
      <c r="H862" s="26">
        <v>49220.1</v>
      </c>
      <c r="I862" s="26">
        <v>49220.1</v>
      </c>
      <c r="J862" s="228"/>
      <c r="K862" s="117"/>
      <c r="L862" s="117"/>
    </row>
    <row r="863" spans="1:12" s="253" customFormat="1" ht="17.25" customHeight="1" hidden="1">
      <c r="A863" s="25" t="s">
        <v>152</v>
      </c>
      <c r="B863" s="16">
        <v>908</v>
      </c>
      <c r="C863" s="20" t="s">
        <v>251</v>
      </c>
      <c r="D863" s="20" t="s">
        <v>230</v>
      </c>
      <c r="E863" s="20" t="s">
        <v>1127</v>
      </c>
      <c r="F863" s="20" t="s">
        <v>162</v>
      </c>
      <c r="G863" s="26">
        <f>G864</f>
        <v>0</v>
      </c>
      <c r="H863" s="26">
        <f aca="true" t="shared" si="469" ref="H863:I863">H864</f>
        <v>0</v>
      </c>
      <c r="I863" s="26">
        <f t="shared" si="469"/>
        <v>0</v>
      </c>
      <c r="J863" s="228"/>
      <c r="K863" s="117"/>
      <c r="L863" s="117"/>
    </row>
    <row r="864" spans="1:12" s="253" customFormat="1" ht="18.75" customHeight="1" hidden="1">
      <c r="A864" s="25" t="s">
        <v>729</v>
      </c>
      <c r="B864" s="16">
        <v>908</v>
      </c>
      <c r="C864" s="20" t="s">
        <v>251</v>
      </c>
      <c r="D864" s="20" t="s">
        <v>230</v>
      </c>
      <c r="E864" s="20" t="s">
        <v>1127</v>
      </c>
      <c r="F864" s="20" t="s">
        <v>155</v>
      </c>
      <c r="G864" s="26">
        <v>0</v>
      </c>
      <c r="H864" s="26">
        <v>0</v>
      </c>
      <c r="I864" s="26">
        <v>0</v>
      </c>
      <c r="J864" s="228"/>
      <c r="K864" s="117"/>
      <c r="L864" s="117"/>
    </row>
    <row r="865" spans="1:12" s="253" customFormat="1" ht="38.25" customHeight="1" hidden="1">
      <c r="A865" s="25" t="s">
        <v>1264</v>
      </c>
      <c r="B865" s="16">
        <v>908</v>
      </c>
      <c r="C865" s="20" t="s">
        <v>251</v>
      </c>
      <c r="D865" s="20" t="s">
        <v>230</v>
      </c>
      <c r="E865" s="20" t="s">
        <v>1265</v>
      </c>
      <c r="F865" s="20"/>
      <c r="G865" s="26">
        <f>G866</f>
        <v>0</v>
      </c>
      <c r="H865" s="26">
        <f aca="true" t="shared" si="470" ref="H865:I866">H866</f>
        <v>4043.63</v>
      </c>
      <c r="I865" s="26">
        <f t="shared" si="470"/>
        <v>4043.63</v>
      </c>
      <c r="J865" s="228"/>
      <c r="K865" s="117"/>
      <c r="L865" s="117"/>
    </row>
    <row r="866" spans="1:12" s="253" customFormat="1" ht="32.25" customHeight="1" hidden="1">
      <c r="A866" s="25" t="s">
        <v>148</v>
      </c>
      <c r="B866" s="16">
        <v>908</v>
      </c>
      <c r="C866" s="20" t="s">
        <v>251</v>
      </c>
      <c r="D866" s="20" t="s">
        <v>230</v>
      </c>
      <c r="E866" s="20" t="s">
        <v>1265</v>
      </c>
      <c r="F866" s="20" t="s">
        <v>149</v>
      </c>
      <c r="G866" s="26">
        <f>G867</f>
        <v>0</v>
      </c>
      <c r="H866" s="26">
        <f t="shared" si="470"/>
        <v>4043.63</v>
      </c>
      <c r="I866" s="26">
        <f t="shared" si="470"/>
        <v>4043.63</v>
      </c>
      <c r="J866" s="228"/>
      <c r="K866" s="117"/>
      <c r="L866" s="117"/>
    </row>
    <row r="867" spans="1:12" s="253" customFormat="1" ht="35.25" customHeight="1" hidden="1">
      <c r="A867" s="25" t="s">
        <v>150</v>
      </c>
      <c r="B867" s="16">
        <v>908</v>
      </c>
      <c r="C867" s="20" t="s">
        <v>251</v>
      </c>
      <c r="D867" s="20" t="s">
        <v>230</v>
      </c>
      <c r="E867" s="20" t="s">
        <v>1265</v>
      </c>
      <c r="F867" s="20" t="s">
        <v>151</v>
      </c>
      <c r="G867" s="26">
        <v>0</v>
      </c>
      <c r="H867" s="26">
        <v>4043.63</v>
      </c>
      <c r="I867" s="26">
        <v>4043.63</v>
      </c>
      <c r="J867" s="228"/>
      <c r="K867" s="117"/>
      <c r="L867" s="117"/>
    </row>
    <row r="868" spans="1:12" s="253" customFormat="1" ht="47.25" customHeight="1" hidden="1">
      <c r="A868" s="23" t="s">
        <v>1394</v>
      </c>
      <c r="B868" s="19">
        <v>908</v>
      </c>
      <c r="C868" s="24" t="s">
        <v>251</v>
      </c>
      <c r="D868" s="24" t="s">
        <v>230</v>
      </c>
      <c r="E868" s="24" t="s">
        <v>535</v>
      </c>
      <c r="F868" s="24"/>
      <c r="G868" s="21">
        <f>G869+G873+G877+G881+G893+G889</f>
        <v>0</v>
      </c>
      <c r="H868" s="21">
        <f aca="true" t="shared" si="471" ref="H868:I868">H869+H873+H877+H881+H893+H889</f>
        <v>8940</v>
      </c>
      <c r="I868" s="21">
        <f t="shared" si="471"/>
        <v>8940</v>
      </c>
      <c r="J868" s="228" t="s">
        <v>1205</v>
      </c>
      <c r="K868" s="117"/>
      <c r="L868" s="117"/>
    </row>
    <row r="869" spans="1:12" s="253" customFormat="1" ht="30.75" customHeight="1" hidden="1">
      <c r="A869" s="23" t="s">
        <v>1107</v>
      </c>
      <c r="B869" s="19">
        <v>908</v>
      </c>
      <c r="C869" s="24" t="s">
        <v>251</v>
      </c>
      <c r="D869" s="24" t="s">
        <v>230</v>
      </c>
      <c r="E869" s="24" t="s">
        <v>1109</v>
      </c>
      <c r="F869" s="24"/>
      <c r="G869" s="21">
        <f>G870</f>
        <v>0</v>
      </c>
      <c r="H869" s="272">
        <f aca="true" t="shared" si="472" ref="H869:I871">H870</f>
        <v>4377</v>
      </c>
      <c r="I869" s="272">
        <f t="shared" si="472"/>
        <v>4377</v>
      </c>
      <c r="J869" s="228"/>
      <c r="K869" s="117"/>
      <c r="L869" s="117"/>
    </row>
    <row r="870" spans="1:12" ht="15.75" hidden="1">
      <c r="A870" s="46" t="s">
        <v>1108</v>
      </c>
      <c r="B870" s="16">
        <v>908</v>
      </c>
      <c r="C870" s="41" t="s">
        <v>251</v>
      </c>
      <c r="D870" s="41" t="s">
        <v>230</v>
      </c>
      <c r="E870" s="20" t="s">
        <v>1110</v>
      </c>
      <c r="F870" s="41"/>
      <c r="G870" s="26">
        <f>G871</f>
        <v>0</v>
      </c>
      <c r="H870" s="261">
        <f t="shared" si="472"/>
        <v>4377</v>
      </c>
      <c r="I870" s="261">
        <f t="shared" si="472"/>
        <v>4377</v>
      </c>
      <c r="J870" s="228" t="s">
        <v>1013</v>
      </c>
      <c r="L870" s="117"/>
    </row>
    <row r="871" spans="1:12" ht="31.5" hidden="1">
      <c r="A871" s="32" t="s">
        <v>148</v>
      </c>
      <c r="B871" s="16">
        <v>908</v>
      </c>
      <c r="C871" s="41" t="s">
        <v>251</v>
      </c>
      <c r="D871" s="41" t="s">
        <v>230</v>
      </c>
      <c r="E871" s="20" t="s">
        <v>1110</v>
      </c>
      <c r="F871" s="41" t="s">
        <v>149</v>
      </c>
      <c r="G871" s="26">
        <f>G872</f>
        <v>0</v>
      </c>
      <c r="H871" s="261">
        <f t="shared" si="472"/>
        <v>4377</v>
      </c>
      <c r="I871" s="261">
        <f t="shared" si="472"/>
        <v>4377</v>
      </c>
      <c r="L871" s="117"/>
    </row>
    <row r="872" spans="1:13" ht="31.5" hidden="1">
      <c r="A872" s="32" t="s">
        <v>150</v>
      </c>
      <c r="B872" s="16">
        <v>908</v>
      </c>
      <c r="C872" s="41" t="s">
        <v>251</v>
      </c>
      <c r="D872" s="41" t="s">
        <v>230</v>
      </c>
      <c r="E872" s="20" t="s">
        <v>1110</v>
      </c>
      <c r="F872" s="41" t="s">
        <v>151</v>
      </c>
      <c r="G872" s="26">
        <v>0</v>
      </c>
      <c r="H872" s="261">
        <f aca="true" t="shared" si="473" ref="H872:I872">2903+250+60+1164</f>
        <v>4377</v>
      </c>
      <c r="I872" s="261">
        <f t="shared" si="473"/>
        <v>4377</v>
      </c>
      <c r="J872" s="278"/>
      <c r="K872" s="258"/>
      <c r="L872" s="117"/>
      <c r="M872" s="117"/>
    </row>
    <row r="873" spans="1:13" s="253" customFormat="1" ht="15.75" hidden="1">
      <c r="A873" s="35" t="s">
        <v>1111</v>
      </c>
      <c r="B873" s="19">
        <v>908</v>
      </c>
      <c r="C873" s="7" t="s">
        <v>251</v>
      </c>
      <c r="D873" s="7" t="s">
        <v>230</v>
      </c>
      <c r="E873" s="24" t="s">
        <v>1112</v>
      </c>
      <c r="F873" s="7"/>
      <c r="G873" s="21">
        <f>G874</f>
        <v>0</v>
      </c>
      <c r="H873" s="272">
        <f aca="true" t="shared" si="474" ref="H873:I875">H874</f>
        <v>400</v>
      </c>
      <c r="I873" s="272">
        <f t="shared" si="474"/>
        <v>400</v>
      </c>
      <c r="J873" s="302"/>
      <c r="K873" s="258"/>
      <c r="L873" s="117"/>
      <c r="M873" s="117"/>
    </row>
    <row r="874" spans="1:12" ht="15.75" hidden="1">
      <c r="A874" s="46" t="s">
        <v>540</v>
      </c>
      <c r="B874" s="16">
        <v>908</v>
      </c>
      <c r="C874" s="41" t="s">
        <v>251</v>
      </c>
      <c r="D874" s="41" t="s">
        <v>230</v>
      </c>
      <c r="E874" s="20" t="s">
        <v>1115</v>
      </c>
      <c r="F874" s="41"/>
      <c r="G874" s="26">
        <f>G875</f>
        <v>0</v>
      </c>
      <c r="H874" s="261">
        <f t="shared" si="474"/>
        <v>400</v>
      </c>
      <c r="I874" s="261">
        <f t="shared" si="474"/>
        <v>400</v>
      </c>
      <c r="L874" s="117"/>
    </row>
    <row r="875" spans="1:12" ht="31.5" hidden="1">
      <c r="A875" s="32" t="s">
        <v>148</v>
      </c>
      <c r="B875" s="16">
        <v>908</v>
      </c>
      <c r="C875" s="41" t="s">
        <v>251</v>
      </c>
      <c r="D875" s="41" t="s">
        <v>230</v>
      </c>
      <c r="E875" s="20" t="s">
        <v>1115</v>
      </c>
      <c r="F875" s="41" t="s">
        <v>149</v>
      </c>
      <c r="G875" s="26">
        <f>G876</f>
        <v>0</v>
      </c>
      <c r="H875" s="261">
        <f t="shared" si="474"/>
        <v>400</v>
      </c>
      <c r="I875" s="261">
        <f t="shared" si="474"/>
        <v>400</v>
      </c>
      <c r="L875" s="117"/>
    </row>
    <row r="876" spans="1:12" ht="31.5" hidden="1">
      <c r="A876" s="32" t="s">
        <v>150</v>
      </c>
      <c r="B876" s="16">
        <v>908</v>
      </c>
      <c r="C876" s="41" t="s">
        <v>251</v>
      </c>
      <c r="D876" s="41" t="s">
        <v>230</v>
      </c>
      <c r="E876" s="20" t="s">
        <v>1115</v>
      </c>
      <c r="F876" s="41" t="s">
        <v>151</v>
      </c>
      <c r="G876" s="6">
        <v>0</v>
      </c>
      <c r="H876" s="288">
        <f>400</f>
        <v>400</v>
      </c>
      <c r="I876" s="288">
        <f>400</f>
        <v>400</v>
      </c>
      <c r="J876" s="278"/>
      <c r="L876" s="117"/>
    </row>
    <row r="877" spans="1:12" s="253" customFormat="1" ht="16.5" customHeight="1" hidden="1">
      <c r="A877" s="60" t="s">
        <v>1113</v>
      </c>
      <c r="B877" s="19">
        <v>908</v>
      </c>
      <c r="C877" s="7" t="s">
        <v>251</v>
      </c>
      <c r="D877" s="7" t="s">
        <v>230</v>
      </c>
      <c r="E877" s="24" t="s">
        <v>1114</v>
      </c>
      <c r="F877" s="7"/>
      <c r="G877" s="4">
        <f>G878</f>
        <v>0</v>
      </c>
      <c r="H877" s="320">
        <f aca="true" t="shared" si="475" ref="H877:I879">H878</f>
        <v>1733</v>
      </c>
      <c r="I877" s="320">
        <f t="shared" si="475"/>
        <v>1733</v>
      </c>
      <c r="J877" s="228"/>
      <c r="K877" s="117"/>
      <c r="L877" s="117"/>
    </row>
    <row r="878" spans="1:12" ht="15.75" hidden="1">
      <c r="A878" s="46" t="s">
        <v>542</v>
      </c>
      <c r="B878" s="16">
        <v>908</v>
      </c>
      <c r="C878" s="41" t="s">
        <v>251</v>
      </c>
      <c r="D878" s="41" t="s">
        <v>230</v>
      </c>
      <c r="E878" s="20" t="s">
        <v>1116</v>
      </c>
      <c r="F878" s="41"/>
      <c r="G878" s="26">
        <f>G879</f>
        <v>0</v>
      </c>
      <c r="H878" s="261">
        <f t="shared" si="475"/>
        <v>1733</v>
      </c>
      <c r="I878" s="261">
        <f t="shared" si="475"/>
        <v>1733</v>
      </c>
      <c r="L878" s="117"/>
    </row>
    <row r="879" spans="1:12" ht="31.5" hidden="1">
      <c r="A879" s="32" t="s">
        <v>148</v>
      </c>
      <c r="B879" s="16">
        <v>908</v>
      </c>
      <c r="C879" s="41" t="s">
        <v>251</v>
      </c>
      <c r="D879" s="41" t="s">
        <v>230</v>
      </c>
      <c r="E879" s="20" t="s">
        <v>1116</v>
      </c>
      <c r="F879" s="41" t="s">
        <v>149</v>
      </c>
      <c r="G879" s="26">
        <f>G880</f>
        <v>0</v>
      </c>
      <c r="H879" s="261">
        <f t="shared" si="475"/>
        <v>1733</v>
      </c>
      <c r="I879" s="261">
        <f t="shared" si="475"/>
        <v>1733</v>
      </c>
      <c r="L879" s="117"/>
    </row>
    <row r="880" spans="1:14" ht="31.5" hidden="1">
      <c r="A880" s="32" t="s">
        <v>150</v>
      </c>
      <c r="B880" s="16">
        <v>908</v>
      </c>
      <c r="C880" s="41" t="s">
        <v>251</v>
      </c>
      <c r="D880" s="41" t="s">
        <v>230</v>
      </c>
      <c r="E880" s="20" t="s">
        <v>1116</v>
      </c>
      <c r="F880" s="41" t="s">
        <v>151</v>
      </c>
      <c r="G880" s="6">
        <v>0</v>
      </c>
      <c r="H880" s="288">
        <f aca="true" t="shared" si="476" ref="H880:I880">200+20-60+1573</f>
        <v>1733</v>
      </c>
      <c r="I880" s="288">
        <f t="shared" si="476"/>
        <v>1733</v>
      </c>
      <c r="J880" s="278"/>
      <c r="K880" s="258"/>
      <c r="L880" s="117"/>
      <c r="M880" s="117"/>
      <c r="N880" s="117"/>
    </row>
    <row r="881" spans="1:12" s="253" customFormat="1" ht="31.5" hidden="1">
      <c r="A881" s="60" t="s">
        <v>1117</v>
      </c>
      <c r="B881" s="19">
        <v>908</v>
      </c>
      <c r="C881" s="7" t="s">
        <v>251</v>
      </c>
      <c r="D881" s="7" t="s">
        <v>230</v>
      </c>
      <c r="E881" s="24" t="s">
        <v>1118</v>
      </c>
      <c r="F881" s="7"/>
      <c r="G881" s="4">
        <f>G882</f>
        <v>0</v>
      </c>
      <c r="H881" s="320">
        <f aca="true" t="shared" si="477" ref="H881:I883">H882</f>
        <v>2330</v>
      </c>
      <c r="I881" s="320">
        <f t="shared" si="477"/>
        <v>2330</v>
      </c>
      <c r="J881" s="228"/>
      <c r="K881" s="117"/>
      <c r="L881" s="117"/>
    </row>
    <row r="882" spans="1:12" ht="15.75" hidden="1">
      <c r="A882" s="46" t="s">
        <v>544</v>
      </c>
      <c r="B882" s="16">
        <v>908</v>
      </c>
      <c r="C882" s="41" t="s">
        <v>251</v>
      </c>
      <c r="D882" s="41" t="s">
        <v>230</v>
      </c>
      <c r="E882" s="20" t="s">
        <v>1119</v>
      </c>
      <c r="F882" s="41"/>
      <c r="G882" s="26">
        <f>G883</f>
        <v>0</v>
      </c>
      <c r="H882" s="261">
        <f t="shared" si="477"/>
        <v>2330</v>
      </c>
      <c r="I882" s="261">
        <f t="shared" si="477"/>
        <v>2330</v>
      </c>
      <c r="L882" s="117"/>
    </row>
    <row r="883" spans="1:12" ht="31.5" hidden="1">
      <c r="A883" s="32" t="s">
        <v>148</v>
      </c>
      <c r="B883" s="16">
        <v>908</v>
      </c>
      <c r="C883" s="41" t="s">
        <v>251</v>
      </c>
      <c r="D883" s="41" t="s">
        <v>230</v>
      </c>
      <c r="E883" s="20" t="s">
        <v>1119</v>
      </c>
      <c r="F883" s="41" t="s">
        <v>149</v>
      </c>
      <c r="G883" s="26">
        <f>G884</f>
        <v>0</v>
      </c>
      <c r="H883" s="261">
        <f t="shared" si="477"/>
        <v>2330</v>
      </c>
      <c r="I883" s="261">
        <f t="shared" si="477"/>
        <v>2330</v>
      </c>
      <c r="L883" s="117"/>
    </row>
    <row r="884" spans="1:13" ht="31.5" hidden="1">
      <c r="A884" s="32" t="s">
        <v>150</v>
      </c>
      <c r="B884" s="16">
        <v>908</v>
      </c>
      <c r="C884" s="41" t="s">
        <v>251</v>
      </c>
      <c r="D884" s="41" t="s">
        <v>230</v>
      </c>
      <c r="E884" s="20" t="s">
        <v>1119</v>
      </c>
      <c r="F884" s="41" t="s">
        <v>151</v>
      </c>
      <c r="G884" s="6">
        <v>0</v>
      </c>
      <c r="H884" s="288">
        <f aca="true" t="shared" si="478" ref="H884:I884">278.2+171.8+1880</f>
        <v>2330</v>
      </c>
      <c r="I884" s="288">
        <f t="shared" si="478"/>
        <v>2330</v>
      </c>
      <c r="J884" s="278"/>
      <c r="K884" s="258"/>
      <c r="L884" s="258"/>
      <c r="M884" s="117"/>
    </row>
    <row r="885" spans="1:13" s="253" customFormat="1" ht="31.5" customHeight="1" hidden="1">
      <c r="A885" s="35" t="s">
        <v>1181</v>
      </c>
      <c r="B885" s="19">
        <v>908</v>
      </c>
      <c r="C885" s="7" t="s">
        <v>251</v>
      </c>
      <c r="D885" s="7" t="s">
        <v>230</v>
      </c>
      <c r="E885" s="24" t="s">
        <v>1182</v>
      </c>
      <c r="F885" s="7"/>
      <c r="G885" s="4">
        <f>G886</f>
        <v>0</v>
      </c>
      <c r="H885" s="320">
        <f aca="true" t="shared" si="479" ref="H885:I887">H886</f>
        <v>0</v>
      </c>
      <c r="I885" s="320">
        <f t="shared" si="479"/>
        <v>0</v>
      </c>
      <c r="J885" s="302"/>
      <c r="K885" s="258"/>
      <c r="L885" s="258"/>
      <c r="M885" s="117"/>
    </row>
    <row r="886" spans="1:12" ht="15.75" hidden="1">
      <c r="A886" s="46" t="s">
        <v>546</v>
      </c>
      <c r="B886" s="16">
        <v>908</v>
      </c>
      <c r="C886" s="41" t="s">
        <v>251</v>
      </c>
      <c r="D886" s="41" t="s">
        <v>230</v>
      </c>
      <c r="E886" s="20" t="s">
        <v>1185</v>
      </c>
      <c r="F886" s="41"/>
      <c r="G886" s="26">
        <f>G887</f>
        <v>0</v>
      </c>
      <c r="H886" s="261">
        <f t="shared" si="479"/>
        <v>0</v>
      </c>
      <c r="I886" s="261">
        <f t="shared" si="479"/>
        <v>0</v>
      </c>
      <c r="L886" s="117"/>
    </row>
    <row r="887" spans="1:12" ht="31.5" hidden="1">
      <c r="A887" s="32" t="s">
        <v>148</v>
      </c>
      <c r="B887" s="16">
        <v>908</v>
      </c>
      <c r="C887" s="41" t="s">
        <v>251</v>
      </c>
      <c r="D887" s="41" t="s">
        <v>230</v>
      </c>
      <c r="E887" s="20" t="s">
        <v>1185</v>
      </c>
      <c r="F887" s="41" t="s">
        <v>149</v>
      </c>
      <c r="G887" s="26">
        <f>G888</f>
        <v>0</v>
      </c>
      <c r="H887" s="261">
        <f t="shared" si="479"/>
        <v>0</v>
      </c>
      <c r="I887" s="261">
        <f t="shared" si="479"/>
        <v>0</v>
      </c>
      <c r="L887" s="117"/>
    </row>
    <row r="888" spans="1:12" ht="31.5" hidden="1">
      <c r="A888" s="32" t="s">
        <v>150</v>
      </c>
      <c r="B888" s="16">
        <v>908</v>
      </c>
      <c r="C888" s="41" t="s">
        <v>251</v>
      </c>
      <c r="D888" s="41" t="s">
        <v>230</v>
      </c>
      <c r="E888" s="20" t="s">
        <v>1185</v>
      </c>
      <c r="F888" s="41" t="s">
        <v>151</v>
      </c>
      <c r="G888" s="26">
        <v>0</v>
      </c>
      <c r="H888" s="261">
        <v>0</v>
      </c>
      <c r="I888" s="261">
        <v>0</v>
      </c>
      <c r="L888" s="117"/>
    </row>
    <row r="889" spans="1:12" s="253" customFormat="1" ht="31.5" hidden="1">
      <c r="A889" s="321" t="s">
        <v>1183</v>
      </c>
      <c r="B889" s="19">
        <v>908</v>
      </c>
      <c r="C889" s="7" t="s">
        <v>251</v>
      </c>
      <c r="D889" s="7" t="s">
        <v>230</v>
      </c>
      <c r="E889" s="24" t="s">
        <v>1184</v>
      </c>
      <c r="F889" s="7"/>
      <c r="G889" s="21">
        <f>G890</f>
        <v>0</v>
      </c>
      <c r="H889" s="272">
        <f aca="true" t="shared" si="480" ref="H889:I891">H890</f>
        <v>0</v>
      </c>
      <c r="I889" s="272">
        <f t="shared" si="480"/>
        <v>0</v>
      </c>
      <c r="J889" s="228"/>
      <c r="K889" s="117"/>
      <c r="L889" s="117"/>
    </row>
    <row r="890" spans="1:12" ht="21.75" customHeight="1" hidden="1">
      <c r="A890" s="188" t="s">
        <v>548</v>
      </c>
      <c r="B890" s="16">
        <v>908</v>
      </c>
      <c r="C890" s="41" t="s">
        <v>251</v>
      </c>
      <c r="D890" s="41" t="s">
        <v>230</v>
      </c>
      <c r="E890" s="20" t="s">
        <v>1186</v>
      </c>
      <c r="F890" s="41"/>
      <c r="G890" s="26">
        <f>G891</f>
        <v>0</v>
      </c>
      <c r="H890" s="261">
        <f t="shared" si="480"/>
        <v>0</v>
      </c>
      <c r="I890" s="261">
        <f t="shared" si="480"/>
        <v>0</v>
      </c>
      <c r="L890" s="117"/>
    </row>
    <row r="891" spans="1:12" ht="31.5" customHeight="1" hidden="1">
      <c r="A891" s="32" t="s">
        <v>148</v>
      </c>
      <c r="B891" s="16">
        <v>908</v>
      </c>
      <c r="C891" s="41" t="s">
        <v>251</v>
      </c>
      <c r="D891" s="41" t="s">
        <v>230</v>
      </c>
      <c r="E891" s="20" t="s">
        <v>1186</v>
      </c>
      <c r="F891" s="41" t="s">
        <v>149</v>
      </c>
      <c r="G891" s="26">
        <f>G892</f>
        <v>0</v>
      </c>
      <c r="H891" s="261">
        <f t="shared" si="480"/>
        <v>0</v>
      </c>
      <c r="I891" s="261">
        <f t="shared" si="480"/>
        <v>0</v>
      </c>
      <c r="L891" s="117"/>
    </row>
    <row r="892" spans="1:12" ht="36" customHeight="1" hidden="1">
      <c r="A892" s="32" t="s">
        <v>150</v>
      </c>
      <c r="B892" s="16">
        <v>908</v>
      </c>
      <c r="C892" s="41" t="s">
        <v>251</v>
      </c>
      <c r="D892" s="41" t="s">
        <v>230</v>
      </c>
      <c r="E892" s="20" t="s">
        <v>1186</v>
      </c>
      <c r="F892" s="41" t="s">
        <v>151</v>
      </c>
      <c r="G892" s="26">
        <v>0</v>
      </c>
      <c r="H892" s="261">
        <v>0</v>
      </c>
      <c r="I892" s="261">
        <v>0</v>
      </c>
      <c r="L892" s="117"/>
    </row>
    <row r="893" spans="1:12" s="253" customFormat="1" ht="31.5" customHeight="1" hidden="1">
      <c r="A893" s="321" t="s">
        <v>1121</v>
      </c>
      <c r="B893" s="19">
        <v>908</v>
      </c>
      <c r="C893" s="7" t="s">
        <v>251</v>
      </c>
      <c r="D893" s="7" t="s">
        <v>230</v>
      </c>
      <c r="E893" s="24" t="s">
        <v>1122</v>
      </c>
      <c r="F893" s="7"/>
      <c r="G893" s="21">
        <f>G894</f>
        <v>0</v>
      </c>
      <c r="H893" s="272">
        <f aca="true" t="shared" si="481" ref="H893:I895">H894</f>
        <v>100</v>
      </c>
      <c r="I893" s="272">
        <f t="shared" si="481"/>
        <v>100</v>
      </c>
      <c r="J893" s="228"/>
      <c r="K893" s="117"/>
      <c r="L893" s="117"/>
    </row>
    <row r="894" spans="1:12" ht="15.75" hidden="1">
      <c r="A894" s="188" t="s">
        <v>550</v>
      </c>
      <c r="B894" s="16">
        <v>908</v>
      </c>
      <c r="C894" s="41" t="s">
        <v>251</v>
      </c>
      <c r="D894" s="41" t="s">
        <v>230</v>
      </c>
      <c r="E894" s="20" t="s">
        <v>1120</v>
      </c>
      <c r="F894" s="41"/>
      <c r="G894" s="26">
        <f>G895</f>
        <v>0</v>
      </c>
      <c r="H894" s="261">
        <f t="shared" si="481"/>
        <v>100</v>
      </c>
      <c r="I894" s="261">
        <f t="shared" si="481"/>
        <v>100</v>
      </c>
      <c r="L894" s="117"/>
    </row>
    <row r="895" spans="1:12" ht="31.5" hidden="1">
      <c r="A895" s="25" t="s">
        <v>148</v>
      </c>
      <c r="B895" s="16">
        <v>908</v>
      </c>
      <c r="C895" s="41" t="s">
        <v>251</v>
      </c>
      <c r="D895" s="41" t="s">
        <v>230</v>
      </c>
      <c r="E895" s="20" t="s">
        <v>1120</v>
      </c>
      <c r="F895" s="41" t="s">
        <v>149</v>
      </c>
      <c r="G895" s="26">
        <f>G896</f>
        <v>0</v>
      </c>
      <c r="H895" s="261">
        <f t="shared" si="481"/>
        <v>100</v>
      </c>
      <c r="I895" s="261">
        <f t="shared" si="481"/>
        <v>100</v>
      </c>
      <c r="L895" s="117"/>
    </row>
    <row r="896" spans="1:12" ht="31.5" hidden="1">
      <c r="A896" s="25" t="s">
        <v>150</v>
      </c>
      <c r="B896" s="16">
        <v>908</v>
      </c>
      <c r="C896" s="41" t="s">
        <v>251</v>
      </c>
      <c r="D896" s="41" t="s">
        <v>230</v>
      </c>
      <c r="E896" s="20" t="s">
        <v>1120</v>
      </c>
      <c r="F896" s="41" t="s">
        <v>151</v>
      </c>
      <c r="G896" s="26">
        <v>0</v>
      </c>
      <c r="H896" s="261">
        <v>100</v>
      </c>
      <c r="I896" s="261">
        <v>100</v>
      </c>
      <c r="J896" s="278"/>
      <c r="L896" s="117"/>
    </row>
    <row r="897" spans="1:12" ht="15.75">
      <c r="A897" s="23" t="s">
        <v>558</v>
      </c>
      <c r="B897" s="19">
        <v>908</v>
      </c>
      <c r="C897" s="24" t="s">
        <v>251</v>
      </c>
      <c r="D897" s="24" t="s">
        <v>232</v>
      </c>
      <c r="E897" s="24"/>
      <c r="F897" s="24"/>
      <c r="G897" s="21">
        <f>G898+G903+G941</f>
        <v>4683.9</v>
      </c>
      <c r="H897" s="272">
        <f>H898+H903+H941</f>
        <v>7926.120000000001</v>
      </c>
      <c r="I897" s="272">
        <f>I898+I903+I941</f>
        <v>7926.120000000001</v>
      </c>
      <c r="J897" s="228">
        <v>7926.1</v>
      </c>
      <c r="K897" s="122">
        <f>J897-G897</f>
        <v>3242.2000000000007</v>
      </c>
      <c r="L897" s="117"/>
    </row>
    <row r="898" spans="1:12" s="253" customFormat="1" ht="15.75">
      <c r="A898" s="23" t="s">
        <v>158</v>
      </c>
      <c r="B898" s="19">
        <v>908</v>
      </c>
      <c r="C898" s="24" t="s">
        <v>251</v>
      </c>
      <c r="D898" s="24" t="s">
        <v>232</v>
      </c>
      <c r="E898" s="24" t="s">
        <v>917</v>
      </c>
      <c r="F898" s="24"/>
      <c r="G898" s="21">
        <f>G899</f>
        <v>390</v>
      </c>
      <c r="H898" s="272">
        <f aca="true" t="shared" si="482" ref="H898:I901">H899</f>
        <v>390</v>
      </c>
      <c r="I898" s="272">
        <f t="shared" si="482"/>
        <v>390</v>
      </c>
      <c r="J898" s="228"/>
      <c r="K898" s="122"/>
      <c r="L898" s="117"/>
    </row>
    <row r="899" spans="1:12" s="253" customFormat="1" ht="31.5">
      <c r="A899" s="23" t="s">
        <v>921</v>
      </c>
      <c r="B899" s="19">
        <v>908</v>
      </c>
      <c r="C899" s="24" t="s">
        <v>251</v>
      </c>
      <c r="D899" s="24" t="s">
        <v>232</v>
      </c>
      <c r="E899" s="24" t="s">
        <v>916</v>
      </c>
      <c r="F899" s="24"/>
      <c r="G899" s="21">
        <f>G900</f>
        <v>390</v>
      </c>
      <c r="H899" s="272">
        <f t="shared" si="482"/>
        <v>390</v>
      </c>
      <c r="I899" s="272">
        <f t="shared" si="482"/>
        <v>390</v>
      </c>
      <c r="J899" s="228"/>
      <c r="K899" s="122"/>
      <c r="L899" s="117"/>
    </row>
    <row r="900" spans="1:12" s="253" customFormat="1" ht="15.75">
      <c r="A900" s="25" t="s">
        <v>581</v>
      </c>
      <c r="B900" s="16">
        <v>908</v>
      </c>
      <c r="C900" s="20" t="s">
        <v>251</v>
      </c>
      <c r="D900" s="20" t="s">
        <v>232</v>
      </c>
      <c r="E900" s="20" t="s">
        <v>1278</v>
      </c>
      <c r="F900" s="20"/>
      <c r="G900" s="26">
        <f>G901</f>
        <v>390</v>
      </c>
      <c r="H900" s="261">
        <f t="shared" si="482"/>
        <v>390</v>
      </c>
      <c r="I900" s="261">
        <f t="shared" si="482"/>
        <v>390</v>
      </c>
      <c r="J900" s="228"/>
      <c r="K900" s="122"/>
      <c r="L900" s="117"/>
    </row>
    <row r="901" spans="1:12" s="253" customFormat="1" ht="31.5">
      <c r="A901" s="25" t="s">
        <v>148</v>
      </c>
      <c r="B901" s="16">
        <v>908</v>
      </c>
      <c r="C901" s="20" t="s">
        <v>251</v>
      </c>
      <c r="D901" s="20" t="s">
        <v>232</v>
      </c>
      <c r="E901" s="20" t="s">
        <v>1278</v>
      </c>
      <c r="F901" s="20" t="s">
        <v>149</v>
      </c>
      <c r="G901" s="26">
        <f>G902</f>
        <v>390</v>
      </c>
      <c r="H901" s="261">
        <f t="shared" si="482"/>
        <v>390</v>
      </c>
      <c r="I901" s="261">
        <f t="shared" si="482"/>
        <v>390</v>
      </c>
      <c r="J901" s="228"/>
      <c r="K901" s="122"/>
      <c r="L901" s="117"/>
    </row>
    <row r="902" spans="1:12" s="253" customFormat="1" ht="31.5">
      <c r="A902" s="25" t="s">
        <v>150</v>
      </c>
      <c r="B902" s="16">
        <v>908</v>
      </c>
      <c r="C902" s="20" t="s">
        <v>251</v>
      </c>
      <c r="D902" s="20" t="s">
        <v>232</v>
      </c>
      <c r="E902" s="20" t="s">
        <v>1278</v>
      </c>
      <c r="F902" s="20" t="s">
        <v>151</v>
      </c>
      <c r="G902" s="27">
        <v>390</v>
      </c>
      <c r="H902" s="262">
        <v>390</v>
      </c>
      <c r="I902" s="262">
        <v>390</v>
      </c>
      <c r="J902" s="228"/>
      <c r="K902" s="122"/>
      <c r="L902" s="117"/>
    </row>
    <row r="903" spans="1:12" ht="34.5" customHeight="1">
      <c r="A903" s="23" t="s">
        <v>559</v>
      </c>
      <c r="B903" s="19">
        <v>908</v>
      </c>
      <c r="C903" s="24" t="s">
        <v>251</v>
      </c>
      <c r="D903" s="24" t="s">
        <v>232</v>
      </c>
      <c r="E903" s="24" t="s">
        <v>560</v>
      </c>
      <c r="F903" s="24"/>
      <c r="G903" s="21">
        <f>G904+G918</f>
        <v>3793.9</v>
      </c>
      <c r="H903" s="272">
        <f aca="true" t="shared" si="483" ref="H903:I903">H904+H918</f>
        <v>4921.6</v>
      </c>
      <c r="I903" s="272">
        <f t="shared" si="483"/>
        <v>4921.6</v>
      </c>
      <c r="J903" s="275"/>
      <c r="K903" s="122"/>
      <c r="L903" s="122"/>
    </row>
    <row r="904" spans="1:12" ht="35.25" customHeight="1">
      <c r="A904" s="23" t="s">
        <v>561</v>
      </c>
      <c r="B904" s="19">
        <v>908</v>
      </c>
      <c r="C904" s="24" t="s">
        <v>251</v>
      </c>
      <c r="D904" s="24" t="s">
        <v>232</v>
      </c>
      <c r="E904" s="24" t="s">
        <v>562</v>
      </c>
      <c r="F904" s="24"/>
      <c r="G904" s="21">
        <f>G905</f>
        <v>1740</v>
      </c>
      <c r="H904" s="272">
        <f aca="true" t="shared" si="484" ref="H904:I904">H905</f>
        <v>2535.2</v>
      </c>
      <c r="I904" s="272">
        <f t="shared" si="484"/>
        <v>2535.2</v>
      </c>
      <c r="L904" s="117"/>
    </row>
    <row r="905" spans="1:12" s="253" customFormat="1" ht="35.25" customHeight="1">
      <c r="A905" s="23" t="s">
        <v>1130</v>
      </c>
      <c r="B905" s="19">
        <v>908</v>
      </c>
      <c r="C905" s="24" t="s">
        <v>251</v>
      </c>
      <c r="D905" s="24" t="s">
        <v>232</v>
      </c>
      <c r="E905" s="24" t="s">
        <v>1128</v>
      </c>
      <c r="F905" s="24"/>
      <c r="G905" s="21">
        <f>G906+G909+G915</f>
        <v>1740</v>
      </c>
      <c r="H905" s="272">
        <f aca="true" t="shared" si="485" ref="H905:I905">H906+H909+H915</f>
        <v>2535.2</v>
      </c>
      <c r="I905" s="272">
        <f t="shared" si="485"/>
        <v>2535.2</v>
      </c>
      <c r="J905" s="228"/>
      <c r="K905" s="117"/>
      <c r="L905" s="117"/>
    </row>
    <row r="906" spans="1:12" ht="19.5" customHeight="1">
      <c r="A906" s="25" t="s">
        <v>563</v>
      </c>
      <c r="B906" s="16">
        <v>908</v>
      </c>
      <c r="C906" s="20" t="s">
        <v>251</v>
      </c>
      <c r="D906" s="20" t="s">
        <v>232</v>
      </c>
      <c r="E906" s="20" t="s">
        <v>1129</v>
      </c>
      <c r="F906" s="20"/>
      <c r="G906" s="26">
        <f>G907</f>
        <v>90</v>
      </c>
      <c r="H906" s="261">
        <f aca="true" t="shared" si="486" ref="H906:I907">H907</f>
        <v>90</v>
      </c>
      <c r="I906" s="261">
        <f t="shared" si="486"/>
        <v>90</v>
      </c>
      <c r="L906" s="117"/>
    </row>
    <row r="907" spans="1:12" ht="31.5">
      <c r="A907" s="25" t="s">
        <v>148</v>
      </c>
      <c r="B907" s="16">
        <v>908</v>
      </c>
      <c r="C907" s="20" t="s">
        <v>251</v>
      </c>
      <c r="D907" s="20" t="s">
        <v>232</v>
      </c>
      <c r="E907" s="20" t="s">
        <v>1129</v>
      </c>
      <c r="F907" s="20" t="s">
        <v>149</v>
      </c>
      <c r="G907" s="26">
        <f>G908</f>
        <v>90</v>
      </c>
      <c r="H907" s="261">
        <f t="shared" si="486"/>
        <v>90</v>
      </c>
      <c r="I907" s="261">
        <f t="shared" si="486"/>
        <v>90</v>
      </c>
      <c r="L907" s="117"/>
    </row>
    <row r="908" spans="1:13" ht="31.5">
      <c r="A908" s="25" t="s">
        <v>150</v>
      </c>
      <c r="B908" s="16">
        <v>908</v>
      </c>
      <c r="C908" s="20" t="s">
        <v>251</v>
      </c>
      <c r="D908" s="20" t="s">
        <v>232</v>
      </c>
      <c r="E908" s="20" t="s">
        <v>1129</v>
      </c>
      <c r="F908" s="20" t="s">
        <v>151</v>
      </c>
      <c r="G908" s="26">
        <v>90</v>
      </c>
      <c r="H908" s="261">
        <v>90</v>
      </c>
      <c r="I908" s="261">
        <v>90</v>
      </c>
      <c r="J908" s="273"/>
      <c r="K908" s="245"/>
      <c r="L908" s="117"/>
      <c r="M908" s="117"/>
    </row>
    <row r="909" spans="1:12" ht="15.75">
      <c r="A909" s="25" t="s">
        <v>1310</v>
      </c>
      <c r="B909" s="16">
        <v>908</v>
      </c>
      <c r="C909" s="20" t="s">
        <v>251</v>
      </c>
      <c r="D909" s="20" t="s">
        <v>232</v>
      </c>
      <c r="E909" s="20" t="s">
        <v>1131</v>
      </c>
      <c r="F909" s="20"/>
      <c r="G909" s="26">
        <f>G910+G912</f>
        <v>650</v>
      </c>
      <c r="H909" s="261">
        <f aca="true" t="shared" si="487" ref="H909:I909">H910+H912</f>
        <v>643.3</v>
      </c>
      <c r="I909" s="261">
        <f t="shared" si="487"/>
        <v>643.3</v>
      </c>
      <c r="L909" s="117"/>
    </row>
    <row r="910" spans="1:12" ht="31.5">
      <c r="A910" s="25" t="s">
        <v>148</v>
      </c>
      <c r="B910" s="16">
        <v>908</v>
      </c>
      <c r="C910" s="20" t="s">
        <v>251</v>
      </c>
      <c r="D910" s="20" t="s">
        <v>232</v>
      </c>
      <c r="E910" s="20" t="s">
        <v>1131</v>
      </c>
      <c r="F910" s="20" t="s">
        <v>149</v>
      </c>
      <c r="G910" s="26">
        <f>G911</f>
        <v>650</v>
      </c>
      <c r="H910" s="261">
        <f aca="true" t="shared" si="488" ref="H910:I910">H911</f>
        <v>602</v>
      </c>
      <c r="I910" s="261">
        <f t="shared" si="488"/>
        <v>602</v>
      </c>
      <c r="L910" s="117"/>
    </row>
    <row r="911" spans="1:13" ht="31.5">
      <c r="A911" s="25" t="s">
        <v>150</v>
      </c>
      <c r="B911" s="16">
        <v>908</v>
      </c>
      <c r="C911" s="20" t="s">
        <v>251</v>
      </c>
      <c r="D911" s="20" t="s">
        <v>232</v>
      </c>
      <c r="E911" s="20" t="s">
        <v>1131</v>
      </c>
      <c r="F911" s="20" t="s">
        <v>151</v>
      </c>
      <c r="G911" s="26">
        <v>650</v>
      </c>
      <c r="H911" s="261">
        <f aca="true" t="shared" si="489" ref="H911:I911">800-240+5706.6-5664.6</f>
        <v>602</v>
      </c>
      <c r="I911" s="261">
        <f t="shared" si="489"/>
        <v>602</v>
      </c>
      <c r="J911" s="273"/>
      <c r="K911" s="245"/>
      <c r="L911" s="245"/>
      <c r="M911" s="117"/>
    </row>
    <row r="912" spans="1:12" ht="15.75" hidden="1">
      <c r="A912" s="25" t="s">
        <v>152</v>
      </c>
      <c r="B912" s="16">
        <v>908</v>
      </c>
      <c r="C912" s="20" t="s">
        <v>251</v>
      </c>
      <c r="D912" s="20" t="s">
        <v>232</v>
      </c>
      <c r="E912" s="20" t="s">
        <v>1131</v>
      </c>
      <c r="F912" s="20" t="s">
        <v>162</v>
      </c>
      <c r="G912" s="26">
        <f>G914+G913</f>
        <v>0</v>
      </c>
      <c r="H912" s="261">
        <f aca="true" t="shared" si="490" ref="H912:I912">H914+H913</f>
        <v>41.3</v>
      </c>
      <c r="I912" s="261">
        <f t="shared" si="490"/>
        <v>41.3</v>
      </c>
      <c r="L912" s="117"/>
    </row>
    <row r="913" spans="1:12" s="253" customFormat="1" ht="32.25" customHeight="1" hidden="1">
      <c r="A913" s="25" t="s">
        <v>886</v>
      </c>
      <c r="B913" s="16">
        <v>908</v>
      </c>
      <c r="C913" s="20" t="s">
        <v>251</v>
      </c>
      <c r="D913" s="20" t="s">
        <v>232</v>
      </c>
      <c r="E913" s="20" t="s">
        <v>1131</v>
      </c>
      <c r="F913" s="20" t="s">
        <v>164</v>
      </c>
      <c r="G913" s="26">
        <v>0</v>
      </c>
      <c r="H913" s="26">
        <v>41.3</v>
      </c>
      <c r="I913" s="26">
        <v>41.3</v>
      </c>
      <c r="J913" s="228"/>
      <c r="K913" s="117"/>
      <c r="L913" s="117"/>
    </row>
    <row r="914" spans="1:12" ht="15.75" hidden="1">
      <c r="A914" s="25" t="s">
        <v>729</v>
      </c>
      <c r="B914" s="16">
        <v>908</v>
      </c>
      <c r="C914" s="20" t="s">
        <v>251</v>
      </c>
      <c r="D914" s="20" t="s">
        <v>232</v>
      </c>
      <c r="E914" s="20" t="s">
        <v>1131</v>
      </c>
      <c r="F914" s="20" t="s">
        <v>155</v>
      </c>
      <c r="G914" s="26">
        <f>3.4+37.5-40.9</f>
        <v>0</v>
      </c>
      <c r="H914" s="26">
        <f aca="true" t="shared" si="491" ref="H914:I914">3.4+37.5-40.9</f>
        <v>0</v>
      </c>
      <c r="I914" s="26">
        <f t="shared" si="491"/>
        <v>0</v>
      </c>
      <c r="J914" s="273"/>
      <c r="L914" s="117"/>
    </row>
    <row r="915" spans="1:12" ht="15.75">
      <c r="A915" s="25" t="s">
        <v>567</v>
      </c>
      <c r="B915" s="16">
        <v>908</v>
      </c>
      <c r="C915" s="20" t="s">
        <v>251</v>
      </c>
      <c r="D915" s="20" t="s">
        <v>232</v>
      </c>
      <c r="E915" s="20" t="s">
        <v>1132</v>
      </c>
      <c r="F915" s="20"/>
      <c r="G915" s="26">
        <f>G916</f>
        <v>1000</v>
      </c>
      <c r="H915" s="26">
        <f aca="true" t="shared" si="492" ref="H915:I916">H916</f>
        <v>1801.9</v>
      </c>
      <c r="I915" s="26">
        <f t="shared" si="492"/>
        <v>1801.9</v>
      </c>
      <c r="L915" s="117"/>
    </row>
    <row r="916" spans="1:12" ht="31.5">
      <c r="A916" s="25" t="s">
        <v>148</v>
      </c>
      <c r="B916" s="16">
        <v>908</v>
      </c>
      <c r="C916" s="20" t="s">
        <v>251</v>
      </c>
      <c r="D916" s="20" t="s">
        <v>232</v>
      </c>
      <c r="E916" s="20" t="s">
        <v>1132</v>
      </c>
      <c r="F916" s="20" t="s">
        <v>149</v>
      </c>
      <c r="G916" s="26">
        <f>G917</f>
        <v>1000</v>
      </c>
      <c r="H916" s="26">
        <f t="shared" si="492"/>
        <v>1801.9</v>
      </c>
      <c r="I916" s="26">
        <f t="shared" si="492"/>
        <v>1801.9</v>
      </c>
      <c r="L916" s="117"/>
    </row>
    <row r="917" spans="1:12" ht="31.5">
      <c r="A917" s="25" t="s">
        <v>150</v>
      </c>
      <c r="B917" s="16">
        <v>908</v>
      </c>
      <c r="C917" s="20" t="s">
        <v>251</v>
      </c>
      <c r="D917" s="20" t="s">
        <v>232</v>
      </c>
      <c r="E917" s="20" t="s">
        <v>1132</v>
      </c>
      <c r="F917" s="20" t="s">
        <v>151</v>
      </c>
      <c r="G917" s="26">
        <v>1000</v>
      </c>
      <c r="H917" s="26">
        <v>1801.9</v>
      </c>
      <c r="I917" s="26">
        <v>1801.9</v>
      </c>
      <c r="J917" s="273"/>
      <c r="K917" s="245"/>
      <c r="L917" s="245"/>
    </row>
    <row r="918" spans="1:12" ht="30" customHeight="1">
      <c r="A918" s="23" t="s">
        <v>569</v>
      </c>
      <c r="B918" s="19">
        <v>908</v>
      </c>
      <c r="C918" s="24" t="s">
        <v>251</v>
      </c>
      <c r="D918" s="24" t="s">
        <v>232</v>
      </c>
      <c r="E918" s="24" t="s">
        <v>570</v>
      </c>
      <c r="F918" s="24"/>
      <c r="G918" s="21">
        <f>G919+G934</f>
        <v>2053.9</v>
      </c>
      <c r="H918" s="272">
        <f>H919+H934</f>
        <v>2386.4</v>
      </c>
      <c r="I918" s="272">
        <f>I919+I934</f>
        <v>2386.4</v>
      </c>
      <c r="L918" s="259"/>
    </row>
    <row r="919" spans="1:12" s="253" customFormat="1" ht="32.25" customHeight="1">
      <c r="A919" s="23" t="s">
        <v>1148</v>
      </c>
      <c r="B919" s="19">
        <v>908</v>
      </c>
      <c r="C919" s="24" t="s">
        <v>251</v>
      </c>
      <c r="D919" s="24" t="s">
        <v>232</v>
      </c>
      <c r="E919" s="24" t="s">
        <v>1133</v>
      </c>
      <c r="F919" s="24"/>
      <c r="G919" s="21">
        <f>G931+G920+G923+G928</f>
        <v>390</v>
      </c>
      <c r="H919" s="272">
        <f>H931+H920+H923+H928</f>
        <v>722.5</v>
      </c>
      <c r="I919" s="272">
        <f>I931+I920+I923+I928</f>
        <v>722.5</v>
      </c>
      <c r="J919" s="228"/>
      <c r="K919" s="117"/>
      <c r="L919" s="259"/>
    </row>
    <row r="920" spans="1:12" ht="15.75">
      <c r="A920" s="25" t="s">
        <v>572</v>
      </c>
      <c r="B920" s="16">
        <v>908</v>
      </c>
      <c r="C920" s="20" t="s">
        <v>251</v>
      </c>
      <c r="D920" s="20" t="s">
        <v>232</v>
      </c>
      <c r="E920" s="20" t="s">
        <v>1135</v>
      </c>
      <c r="F920" s="20"/>
      <c r="G920" s="26">
        <f>G921</f>
        <v>4</v>
      </c>
      <c r="H920" s="261">
        <f aca="true" t="shared" si="493" ref="H920:I921">H921</f>
        <v>4</v>
      </c>
      <c r="I920" s="261">
        <f t="shared" si="493"/>
        <v>4</v>
      </c>
      <c r="L920" s="117"/>
    </row>
    <row r="921" spans="1:12" ht="31.5">
      <c r="A921" s="25" t="s">
        <v>148</v>
      </c>
      <c r="B921" s="16">
        <v>908</v>
      </c>
      <c r="C921" s="20" t="s">
        <v>251</v>
      </c>
      <c r="D921" s="20" t="s">
        <v>232</v>
      </c>
      <c r="E921" s="20" t="s">
        <v>1135</v>
      </c>
      <c r="F921" s="20" t="s">
        <v>149</v>
      </c>
      <c r="G921" s="26">
        <f>G922</f>
        <v>4</v>
      </c>
      <c r="H921" s="261">
        <f t="shared" si="493"/>
        <v>4</v>
      </c>
      <c r="I921" s="261">
        <f t="shared" si="493"/>
        <v>4</v>
      </c>
      <c r="L921" s="117"/>
    </row>
    <row r="922" spans="1:12" ht="36" customHeight="1">
      <c r="A922" s="25" t="s">
        <v>150</v>
      </c>
      <c r="B922" s="16">
        <v>908</v>
      </c>
      <c r="C922" s="20" t="s">
        <v>251</v>
      </c>
      <c r="D922" s="20" t="s">
        <v>232</v>
      </c>
      <c r="E922" s="20" t="s">
        <v>1135</v>
      </c>
      <c r="F922" s="20" t="s">
        <v>151</v>
      </c>
      <c r="G922" s="26">
        <v>4</v>
      </c>
      <c r="H922" s="261">
        <v>4</v>
      </c>
      <c r="I922" s="261">
        <v>4</v>
      </c>
      <c r="J922" s="273"/>
      <c r="L922" s="245"/>
    </row>
    <row r="923" spans="1:12" ht="30.75" customHeight="1">
      <c r="A923" s="46" t="s">
        <v>574</v>
      </c>
      <c r="B923" s="16">
        <v>908</v>
      </c>
      <c r="C923" s="20" t="s">
        <v>251</v>
      </c>
      <c r="D923" s="20" t="s">
        <v>232</v>
      </c>
      <c r="E923" s="20" t="s">
        <v>1136</v>
      </c>
      <c r="F923" s="20"/>
      <c r="G923" s="26">
        <f>G924+G926</f>
        <v>375</v>
      </c>
      <c r="H923" s="261">
        <f aca="true" t="shared" si="494" ref="H923:I923">H924+H926</f>
        <v>707.5</v>
      </c>
      <c r="I923" s="261">
        <f t="shared" si="494"/>
        <v>707.5</v>
      </c>
      <c r="L923" s="244"/>
    </row>
    <row r="924" spans="1:12" ht="31.5">
      <c r="A924" s="25" t="s">
        <v>148</v>
      </c>
      <c r="B924" s="16">
        <v>908</v>
      </c>
      <c r="C924" s="20" t="s">
        <v>251</v>
      </c>
      <c r="D924" s="20" t="s">
        <v>232</v>
      </c>
      <c r="E924" s="20" t="s">
        <v>1136</v>
      </c>
      <c r="F924" s="20" t="s">
        <v>149</v>
      </c>
      <c r="G924" s="26">
        <f>G925</f>
        <v>300</v>
      </c>
      <c r="H924" s="261">
        <f aca="true" t="shared" si="495" ref="H924:I924">H925</f>
        <v>632.5</v>
      </c>
      <c r="I924" s="261">
        <f t="shared" si="495"/>
        <v>632.5</v>
      </c>
      <c r="L924" s="117"/>
    </row>
    <row r="925" spans="1:12" ht="31.5">
      <c r="A925" s="25" t="s">
        <v>150</v>
      </c>
      <c r="B925" s="16">
        <v>908</v>
      </c>
      <c r="C925" s="20" t="s">
        <v>251</v>
      </c>
      <c r="D925" s="20" t="s">
        <v>232</v>
      </c>
      <c r="E925" s="20" t="s">
        <v>1136</v>
      </c>
      <c r="F925" s="20" t="s">
        <v>151</v>
      </c>
      <c r="G925" s="26">
        <v>300</v>
      </c>
      <c r="H925" s="261">
        <f aca="true" t="shared" si="496" ref="H925:I925">1000-1000+243.4+195.5-60.4-46+300</f>
        <v>632.5</v>
      </c>
      <c r="I925" s="261">
        <f t="shared" si="496"/>
        <v>632.5</v>
      </c>
      <c r="J925" s="273"/>
      <c r="K925" s="306"/>
      <c r="L925" s="117"/>
    </row>
    <row r="926" spans="1:12" s="253" customFormat="1" ht="15.75">
      <c r="A926" s="25" t="s">
        <v>152</v>
      </c>
      <c r="B926" s="16">
        <v>908</v>
      </c>
      <c r="C926" s="20" t="s">
        <v>251</v>
      </c>
      <c r="D926" s="20" t="s">
        <v>232</v>
      </c>
      <c r="E926" s="20" t="s">
        <v>1136</v>
      </c>
      <c r="F926" s="20" t="s">
        <v>162</v>
      </c>
      <c r="G926" s="26">
        <f>G927</f>
        <v>75</v>
      </c>
      <c r="H926" s="261">
        <f aca="true" t="shared" si="497" ref="H926:I926">H927</f>
        <v>75</v>
      </c>
      <c r="I926" s="261">
        <f t="shared" si="497"/>
        <v>75</v>
      </c>
      <c r="J926" s="283"/>
      <c r="K926" s="117"/>
      <c r="L926" s="117"/>
    </row>
    <row r="927" spans="1:12" s="253" customFormat="1" ht="15.75">
      <c r="A927" s="25" t="s">
        <v>729</v>
      </c>
      <c r="B927" s="16">
        <v>908</v>
      </c>
      <c r="C927" s="20" t="s">
        <v>251</v>
      </c>
      <c r="D927" s="20" t="s">
        <v>232</v>
      </c>
      <c r="E927" s="20" t="s">
        <v>1136</v>
      </c>
      <c r="F927" s="20" t="s">
        <v>155</v>
      </c>
      <c r="G927" s="26">
        <v>75</v>
      </c>
      <c r="H927" s="261">
        <v>75</v>
      </c>
      <c r="I927" s="261">
        <v>75</v>
      </c>
      <c r="J927" s="283"/>
      <c r="K927" s="117"/>
      <c r="L927" s="117"/>
    </row>
    <row r="928" spans="1:12" ht="15.75">
      <c r="A928" s="46" t="s">
        <v>576</v>
      </c>
      <c r="B928" s="16">
        <v>908</v>
      </c>
      <c r="C928" s="20" t="s">
        <v>251</v>
      </c>
      <c r="D928" s="20" t="s">
        <v>232</v>
      </c>
      <c r="E928" s="20" t="s">
        <v>1137</v>
      </c>
      <c r="F928" s="20"/>
      <c r="G928" s="26">
        <f>G929</f>
        <v>0</v>
      </c>
      <c r="H928" s="261">
        <f aca="true" t="shared" si="498" ref="H928:I929">H929</f>
        <v>0</v>
      </c>
      <c r="I928" s="261">
        <f t="shared" si="498"/>
        <v>0</v>
      </c>
      <c r="L928" s="259"/>
    </row>
    <row r="929" spans="1:12" ht="31.5" hidden="1">
      <c r="A929" s="25" t="s">
        <v>148</v>
      </c>
      <c r="B929" s="16">
        <v>908</v>
      </c>
      <c r="C929" s="20" t="s">
        <v>251</v>
      </c>
      <c r="D929" s="20" t="s">
        <v>232</v>
      </c>
      <c r="E929" s="20" t="s">
        <v>1137</v>
      </c>
      <c r="F929" s="20" t="s">
        <v>149</v>
      </c>
      <c r="G929" s="26">
        <f>G930</f>
        <v>0</v>
      </c>
      <c r="H929" s="261">
        <f t="shared" si="498"/>
        <v>0</v>
      </c>
      <c r="I929" s="261">
        <f t="shared" si="498"/>
        <v>0</v>
      </c>
      <c r="L929" s="117"/>
    </row>
    <row r="930" spans="1:12" ht="31.5" hidden="1">
      <c r="A930" s="25" t="s">
        <v>150</v>
      </c>
      <c r="B930" s="16">
        <v>908</v>
      </c>
      <c r="C930" s="20" t="s">
        <v>251</v>
      </c>
      <c r="D930" s="20" t="s">
        <v>232</v>
      </c>
      <c r="E930" s="20" t="s">
        <v>1137</v>
      </c>
      <c r="F930" s="20" t="s">
        <v>151</v>
      </c>
      <c r="G930" s="26">
        <v>0</v>
      </c>
      <c r="H930" s="261">
        <v>0</v>
      </c>
      <c r="I930" s="261">
        <v>0</v>
      </c>
      <c r="L930" s="117"/>
    </row>
    <row r="931" spans="1:12" s="253" customFormat="1" ht="31.5">
      <c r="A931" s="342" t="s">
        <v>1312</v>
      </c>
      <c r="B931" s="16">
        <v>908</v>
      </c>
      <c r="C931" s="20" t="s">
        <v>251</v>
      </c>
      <c r="D931" s="20" t="s">
        <v>232</v>
      </c>
      <c r="E931" s="20" t="s">
        <v>1313</v>
      </c>
      <c r="F931" s="20"/>
      <c r="G931" s="26">
        <f>G932</f>
        <v>11</v>
      </c>
      <c r="H931" s="172">
        <f aca="true" t="shared" si="499" ref="H931:I932">H932</f>
        <v>11</v>
      </c>
      <c r="I931" s="172">
        <f t="shared" si="499"/>
        <v>11</v>
      </c>
      <c r="J931" s="228"/>
      <c r="K931" s="117"/>
      <c r="L931" s="117"/>
    </row>
    <row r="932" spans="1:12" s="253" customFormat="1" ht="31.5">
      <c r="A932" s="25" t="s">
        <v>148</v>
      </c>
      <c r="B932" s="16">
        <v>908</v>
      </c>
      <c r="C932" s="20" t="s">
        <v>251</v>
      </c>
      <c r="D932" s="20" t="s">
        <v>232</v>
      </c>
      <c r="E932" s="20" t="s">
        <v>1313</v>
      </c>
      <c r="F932" s="20" t="s">
        <v>149</v>
      </c>
      <c r="G932" s="26">
        <f>G933</f>
        <v>11</v>
      </c>
      <c r="H932" s="172">
        <f t="shared" si="499"/>
        <v>11</v>
      </c>
      <c r="I932" s="172">
        <f t="shared" si="499"/>
        <v>11</v>
      </c>
      <c r="J932" s="228"/>
      <c r="K932" s="117"/>
      <c r="L932" s="117"/>
    </row>
    <row r="933" spans="1:12" s="253" customFormat="1" ht="31.5">
      <c r="A933" s="25" t="s">
        <v>150</v>
      </c>
      <c r="B933" s="16">
        <v>908</v>
      </c>
      <c r="C933" s="20" t="s">
        <v>251</v>
      </c>
      <c r="D933" s="20" t="s">
        <v>232</v>
      </c>
      <c r="E933" s="20" t="s">
        <v>1313</v>
      </c>
      <c r="F933" s="20" t="s">
        <v>151</v>
      </c>
      <c r="G933" s="26">
        <v>11</v>
      </c>
      <c r="H933" s="172">
        <v>11</v>
      </c>
      <c r="I933" s="172">
        <v>11</v>
      </c>
      <c r="J933" s="228"/>
      <c r="K933" s="117"/>
      <c r="L933" s="117"/>
    </row>
    <row r="934" spans="1:12" s="253" customFormat="1" ht="31.5">
      <c r="A934" s="23" t="s">
        <v>955</v>
      </c>
      <c r="B934" s="19">
        <v>908</v>
      </c>
      <c r="C934" s="24" t="s">
        <v>251</v>
      </c>
      <c r="D934" s="24" t="s">
        <v>232</v>
      </c>
      <c r="E934" s="24" t="s">
        <v>1138</v>
      </c>
      <c r="F934" s="24"/>
      <c r="G934" s="21">
        <f>G935+G938</f>
        <v>1663.9</v>
      </c>
      <c r="H934" s="272">
        <f aca="true" t="shared" si="500" ref="H934:I934">H935+H938</f>
        <v>1663.9</v>
      </c>
      <c r="I934" s="272">
        <f t="shared" si="500"/>
        <v>1663.9</v>
      </c>
      <c r="J934" s="228"/>
      <c r="K934" s="117"/>
      <c r="L934" s="117"/>
    </row>
    <row r="935" spans="1:12" s="253" customFormat="1" ht="31.5">
      <c r="A935" s="25" t="s">
        <v>708</v>
      </c>
      <c r="B935" s="16">
        <v>908</v>
      </c>
      <c r="C935" s="20" t="s">
        <v>251</v>
      </c>
      <c r="D935" s="20" t="s">
        <v>232</v>
      </c>
      <c r="E935" s="20" t="s">
        <v>1139</v>
      </c>
      <c r="F935" s="20"/>
      <c r="G935" s="26">
        <f>G936</f>
        <v>244</v>
      </c>
      <c r="H935" s="261">
        <f aca="true" t="shared" si="501" ref="H935:I936">H936</f>
        <v>244</v>
      </c>
      <c r="I935" s="261">
        <f t="shared" si="501"/>
        <v>244</v>
      </c>
      <c r="J935" s="228"/>
      <c r="K935" s="117"/>
      <c r="L935" s="117"/>
    </row>
    <row r="936" spans="1:12" s="253" customFormat="1" ht="31.5">
      <c r="A936" s="25" t="s">
        <v>148</v>
      </c>
      <c r="B936" s="16">
        <v>908</v>
      </c>
      <c r="C936" s="20" t="s">
        <v>251</v>
      </c>
      <c r="D936" s="20" t="s">
        <v>232</v>
      </c>
      <c r="E936" s="20" t="s">
        <v>1139</v>
      </c>
      <c r="F936" s="20" t="s">
        <v>149</v>
      </c>
      <c r="G936" s="26">
        <f>G937</f>
        <v>244</v>
      </c>
      <c r="H936" s="261">
        <f t="shared" si="501"/>
        <v>244</v>
      </c>
      <c r="I936" s="261">
        <f t="shared" si="501"/>
        <v>244</v>
      </c>
      <c r="J936" s="228"/>
      <c r="K936" s="117"/>
      <c r="L936" s="117"/>
    </row>
    <row r="937" spans="1:12" s="253" customFormat="1" ht="31.5">
      <c r="A937" s="25" t="s">
        <v>150</v>
      </c>
      <c r="B937" s="16">
        <v>908</v>
      </c>
      <c r="C937" s="20" t="s">
        <v>251</v>
      </c>
      <c r="D937" s="20" t="s">
        <v>232</v>
      </c>
      <c r="E937" s="20" t="s">
        <v>1139</v>
      </c>
      <c r="F937" s="20" t="s">
        <v>151</v>
      </c>
      <c r="G937" s="26">
        <v>244</v>
      </c>
      <c r="H937" s="261">
        <v>244</v>
      </c>
      <c r="I937" s="261">
        <v>244</v>
      </c>
      <c r="J937" s="228"/>
      <c r="K937" s="117"/>
      <c r="L937" s="117"/>
    </row>
    <row r="938" spans="1:12" s="253" customFormat="1" ht="47.25">
      <c r="A938" s="25" t="s">
        <v>1266</v>
      </c>
      <c r="B938" s="16">
        <v>908</v>
      </c>
      <c r="C938" s="20" t="s">
        <v>251</v>
      </c>
      <c r="D938" s="20" t="s">
        <v>232</v>
      </c>
      <c r="E938" s="20" t="s">
        <v>1267</v>
      </c>
      <c r="F938" s="20"/>
      <c r="G938" s="26">
        <f>G939</f>
        <v>1419.9</v>
      </c>
      <c r="H938" s="26">
        <f aca="true" t="shared" si="502" ref="H938:I939">H939</f>
        <v>1419.9</v>
      </c>
      <c r="I938" s="26">
        <f t="shared" si="502"/>
        <v>1419.9</v>
      </c>
      <c r="J938" s="228"/>
      <c r="K938" s="117"/>
      <c r="L938" s="117"/>
    </row>
    <row r="939" spans="1:12" s="253" customFormat="1" ht="31.5">
      <c r="A939" s="25" t="s">
        <v>148</v>
      </c>
      <c r="B939" s="16">
        <v>908</v>
      </c>
      <c r="C939" s="20" t="s">
        <v>251</v>
      </c>
      <c r="D939" s="20" t="s">
        <v>232</v>
      </c>
      <c r="E939" s="20" t="s">
        <v>1267</v>
      </c>
      <c r="F939" s="20" t="s">
        <v>149</v>
      </c>
      <c r="G939" s="26">
        <f>G940</f>
        <v>1419.9</v>
      </c>
      <c r="H939" s="26">
        <f t="shared" si="502"/>
        <v>1419.9</v>
      </c>
      <c r="I939" s="26">
        <f t="shared" si="502"/>
        <v>1419.9</v>
      </c>
      <c r="J939" s="228"/>
      <c r="K939" s="117"/>
      <c r="L939" s="117"/>
    </row>
    <row r="940" spans="1:12" s="253" customFormat="1" ht="31.5">
      <c r="A940" s="25" t="s">
        <v>150</v>
      </c>
      <c r="B940" s="16">
        <v>908</v>
      </c>
      <c r="C940" s="20" t="s">
        <v>251</v>
      </c>
      <c r="D940" s="20" t="s">
        <v>232</v>
      </c>
      <c r="E940" s="20" t="s">
        <v>1267</v>
      </c>
      <c r="F940" s="20" t="s">
        <v>151</v>
      </c>
      <c r="G940" s="26">
        <v>1419.9</v>
      </c>
      <c r="H940" s="26">
        <v>1419.9</v>
      </c>
      <c r="I940" s="26">
        <v>1419.9</v>
      </c>
      <c r="J940" s="228"/>
      <c r="K940" s="117"/>
      <c r="L940" s="117"/>
    </row>
    <row r="941" spans="1:12" ht="52.5" customHeight="1">
      <c r="A941" s="23" t="s">
        <v>825</v>
      </c>
      <c r="B941" s="19">
        <v>908</v>
      </c>
      <c r="C941" s="24" t="s">
        <v>251</v>
      </c>
      <c r="D941" s="24" t="s">
        <v>232</v>
      </c>
      <c r="E941" s="24" t="s">
        <v>736</v>
      </c>
      <c r="F941" s="24"/>
      <c r="G941" s="21">
        <f>G942</f>
        <v>500</v>
      </c>
      <c r="H941" s="272">
        <f aca="true" t="shared" si="503" ref="H941:I944">H942</f>
        <v>2614.5200000000004</v>
      </c>
      <c r="I941" s="272">
        <f t="shared" si="503"/>
        <v>2614.5200000000004</v>
      </c>
      <c r="L941" s="244"/>
    </row>
    <row r="942" spans="1:12" s="253" customFormat="1" ht="34.5" customHeight="1">
      <c r="A942" s="23" t="s">
        <v>1262</v>
      </c>
      <c r="B942" s="19">
        <v>908</v>
      </c>
      <c r="C942" s="24" t="s">
        <v>251</v>
      </c>
      <c r="D942" s="24" t="s">
        <v>232</v>
      </c>
      <c r="E942" s="24" t="s">
        <v>1311</v>
      </c>
      <c r="F942" s="24"/>
      <c r="G942" s="21">
        <f>G943</f>
        <v>500</v>
      </c>
      <c r="H942" s="272">
        <f t="shared" si="503"/>
        <v>2614.5200000000004</v>
      </c>
      <c r="I942" s="272">
        <f t="shared" si="503"/>
        <v>2614.5200000000004</v>
      </c>
      <c r="J942" s="228"/>
      <c r="K942" s="117"/>
      <c r="L942" s="244"/>
    </row>
    <row r="943" spans="1:12" ht="48.75" customHeight="1">
      <c r="A943" s="86" t="s">
        <v>711</v>
      </c>
      <c r="B943" s="16">
        <v>908</v>
      </c>
      <c r="C943" s="20" t="s">
        <v>251</v>
      </c>
      <c r="D943" s="20" t="s">
        <v>232</v>
      </c>
      <c r="E943" s="20" t="s">
        <v>885</v>
      </c>
      <c r="F943" s="20"/>
      <c r="G943" s="26">
        <f>G944</f>
        <v>500</v>
      </c>
      <c r="H943" s="261">
        <f t="shared" si="503"/>
        <v>2614.5200000000004</v>
      </c>
      <c r="I943" s="261">
        <f t="shared" si="503"/>
        <v>2614.5200000000004</v>
      </c>
      <c r="L943" s="117"/>
    </row>
    <row r="944" spans="1:12" ht="31.5">
      <c r="A944" s="25" t="s">
        <v>148</v>
      </c>
      <c r="B944" s="16">
        <v>908</v>
      </c>
      <c r="C944" s="20" t="s">
        <v>251</v>
      </c>
      <c r="D944" s="20" t="s">
        <v>232</v>
      </c>
      <c r="E944" s="20" t="s">
        <v>885</v>
      </c>
      <c r="F944" s="20" t="s">
        <v>149</v>
      </c>
      <c r="G944" s="26">
        <f>G945</f>
        <v>500</v>
      </c>
      <c r="H944" s="261">
        <f t="shared" si="503"/>
        <v>2614.5200000000004</v>
      </c>
      <c r="I944" s="261">
        <f t="shared" si="503"/>
        <v>2614.5200000000004</v>
      </c>
      <c r="L944" s="117"/>
    </row>
    <row r="945" spans="1:12" ht="31.5">
      <c r="A945" s="25" t="s">
        <v>150</v>
      </c>
      <c r="B945" s="16">
        <v>908</v>
      </c>
      <c r="C945" s="20" t="s">
        <v>251</v>
      </c>
      <c r="D945" s="20" t="s">
        <v>232</v>
      </c>
      <c r="E945" s="20" t="s">
        <v>885</v>
      </c>
      <c r="F945" s="20" t="s">
        <v>151</v>
      </c>
      <c r="G945" s="26">
        <v>500</v>
      </c>
      <c r="H945" s="261">
        <f aca="true" t="shared" si="504" ref="H945:I945">500+2114.52+5000-5000</f>
        <v>2614.5200000000004</v>
      </c>
      <c r="I945" s="261">
        <f t="shared" si="504"/>
        <v>2614.5200000000004</v>
      </c>
      <c r="J945" s="273" t="s">
        <v>1210</v>
      </c>
      <c r="K945" s="117">
        <v>2114.52</v>
      </c>
      <c r="L945" s="117"/>
    </row>
    <row r="946" spans="1:12" ht="31.5">
      <c r="A946" s="23" t="s">
        <v>586</v>
      </c>
      <c r="B946" s="19">
        <v>908</v>
      </c>
      <c r="C946" s="24" t="s">
        <v>251</v>
      </c>
      <c r="D946" s="24" t="s">
        <v>251</v>
      </c>
      <c r="E946" s="24"/>
      <c r="F946" s="24"/>
      <c r="G946" s="21">
        <f>G947+G959+G976</f>
        <v>23769.396</v>
      </c>
      <c r="H946" s="272">
        <f aca="true" t="shared" si="505" ref="H946:I946">H947+H959</f>
        <v>28887.3</v>
      </c>
      <c r="I946" s="272">
        <f t="shared" si="505"/>
        <v>28887.3</v>
      </c>
      <c r="L946" s="117"/>
    </row>
    <row r="947" spans="1:12" ht="31.5">
      <c r="A947" s="23" t="s">
        <v>995</v>
      </c>
      <c r="B947" s="19">
        <v>908</v>
      </c>
      <c r="C947" s="24" t="s">
        <v>251</v>
      </c>
      <c r="D947" s="24" t="s">
        <v>251</v>
      </c>
      <c r="E947" s="24" t="s">
        <v>909</v>
      </c>
      <c r="F947" s="24"/>
      <c r="G947" s="21">
        <f>G948</f>
        <v>13391.887999999999</v>
      </c>
      <c r="H947" s="272">
        <f aca="true" t="shared" si="506" ref="H947:I947">H948</f>
        <v>12857.2</v>
      </c>
      <c r="I947" s="272">
        <f t="shared" si="506"/>
        <v>12857.2</v>
      </c>
      <c r="L947" s="117"/>
    </row>
    <row r="948" spans="1:12" ht="15.75">
      <c r="A948" s="23" t="s">
        <v>996</v>
      </c>
      <c r="B948" s="19">
        <v>908</v>
      </c>
      <c r="C948" s="24" t="s">
        <v>251</v>
      </c>
      <c r="D948" s="24" t="s">
        <v>251</v>
      </c>
      <c r="E948" s="24" t="s">
        <v>910</v>
      </c>
      <c r="F948" s="24"/>
      <c r="G948" s="21">
        <f>G949+G956</f>
        <v>13391.887999999999</v>
      </c>
      <c r="H948" s="272">
        <f aca="true" t="shared" si="507" ref="H948:I948">H949+H956</f>
        <v>12857.2</v>
      </c>
      <c r="I948" s="272">
        <f t="shared" si="507"/>
        <v>12857.2</v>
      </c>
      <c r="L948" s="117"/>
    </row>
    <row r="949" spans="1:12" ht="31.5">
      <c r="A949" s="25" t="s">
        <v>972</v>
      </c>
      <c r="B949" s="16">
        <v>908</v>
      </c>
      <c r="C949" s="20" t="s">
        <v>251</v>
      </c>
      <c r="D949" s="20" t="s">
        <v>251</v>
      </c>
      <c r="E949" s="20" t="s">
        <v>911</v>
      </c>
      <c r="F949" s="20"/>
      <c r="G949" s="26">
        <f>G950+G954+G952</f>
        <v>13021.887999999999</v>
      </c>
      <c r="H949" s="261">
        <f aca="true" t="shared" si="508" ref="H949:I949">H950+H954+H952</f>
        <v>12857.2</v>
      </c>
      <c r="I949" s="261">
        <f t="shared" si="508"/>
        <v>12857.2</v>
      </c>
      <c r="L949" s="117"/>
    </row>
    <row r="950" spans="1:12" ht="60.75" customHeight="1">
      <c r="A950" s="25" t="s">
        <v>144</v>
      </c>
      <c r="B950" s="16">
        <v>908</v>
      </c>
      <c r="C950" s="20" t="s">
        <v>251</v>
      </c>
      <c r="D950" s="20" t="s">
        <v>251</v>
      </c>
      <c r="E950" s="20" t="s">
        <v>911</v>
      </c>
      <c r="F950" s="20" t="s">
        <v>145</v>
      </c>
      <c r="G950" s="26">
        <f>G951</f>
        <v>12949.887999999999</v>
      </c>
      <c r="H950" s="261">
        <f aca="true" t="shared" si="509" ref="H950:I950">H951</f>
        <v>12785.7</v>
      </c>
      <c r="I950" s="261">
        <f t="shared" si="509"/>
        <v>12785.7</v>
      </c>
      <c r="L950" s="117"/>
    </row>
    <row r="951" spans="1:12" ht="31.5">
      <c r="A951" s="25" t="s">
        <v>146</v>
      </c>
      <c r="B951" s="16">
        <v>908</v>
      </c>
      <c r="C951" s="20" t="s">
        <v>251</v>
      </c>
      <c r="D951" s="20" t="s">
        <v>251</v>
      </c>
      <c r="E951" s="20" t="s">
        <v>911</v>
      </c>
      <c r="F951" s="20" t="s">
        <v>147</v>
      </c>
      <c r="G951" s="27">
        <f>12416*1.043</f>
        <v>12949.887999999999</v>
      </c>
      <c r="H951" s="262">
        <v>12785.7</v>
      </c>
      <c r="I951" s="262">
        <v>12785.7</v>
      </c>
      <c r="J951" s="362" t="s">
        <v>891</v>
      </c>
      <c r="K951" s="117">
        <v>1.043</v>
      </c>
      <c r="L951" s="117"/>
    </row>
    <row r="952" spans="1:12" ht="31.5">
      <c r="A952" s="25" t="s">
        <v>148</v>
      </c>
      <c r="B952" s="16">
        <v>908</v>
      </c>
      <c r="C952" s="20" t="s">
        <v>251</v>
      </c>
      <c r="D952" s="20" t="s">
        <v>251</v>
      </c>
      <c r="E952" s="20" t="s">
        <v>911</v>
      </c>
      <c r="F952" s="20" t="s">
        <v>149</v>
      </c>
      <c r="G952" s="26">
        <f>G953</f>
        <v>25</v>
      </c>
      <c r="H952" s="261">
        <f aca="true" t="shared" si="510" ref="H952:I952">H953</f>
        <v>25</v>
      </c>
      <c r="I952" s="261">
        <f t="shared" si="510"/>
        <v>25</v>
      </c>
      <c r="L952" s="117"/>
    </row>
    <row r="953" spans="1:14" ht="36.75" customHeight="1">
      <c r="A953" s="25" t="s">
        <v>150</v>
      </c>
      <c r="B953" s="16">
        <v>908</v>
      </c>
      <c r="C953" s="20" t="s">
        <v>251</v>
      </c>
      <c r="D953" s="20" t="s">
        <v>251</v>
      </c>
      <c r="E953" s="20" t="s">
        <v>911</v>
      </c>
      <c r="F953" s="20" t="s">
        <v>151</v>
      </c>
      <c r="G953" s="27">
        <v>25</v>
      </c>
      <c r="H953" s="262">
        <v>25</v>
      </c>
      <c r="I953" s="262">
        <v>25</v>
      </c>
      <c r="J953" s="275"/>
      <c r="L953" s="117"/>
      <c r="M953" s="117"/>
      <c r="N953" s="117"/>
    </row>
    <row r="954" spans="1:12" ht="15.75">
      <c r="A954" s="25" t="s">
        <v>152</v>
      </c>
      <c r="B954" s="16">
        <v>908</v>
      </c>
      <c r="C954" s="20" t="s">
        <v>251</v>
      </c>
      <c r="D954" s="20" t="s">
        <v>251</v>
      </c>
      <c r="E954" s="20" t="s">
        <v>911</v>
      </c>
      <c r="F954" s="20" t="s">
        <v>162</v>
      </c>
      <c r="G954" s="26">
        <f>G955</f>
        <v>47</v>
      </c>
      <c r="H954" s="261">
        <f aca="true" t="shared" si="511" ref="H954:I954">H955</f>
        <v>46.5</v>
      </c>
      <c r="I954" s="261">
        <f t="shared" si="511"/>
        <v>46.5</v>
      </c>
      <c r="L954" s="117"/>
    </row>
    <row r="955" spans="1:12" ht="15.75">
      <c r="A955" s="25" t="s">
        <v>585</v>
      </c>
      <c r="B955" s="16">
        <v>908</v>
      </c>
      <c r="C955" s="20" t="s">
        <v>251</v>
      </c>
      <c r="D955" s="20" t="s">
        <v>251</v>
      </c>
      <c r="E955" s="20" t="s">
        <v>911</v>
      </c>
      <c r="F955" s="20" t="s">
        <v>155</v>
      </c>
      <c r="G955" s="26">
        <v>47</v>
      </c>
      <c r="H955" s="261">
        <f aca="true" t="shared" si="512" ref="H955:I955">65.3-18.8</f>
        <v>46.5</v>
      </c>
      <c r="I955" s="261">
        <f t="shared" si="512"/>
        <v>46.5</v>
      </c>
      <c r="J955" s="273"/>
      <c r="L955" s="117"/>
    </row>
    <row r="956" spans="1:12" s="253" customFormat="1" ht="31.5">
      <c r="A956" s="25" t="s">
        <v>889</v>
      </c>
      <c r="B956" s="16">
        <v>908</v>
      </c>
      <c r="C956" s="20" t="s">
        <v>251</v>
      </c>
      <c r="D956" s="20" t="s">
        <v>251</v>
      </c>
      <c r="E956" s="20" t="s">
        <v>913</v>
      </c>
      <c r="F956" s="20"/>
      <c r="G956" s="26">
        <f>G957</f>
        <v>370</v>
      </c>
      <c r="H956" s="261">
        <f aca="true" t="shared" si="513" ref="H956:I957">H957</f>
        <v>0</v>
      </c>
      <c r="I956" s="261">
        <f t="shared" si="513"/>
        <v>0</v>
      </c>
      <c r="J956" s="283"/>
      <c r="K956" s="117"/>
      <c r="L956" s="117"/>
    </row>
    <row r="957" spans="1:12" s="253" customFormat="1" ht="63">
      <c r="A957" s="25" t="s">
        <v>144</v>
      </c>
      <c r="B957" s="16">
        <v>908</v>
      </c>
      <c r="C957" s="20" t="s">
        <v>251</v>
      </c>
      <c r="D957" s="20" t="s">
        <v>251</v>
      </c>
      <c r="E957" s="20" t="s">
        <v>913</v>
      </c>
      <c r="F957" s="20" t="s">
        <v>145</v>
      </c>
      <c r="G957" s="26">
        <f>G958</f>
        <v>370</v>
      </c>
      <c r="H957" s="261">
        <f t="shared" si="513"/>
        <v>0</v>
      </c>
      <c r="I957" s="261">
        <f t="shared" si="513"/>
        <v>0</v>
      </c>
      <c r="J957" s="283"/>
      <c r="K957" s="117"/>
      <c r="L957" s="117"/>
    </row>
    <row r="958" spans="1:12" s="253" customFormat="1" ht="31.5">
      <c r="A958" s="25" t="s">
        <v>146</v>
      </c>
      <c r="B958" s="16">
        <v>908</v>
      </c>
      <c r="C958" s="20" t="s">
        <v>251</v>
      </c>
      <c r="D958" s="20" t="s">
        <v>251</v>
      </c>
      <c r="E958" s="20" t="s">
        <v>913</v>
      </c>
      <c r="F958" s="20" t="s">
        <v>147</v>
      </c>
      <c r="G958" s="26">
        <v>370</v>
      </c>
      <c r="H958" s="308"/>
      <c r="I958" s="308"/>
      <c r="J958" s="283"/>
      <c r="K958" s="117"/>
      <c r="L958" s="117"/>
    </row>
    <row r="959" spans="1:12" ht="15.75">
      <c r="A959" s="23" t="s">
        <v>158</v>
      </c>
      <c r="B959" s="19">
        <v>908</v>
      </c>
      <c r="C959" s="24" t="s">
        <v>251</v>
      </c>
      <c r="D959" s="24" t="s">
        <v>251</v>
      </c>
      <c r="E959" s="24" t="s">
        <v>917</v>
      </c>
      <c r="F959" s="24"/>
      <c r="G959" s="21">
        <f>G960+G967</f>
        <v>10320.508</v>
      </c>
      <c r="H959" s="272">
        <f aca="true" t="shared" si="514" ref="H959:I959">H960+H967</f>
        <v>16030.099999999999</v>
      </c>
      <c r="I959" s="272">
        <f t="shared" si="514"/>
        <v>16030.099999999999</v>
      </c>
      <c r="L959" s="117"/>
    </row>
    <row r="960" spans="1:12" s="253" customFormat="1" ht="31.5">
      <c r="A960" s="23" t="s">
        <v>921</v>
      </c>
      <c r="B960" s="19">
        <v>908</v>
      </c>
      <c r="C960" s="24" t="s">
        <v>251</v>
      </c>
      <c r="D960" s="24" t="s">
        <v>251</v>
      </c>
      <c r="E960" s="24" t="s">
        <v>916</v>
      </c>
      <c r="F960" s="24"/>
      <c r="G960" s="21">
        <f>G961+G964</f>
        <v>982</v>
      </c>
      <c r="H960" s="272">
        <f aca="true" t="shared" si="515" ref="H960:I960">H961+H964</f>
        <v>6982.2</v>
      </c>
      <c r="I960" s="272">
        <f t="shared" si="515"/>
        <v>6982.2</v>
      </c>
      <c r="J960" s="228"/>
      <c r="K960" s="117"/>
      <c r="L960" s="117"/>
    </row>
    <row r="961" spans="1:12" ht="31.5">
      <c r="A961" s="25" t="s">
        <v>587</v>
      </c>
      <c r="B961" s="16">
        <v>908</v>
      </c>
      <c r="C961" s="20" t="s">
        <v>251</v>
      </c>
      <c r="D961" s="20" t="s">
        <v>251</v>
      </c>
      <c r="E961" s="20" t="s">
        <v>1140</v>
      </c>
      <c r="F961" s="20"/>
      <c r="G961" s="27">
        <f>G962</f>
        <v>982</v>
      </c>
      <c r="H961" s="262">
        <f aca="true" t="shared" si="516" ref="H961:I962">H962</f>
        <v>982.2</v>
      </c>
      <c r="I961" s="262">
        <f t="shared" si="516"/>
        <v>982.2</v>
      </c>
      <c r="L961" s="117"/>
    </row>
    <row r="962" spans="1:12" ht="15.75">
      <c r="A962" s="25" t="s">
        <v>152</v>
      </c>
      <c r="B962" s="16">
        <v>908</v>
      </c>
      <c r="C962" s="20" t="s">
        <v>251</v>
      </c>
      <c r="D962" s="20" t="s">
        <v>251</v>
      </c>
      <c r="E962" s="20" t="s">
        <v>1140</v>
      </c>
      <c r="F962" s="20" t="s">
        <v>162</v>
      </c>
      <c r="G962" s="27">
        <f>G963</f>
        <v>982</v>
      </c>
      <c r="H962" s="262">
        <f t="shared" si="516"/>
        <v>982.2</v>
      </c>
      <c r="I962" s="262">
        <f t="shared" si="516"/>
        <v>982.2</v>
      </c>
      <c r="L962" s="117"/>
    </row>
    <row r="963" spans="1:12" ht="47.25" customHeight="1">
      <c r="A963" s="25" t="s">
        <v>201</v>
      </c>
      <c r="B963" s="16">
        <v>908</v>
      </c>
      <c r="C963" s="20" t="s">
        <v>251</v>
      </c>
      <c r="D963" s="20" t="s">
        <v>251</v>
      </c>
      <c r="E963" s="20" t="s">
        <v>1140</v>
      </c>
      <c r="F963" s="20" t="s">
        <v>177</v>
      </c>
      <c r="G963" s="27">
        <v>982</v>
      </c>
      <c r="H963" s="262">
        <f aca="true" t="shared" si="517" ref="H963:I963">982.2</f>
        <v>982.2</v>
      </c>
      <c r="I963" s="262">
        <f t="shared" si="517"/>
        <v>982.2</v>
      </c>
      <c r="J963" s="273"/>
      <c r="K963" s="245"/>
      <c r="L963" s="117"/>
    </row>
    <row r="964" spans="1:12" s="253" customFormat="1" ht="37.5" customHeight="1" hidden="1">
      <c r="A964" s="25" t="s">
        <v>872</v>
      </c>
      <c r="B964" s="16">
        <v>908</v>
      </c>
      <c r="C964" s="20" t="s">
        <v>251</v>
      </c>
      <c r="D964" s="20" t="s">
        <v>251</v>
      </c>
      <c r="E964" s="20" t="s">
        <v>1268</v>
      </c>
      <c r="F964" s="20"/>
      <c r="G964" s="27">
        <f>G965</f>
        <v>0</v>
      </c>
      <c r="H964" s="262">
        <f aca="true" t="shared" si="518" ref="H964:I965">H965</f>
        <v>6000</v>
      </c>
      <c r="I964" s="262">
        <f t="shared" si="518"/>
        <v>6000</v>
      </c>
      <c r="J964" s="283"/>
      <c r="K964" s="303"/>
      <c r="L964" s="117"/>
    </row>
    <row r="965" spans="1:12" s="253" customFormat="1" ht="21.75" customHeight="1" hidden="1">
      <c r="A965" s="25" t="s">
        <v>152</v>
      </c>
      <c r="B965" s="16">
        <v>908</v>
      </c>
      <c r="C965" s="20" t="s">
        <v>251</v>
      </c>
      <c r="D965" s="20" t="s">
        <v>251</v>
      </c>
      <c r="E965" s="20" t="s">
        <v>1268</v>
      </c>
      <c r="F965" s="20" t="s">
        <v>162</v>
      </c>
      <c r="G965" s="27">
        <f>G966</f>
        <v>0</v>
      </c>
      <c r="H965" s="262">
        <f t="shared" si="518"/>
        <v>6000</v>
      </c>
      <c r="I965" s="262">
        <f t="shared" si="518"/>
        <v>6000</v>
      </c>
      <c r="J965" s="283"/>
      <c r="K965" s="303"/>
      <c r="L965" s="117"/>
    </row>
    <row r="966" spans="1:12" s="253" customFormat="1" ht="47.25" customHeight="1" hidden="1">
      <c r="A966" s="25" t="s">
        <v>201</v>
      </c>
      <c r="B966" s="16">
        <v>908</v>
      </c>
      <c r="C966" s="20" t="s">
        <v>251</v>
      </c>
      <c r="D966" s="20" t="s">
        <v>251</v>
      </c>
      <c r="E966" s="20" t="s">
        <v>1268</v>
      </c>
      <c r="F966" s="20" t="s">
        <v>177</v>
      </c>
      <c r="G966" s="27">
        <v>0</v>
      </c>
      <c r="H966" s="262">
        <v>6000</v>
      </c>
      <c r="I966" s="262">
        <v>6000</v>
      </c>
      <c r="J966" s="283"/>
      <c r="K966" s="303"/>
      <c r="L966" s="117"/>
    </row>
    <row r="967" spans="1:12" s="253" customFormat="1" ht="36.75" customHeight="1">
      <c r="A967" s="23" t="s">
        <v>1009</v>
      </c>
      <c r="B967" s="19">
        <v>908</v>
      </c>
      <c r="C967" s="24" t="s">
        <v>251</v>
      </c>
      <c r="D967" s="24" t="s">
        <v>251</v>
      </c>
      <c r="E967" s="24" t="s">
        <v>992</v>
      </c>
      <c r="F967" s="24"/>
      <c r="G967" s="45">
        <f>G968+G973</f>
        <v>9338.508</v>
      </c>
      <c r="H967" s="284">
        <f aca="true" t="shared" si="519" ref="H967:I967">H968+H973</f>
        <v>9047.9</v>
      </c>
      <c r="I967" s="284">
        <f t="shared" si="519"/>
        <v>9047.9</v>
      </c>
      <c r="J967" s="283"/>
      <c r="K967" s="303"/>
      <c r="L967" s="117"/>
    </row>
    <row r="968" spans="1:12" ht="31.5">
      <c r="A968" s="25" t="s">
        <v>979</v>
      </c>
      <c r="B968" s="16">
        <v>908</v>
      </c>
      <c r="C968" s="20" t="s">
        <v>251</v>
      </c>
      <c r="D968" s="20" t="s">
        <v>251</v>
      </c>
      <c r="E968" s="20" t="s">
        <v>993</v>
      </c>
      <c r="F968" s="20"/>
      <c r="G968" s="26">
        <f>G969+G971</f>
        <v>8838.508</v>
      </c>
      <c r="H968" s="261">
        <f aca="true" t="shared" si="520" ref="H968:I968">H969+H971</f>
        <v>9047.9</v>
      </c>
      <c r="I968" s="261">
        <f t="shared" si="520"/>
        <v>9047.9</v>
      </c>
      <c r="K968" s="1"/>
      <c r="L968" s="117"/>
    </row>
    <row r="969" spans="1:12" ht="69.75" customHeight="1">
      <c r="A969" s="25" t="s">
        <v>144</v>
      </c>
      <c r="B969" s="16">
        <v>908</v>
      </c>
      <c r="C969" s="20" t="s">
        <v>251</v>
      </c>
      <c r="D969" s="20" t="s">
        <v>251</v>
      </c>
      <c r="E969" s="20" t="s">
        <v>993</v>
      </c>
      <c r="F969" s="20" t="s">
        <v>145</v>
      </c>
      <c r="G969" s="26">
        <f>G970</f>
        <v>7046.508</v>
      </c>
      <c r="H969" s="261">
        <f aca="true" t="shared" si="521" ref="H969:I969">H970</f>
        <v>7255.7</v>
      </c>
      <c r="I969" s="261">
        <f t="shared" si="521"/>
        <v>7255.7</v>
      </c>
      <c r="K969" s="1"/>
      <c r="L969" s="117"/>
    </row>
    <row r="970" spans="1:12" ht="29.25" customHeight="1">
      <c r="A970" s="25" t="s">
        <v>359</v>
      </c>
      <c r="B970" s="16">
        <v>908</v>
      </c>
      <c r="C970" s="20" t="s">
        <v>251</v>
      </c>
      <c r="D970" s="20" t="s">
        <v>251</v>
      </c>
      <c r="E970" s="20" t="s">
        <v>993</v>
      </c>
      <c r="F970" s="20" t="s">
        <v>226</v>
      </c>
      <c r="G970" s="27">
        <f>6756*1.043</f>
        <v>7046.508</v>
      </c>
      <c r="H970" s="262">
        <v>7255.7</v>
      </c>
      <c r="I970" s="262">
        <v>7255.7</v>
      </c>
      <c r="J970" s="362" t="s">
        <v>891</v>
      </c>
      <c r="K970" s="245" t="s">
        <v>1338</v>
      </c>
      <c r="L970" s="117"/>
    </row>
    <row r="971" spans="1:12" ht="31.5">
      <c r="A971" s="25" t="s">
        <v>148</v>
      </c>
      <c r="B971" s="16">
        <v>908</v>
      </c>
      <c r="C971" s="20" t="s">
        <v>251</v>
      </c>
      <c r="D971" s="20" t="s">
        <v>251</v>
      </c>
      <c r="E971" s="20" t="s">
        <v>993</v>
      </c>
      <c r="F971" s="20" t="s">
        <v>149</v>
      </c>
      <c r="G971" s="26">
        <f>G972</f>
        <v>1792</v>
      </c>
      <c r="H971" s="261">
        <f aca="true" t="shared" si="522" ref="H971:I971">H972</f>
        <v>1792.2</v>
      </c>
      <c r="I971" s="261">
        <f t="shared" si="522"/>
        <v>1792.2</v>
      </c>
      <c r="L971" s="117"/>
    </row>
    <row r="972" spans="1:12" ht="31.5">
      <c r="A972" s="25" t="s">
        <v>150</v>
      </c>
      <c r="B972" s="16">
        <v>908</v>
      </c>
      <c r="C972" s="20" t="s">
        <v>251</v>
      </c>
      <c r="D972" s="20" t="s">
        <v>251</v>
      </c>
      <c r="E972" s="20" t="s">
        <v>993</v>
      </c>
      <c r="F972" s="20" t="s">
        <v>151</v>
      </c>
      <c r="G972" s="27">
        <f>3670-1877.8-0.2</f>
        <v>1792</v>
      </c>
      <c r="H972" s="262">
        <f aca="true" t="shared" si="523" ref="H972:I972">3670-1877.8</f>
        <v>1792.2</v>
      </c>
      <c r="I972" s="262">
        <f t="shared" si="523"/>
        <v>1792.2</v>
      </c>
      <c r="J972" s="273"/>
      <c r="L972" s="117"/>
    </row>
    <row r="973" spans="1:12" s="253" customFormat="1" ht="31.5">
      <c r="A973" s="25" t="s">
        <v>889</v>
      </c>
      <c r="B973" s="16">
        <v>908</v>
      </c>
      <c r="C973" s="20" t="s">
        <v>251</v>
      </c>
      <c r="D973" s="20" t="s">
        <v>251</v>
      </c>
      <c r="E973" s="20" t="s">
        <v>994</v>
      </c>
      <c r="F973" s="20"/>
      <c r="G973" s="26">
        <f>G974</f>
        <v>500</v>
      </c>
      <c r="H973" s="261">
        <f aca="true" t="shared" si="524" ref="H973:I974">H974</f>
        <v>0</v>
      </c>
      <c r="I973" s="261">
        <f t="shared" si="524"/>
        <v>0</v>
      </c>
      <c r="J973" s="283"/>
      <c r="K973" s="117"/>
      <c r="L973" s="117"/>
    </row>
    <row r="974" spans="1:12" s="253" customFormat="1" ht="63">
      <c r="A974" s="25" t="s">
        <v>144</v>
      </c>
      <c r="B974" s="16">
        <v>908</v>
      </c>
      <c r="C974" s="20" t="s">
        <v>251</v>
      </c>
      <c r="D974" s="20" t="s">
        <v>251</v>
      </c>
      <c r="E974" s="20" t="s">
        <v>994</v>
      </c>
      <c r="F974" s="20" t="s">
        <v>145</v>
      </c>
      <c r="G974" s="26">
        <f>G975</f>
        <v>500</v>
      </c>
      <c r="H974" s="261">
        <f t="shared" si="524"/>
        <v>0</v>
      </c>
      <c r="I974" s="261">
        <f t="shared" si="524"/>
        <v>0</v>
      </c>
      <c r="J974" s="283"/>
      <c r="K974" s="117"/>
      <c r="L974" s="117"/>
    </row>
    <row r="975" spans="1:12" s="253" customFormat="1" ht="15.75">
      <c r="A975" s="25" t="s">
        <v>359</v>
      </c>
      <c r="B975" s="16">
        <v>908</v>
      </c>
      <c r="C975" s="20" t="s">
        <v>251</v>
      </c>
      <c r="D975" s="20" t="s">
        <v>251</v>
      </c>
      <c r="E975" s="20" t="s">
        <v>994</v>
      </c>
      <c r="F975" s="20" t="s">
        <v>226</v>
      </c>
      <c r="G975" s="26">
        <v>500</v>
      </c>
      <c r="H975" s="308"/>
      <c r="I975" s="308"/>
      <c r="J975" s="283"/>
      <c r="K975" s="117"/>
      <c r="L975" s="117"/>
    </row>
    <row r="976" spans="1:12" s="253" customFormat="1" ht="47.25">
      <c r="A976" s="35" t="s">
        <v>807</v>
      </c>
      <c r="B976" s="19">
        <v>908</v>
      </c>
      <c r="C976" s="24" t="s">
        <v>251</v>
      </c>
      <c r="D976" s="24" t="s">
        <v>251</v>
      </c>
      <c r="E976" s="24" t="s">
        <v>341</v>
      </c>
      <c r="F976" s="24"/>
      <c r="G976" s="21">
        <f>G977</f>
        <v>57</v>
      </c>
      <c r="H976" s="308"/>
      <c r="I976" s="308"/>
      <c r="J976" s="283"/>
      <c r="K976" s="117"/>
      <c r="L976" s="117"/>
    </row>
    <row r="977" spans="1:12" s="253" customFormat="1" ht="47.25">
      <c r="A977" s="35" t="s">
        <v>1171</v>
      </c>
      <c r="B977" s="19">
        <v>908</v>
      </c>
      <c r="C977" s="24" t="s">
        <v>251</v>
      </c>
      <c r="D977" s="24" t="s">
        <v>251</v>
      </c>
      <c r="E977" s="24" t="s">
        <v>1033</v>
      </c>
      <c r="F977" s="24"/>
      <c r="G977" s="21">
        <f>G978</f>
        <v>57</v>
      </c>
      <c r="H977" s="308"/>
      <c r="I977" s="308"/>
      <c r="J977" s="283"/>
      <c r="K977" s="117"/>
      <c r="L977" s="117"/>
    </row>
    <row r="978" spans="1:12" s="253" customFormat="1" ht="47.25">
      <c r="A978" s="32" t="s">
        <v>1290</v>
      </c>
      <c r="B978" s="16">
        <v>908</v>
      </c>
      <c r="C978" s="20" t="s">
        <v>251</v>
      </c>
      <c r="D978" s="20" t="s">
        <v>251</v>
      </c>
      <c r="E978" s="20" t="s">
        <v>1204</v>
      </c>
      <c r="F978" s="20"/>
      <c r="G978" s="26">
        <f>G979</f>
        <v>57</v>
      </c>
      <c r="H978" s="308"/>
      <c r="I978" s="308"/>
      <c r="J978" s="283"/>
      <c r="K978" s="117"/>
      <c r="L978" s="117"/>
    </row>
    <row r="979" spans="1:12" s="253" customFormat="1" ht="31.5">
      <c r="A979" s="25" t="s">
        <v>148</v>
      </c>
      <c r="B979" s="16">
        <v>908</v>
      </c>
      <c r="C979" s="20" t="s">
        <v>251</v>
      </c>
      <c r="D979" s="20" t="s">
        <v>251</v>
      </c>
      <c r="E979" s="20" t="s">
        <v>1204</v>
      </c>
      <c r="F979" s="20" t="s">
        <v>149</v>
      </c>
      <c r="G979" s="26">
        <f>G980</f>
        <v>57</v>
      </c>
      <c r="H979" s="308"/>
      <c r="I979" s="308"/>
      <c r="J979" s="283"/>
      <c r="K979" s="117"/>
      <c r="L979" s="117"/>
    </row>
    <row r="980" spans="1:12" s="253" customFormat="1" ht="31.5">
      <c r="A980" s="25" t="s">
        <v>150</v>
      </c>
      <c r="B980" s="16">
        <v>908</v>
      </c>
      <c r="C980" s="20" t="s">
        <v>251</v>
      </c>
      <c r="D980" s="20" t="s">
        <v>251</v>
      </c>
      <c r="E980" s="20" t="s">
        <v>1204</v>
      </c>
      <c r="F980" s="20" t="s">
        <v>151</v>
      </c>
      <c r="G980" s="26">
        <v>57</v>
      </c>
      <c r="H980" s="308"/>
      <c r="I980" s="308"/>
      <c r="J980" s="283"/>
      <c r="K980" s="117"/>
      <c r="L980" s="117"/>
    </row>
    <row r="981" spans="1:12" ht="15.75">
      <c r="A981" s="23" t="s">
        <v>260</v>
      </c>
      <c r="B981" s="19">
        <v>908</v>
      </c>
      <c r="C981" s="24" t="s">
        <v>261</v>
      </c>
      <c r="D981" s="24"/>
      <c r="E981" s="24"/>
      <c r="F981" s="24"/>
      <c r="G981" s="21">
        <f aca="true" t="shared" si="525" ref="G981:I983">G982</f>
        <v>87</v>
      </c>
      <c r="H981" s="272">
        <f t="shared" si="525"/>
        <v>87.1</v>
      </c>
      <c r="I981" s="272">
        <f t="shared" si="525"/>
        <v>87.1</v>
      </c>
      <c r="L981" s="117"/>
    </row>
    <row r="982" spans="1:12" ht="15.75">
      <c r="A982" s="23" t="s">
        <v>275</v>
      </c>
      <c r="B982" s="19">
        <v>908</v>
      </c>
      <c r="C982" s="24" t="s">
        <v>261</v>
      </c>
      <c r="D982" s="24" t="s">
        <v>137</v>
      </c>
      <c r="E982" s="24"/>
      <c r="F982" s="24"/>
      <c r="G982" s="21">
        <f t="shared" si="525"/>
        <v>87</v>
      </c>
      <c r="H982" s="272">
        <f t="shared" si="525"/>
        <v>87.1</v>
      </c>
      <c r="I982" s="272">
        <f t="shared" si="525"/>
        <v>87.1</v>
      </c>
      <c r="L982" s="117"/>
    </row>
    <row r="983" spans="1:12" ht="15.75">
      <c r="A983" s="23" t="s">
        <v>158</v>
      </c>
      <c r="B983" s="19">
        <v>908</v>
      </c>
      <c r="C983" s="24" t="s">
        <v>261</v>
      </c>
      <c r="D983" s="24" t="s">
        <v>137</v>
      </c>
      <c r="E983" s="24" t="s">
        <v>917</v>
      </c>
      <c r="F983" s="24"/>
      <c r="G983" s="21">
        <f>G984</f>
        <v>87</v>
      </c>
      <c r="H983" s="272">
        <f t="shared" si="525"/>
        <v>87.1</v>
      </c>
      <c r="I983" s="272">
        <f t="shared" si="525"/>
        <v>87.1</v>
      </c>
      <c r="L983" s="117"/>
    </row>
    <row r="984" spans="1:12" ht="15.75">
      <c r="A984" s="23" t="s">
        <v>158</v>
      </c>
      <c r="B984" s="19">
        <v>908</v>
      </c>
      <c r="C984" s="24" t="s">
        <v>261</v>
      </c>
      <c r="D984" s="24" t="s">
        <v>137</v>
      </c>
      <c r="E984" s="24" t="s">
        <v>916</v>
      </c>
      <c r="F984" s="24"/>
      <c r="G984" s="21">
        <f>G985</f>
        <v>87</v>
      </c>
      <c r="H984" s="272">
        <f aca="true" t="shared" si="526" ref="H984:I984">H985</f>
        <v>87.1</v>
      </c>
      <c r="I984" s="272">
        <f t="shared" si="526"/>
        <v>87.1</v>
      </c>
      <c r="L984" s="117"/>
    </row>
    <row r="985" spans="1:12" ht="31.5">
      <c r="A985" s="23" t="s">
        <v>921</v>
      </c>
      <c r="B985" s="19">
        <v>908</v>
      </c>
      <c r="C985" s="24" t="s">
        <v>261</v>
      </c>
      <c r="D985" s="24" t="s">
        <v>137</v>
      </c>
      <c r="E985" s="24" t="s">
        <v>916</v>
      </c>
      <c r="F985" s="24"/>
      <c r="G985" s="21">
        <f>G986</f>
        <v>87</v>
      </c>
      <c r="H985" s="272">
        <f aca="true" t="shared" si="527" ref="H985:I987">H986</f>
        <v>87.1</v>
      </c>
      <c r="I985" s="272">
        <f t="shared" si="527"/>
        <v>87.1</v>
      </c>
      <c r="L985" s="117"/>
    </row>
    <row r="986" spans="1:12" ht="15.75">
      <c r="A986" s="25" t="s">
        <v>589</v>
      </c>
      <c r="B986" s="16">
        <v>908</v>
      </c>
      <c r="C986" s="20" t="s">
        <v>261</v>
      </c>
      <c r="D986" s="20" t="s">
        <v>137</v>
      </c>
      <c r="E986" s="20" t="s">
        <v>1141</v>
      </c>
      <c r="F986" s="20"/>
      <c r="G986" s="26">
        <f>G987</f>
        <v>87</v>
      </c>
      <c r="H986" s="261">
        <f t="shared" si="527"/>
        <v>87.1</v>
      </c>
      <c r="I986" s="261">
        <f t="shared" si="527"/>
        <v>87.1</v>
      </c>
      <c r="L986" s="117"/>
    </row>
    <row r="987" spans="1:12" ht="31.5">
      <c r="A987" s="25" t="s">
        <v>148</v>
      </c>
      <c r="B987" s="16">
        <v>908</v>
      </c>
      <c r="C987" s="20" t="s">
        <v>261</v>
      </c>
      <c r="D987" s="20" t="s">
        <v>137</v>
      </c>
      <c r="E987" s="20" t="s">
        <v>1141</v>
      </c>
      <c r="F987" s="20" t="s">
        <v>149</v>
      </c>
      <c r="G987" s="26">
        <f>G988</f>
        <v>87</v>
      </c>
      <c r="H987" s="261">
        <f t="shared" si="527"/>
        <v>87.1</v>
      </c>
      <c r="I987" s="261">
        <f t="shared" si="527"/>
        <v>87.1</v>
      </c>
      <c r="L987" s="117"/>
    </row>
    <row r="988" spans="1:12" ht="31.5">
      <c r="A988" s="25" t="s">
        <v>150</v>
      </c>
      <c r="B988" s="16">
        <v>908</v>
      </c>
      <c r="C988" s="20" t="s">
        <v>261</v>
      </c>
      <c r="D988" s="20" t="s">
        <v>137</v>
      </c>
      <c r="E988" s="20" t="s">
        <v>1141</v>
      </c>
      <c r="F988" s="20" t="s">
        <v>151</v>
      </c>
      <c r="G988" s="26">
        <v>87</v>
      </c>
      <c r="H988" s="261">
        <v>87.1</v>
      </c>
      <c r="I988" s="261">
        <v>87.1</v>
      </c>
      <c r="L988" s="117"/>
    </row>
    <row r="989" spans="1:12" ht="33" customHeight="1">
      <c r="A989" s="19" t="s">
        <v>591</v>
      </c>
      <c r="B989" s="19">
        <v>910</v>
      </c>
      <c r="C989" s="48"/>
      <c r="D989" s="48"/>
      <c r="E989" s="48"/>
      <c r="F989" s="48"/>
      <c r="G989" s="21">
        <f>G990</f>
        <v>7932.6810000000005</v>
      </c>
      <c r="H989" s="272">
        <f aca="true" t="shared" si="528" ref="H989:I989">H990</f>
        <v>8523.7</v>
      </c>
      <c r="I989" s="272">
        <f t="shared" si="528"/>
        <v>8523.7</v>
      </c>
      <c r="J989" s="275">
        <f>G989-G1007</f>
        <v>7907.6810000000005</v>
      </c>
      <c r="L989" s="117"/>
    </row>
    <row r="990" spans="1:12" ht="15.75">
      <c r="A990" s="23" t="s">
        <v>134</v>
      </c>
      <c r="B990" s="19">
        <v>910</v>
      </c>
      <c r="C990" s="24" t="s">
        <v>135</v>
      </c>
      <c r="D990" s="24"/>
      <c r="E990" s="24"/>
      <c r="F990" s="24"/>
      <c r="G990" s="21">
        <f>G991+G1010+G1021</f>
        <v>7932.6810000000005</v>
      </c>
      <c r="H990" s="272">
        <f>H991+H1010+H1021</f>
        <v>8523.7</v>
      </c>
      <c r="I990" s="272">
        <f>I991+I1010+I1021</f>
        <v>8523.7</v>
      </c>
      <c r="L990" s="117"/>
    </row>
    <row r="991" spans="1:12" ht="47.25">
      <c r="A991" s="23" t="s">
        <v>592</v>
      </c>
      <c r="B991" s="19">
        <v>910</v>
      </c>
      <c r="C991" s="24" t="s">
        <v>135</v>
      </c>
      <c r="D991" s="24" t="s">
        <v>230</v>
      </c>
      <c r="E991" s="24"/>
      <c r="F991" s="24"/>
      <c r="G991" s="21">
        <f>G992+G1002</f>
        <v>4537.53</v>
      </c>
      <c r="H991" s="272">
        <f aca="true" t="shared" si="529" ref="H991:I991">H992+H1002</f>
        <v>4356.3</v>
      </c>
      <c r="I991" s="272">
        <f t="shared" si="529"/>
        <v>4356.3</v>
      </c>
      <c r="L991" s="117"/>
    </row>
    <row r="992" spans="1:12" ht="31.5">
      <c r="A992" s="23" t="s">
        <v>995</v>
      </c>
      <c r="B992" s="19">
        <v>910</v>
      </c>
      <c r="C992" s="24" t="s">
        <v>135</v>
      </c>
      <c r="D992" s="24" t="s">
        <v>230</v>
      </c>
      <c r="E992" s="24" t="s">
        <v>909</v>
      </c>
      <c r="F992" s="24"/>
      <c r="G992" s="21">
        <f>G993</f>
        <v>4512.03</v>
      </c>
      <c r="H992" s="272">
        <f aca="true" t="shared" si="530" ref="H992:I992">H993</f>
        <v>4330.8</v>
      </c>
      <c r="I992" s="272">
        <f t="shared" si="530"/>
        <v>4330.8</v>
      </c>
      <c r="L992" s="117"/>
    </row>
    <row r="993" spans="1:12" ht="15.75">
      <c r="A993" s="23" t="s">
        <v>1142</v>
      </c>
      <c r="B993" s="19">
        <v>910</v>
      </c>
      <c r="C993" s="24" t="s">
        <v>135</v>
      </c>
      <c r="D993" s="24" t="s">
        <v>230</v>
      </c>
      <c r="E993" s="24" t="s">
        <v>1143</v>
      </c>
      <c r="F993" s="24"/>
      <c r="G993" s="21">
        <f>G994+G999</f>
        <v>4512.03</v>
      </c>
      <c r="H993" s="272">
        <f aca="true" t="shared" si="531" ref="H993:I993">H994+H999</f>
        <v>4330.8</v>
      </c>
      <c r="I993" s="272">
        <f t="shared" si="531"/>
        <v>4330.8</v>
      </c>
      <c r="L993" s="117"/>
    </row>
    <row r="994" spans="1:12" ht="31.5">
      <c r="A994" s="25" t="s">
        <v>593</v>
      </c>
      <c r="B994" s="16">
        <v>910</v>
      </c>
      <c r="C994" s="20" t="s">
        <v>135</v>
      </c>
      <c r="D994" s="20" t="s">
        <v>230</v>
      </c>
      <c r="E994" s="20" t="s">
        <v>1144</v>
      </c>
      <c r="F994" s="20"/>
      <c r="G994" s="26">
        <f>G995+G997</f>
        <v>4412.03</v>
      </c>
      <c r="H994" s="261">
        <f aca="true" t="shared" si="532" ref="H994:I994">H995+H997</f>
        <v>4330.8</v>
      </c>
      <c r="I994" s="261">
        <f t="shared" si="532"/>
        <v>4330.8</v>
      </c>
      <c r="L994" s="117"/>
    </row>
    <row r="995" spans="1:12" ht="63">
      <c r="A995" s="25" t="s">
        <v>144</v>
      </c>
      <c r="B995" s="16">
        <v>910</v>
      </c>
      <c r="C995" s="20" t="s">
        <v>135</v>
      </c>
      <c r="D995" s="20" t="s">
        <v>230</v>
      </c>
      <c r="E995" s="20" t="s">
        <v>1144</v>
      </c>
      <c r="F995" s="20" t="s">
        <v>145</v>
      </c>
      <c r="G995" s="26">
        <f>G996</f>
        <v>4391.03</v>
      </c>
      <c r="H995" s="261">
        <f aca="true" t="shared" si="533" ref="H995:I995">H996</f>
        <v>4309.8</v>
      </c>
      <c r="I995" s="261">
        <f t="shared" si="533"/>
        <v>4309.8</v>
      </c>
      <c r="L995" s="117"/>
    </row>
    <row r="996" spans="1:12" ht="31.5">
      <c r="A996" s="25" t="s">
        <v>146</v>
      </c>
      <c r="B996" s="16">
        <v>910</v>
      </c>
      <c r="C996" s="20" t="s">
        <v>135</v>
      </c>
      <c r="D996" s="20" t="s">
        <v>230</v>
      </c>
      <c r="E996" s="20" t="s">
        <v>1144</v>
      </c>
      <c r="F996" s="20" t="s">
        <v>147</v>
      </c>
      <c r="G996" s="27">
        <f>4210*1.043</f>
        <v>4391.03</v>
      </c>
      <c r="H996" s="262">
        <f aca="true" t="shared" si="534" ref="H996:I996">4581.8-522.1+250.1</f>
        <v>4309.8</v>
      </c>
      <c r="I996" s="262">
        <f t="shared" si="534"/>
        <v>4309.8</v>
      </c>
      <c r="J996" s="362" t="s">
        <v>891</v>
      </c>
      <c r="K996" s="117">
        <v>1.043</v>
      </c>
      <c r="L996" s="117"/>
    </row>
    <row r="997" spans="1:12" ht="34.5" customHeight="1">
      <c r="A997" s="25" t="s">
        <v>215</v>
      </c>
      <c r="B997" s="16">
        <v>910</v>
      </c>
      <c r="C997" s="20" t="s">
        <v>135</v>
      </c>
      <c r="D997" s="20" t="s">
        <v>230</v>
      </c>
      <c r="E997" s="20" t="s">
        <v>1144</v>
      </c>
      <c r="F997" s="20" t="s">
        <v>149</v>
      </c>
      <c r="G997" s="26">
        <f>G998</f>
        <v>21</v>
      </c>
      <c r="H997" s="261">
        <f aca="true" t="shared" si="535" ref="H997:I997">H998</f>
        <v>21</v>
      </c>
      <c r="I997" s="261">
        <f t="shared" si="535"/>
        <v>21</v>
      </c>
      <c r="L997" s="117"/>
    </row>
    <row r="998" spans="1:12" ht="30" customHeight="1">
      <c r="A998" s="25" t="s">
        <v>150</v>
      </c>
      <c r="B998" s="16">
        <v>910</v>
      </c>
      <c r="C998" s="20" t="s">
        <v>135</v>
      </c>
      <c r="D998" s="20" t="s">
        <v>230</v>
      </c>
      <c r="E998" s="20" t="s">
        <v>1144</v>
      </c>
      <c r="F998" s="20" t="s">
        <v>151</v>
      </c>
      <c r="G998" s="26">
        <v>21</v>
      </c>
      <c r="H998" s="261">
        <v>21</v>
      </c>
      <c r="I998" s="261">
        <v>21</v>
      </c>
      <c r="L998" s="117"/>
    </row>
    <row r="999" spans="1:12" s="253" customFormat="1" ht="30" customHeight="1">
      <c r="A999" s="25" t="s">
        <v>889</v>
      </c>
      <c r="B999" s="16">
        <v>910</v>
      </c>
      <c r="C999" s="20" t="s">
        <v>135</v>
      </c>
      <c r="D999" s="20" t="s">
        <v>230</v>
      </c>
      <c r="E999" s="20" t="s">
        <v>1145</v>
      </c>
      <c r="F999" s="20"/>
      <c r="G999" s="26">
        <f>G1000</f>
        <v>100</v>
      </c>
      <c r="H999" s="261">
        <f aca="true" t="shared" si="536" ref="H999:I1000">H1000</f>
        <v>0</v>
      </c>
      <c r="I999" s="261">
        <f t="shared" si="536"/>
        <v>0</v>
      </c>
      <c r="J999" s="228"/>
      <c r="K999" s="117"/>
      <c r="L999" s="117"/>
    </row>
    <row r="1000" spans="1:12" s="253" customFormat="1" ht="30" customHeight="1">
      <c r="A1000" s="25" t="s">
        <v>144</v>
      </c>
      <c r="B1000" s="16">
        <v>910</v>
      </c>
      <c r="C1000" s="20" t="s">
        <v>135</v>
      </c>
      <c r="D1000" s="20" t="s">
        <v>230</v>
      </c>
      <c r="E1000" s="20" t="s">
        <v>1145</v>
      </c>
      <c r="F1000" s="20" t="s">
        <v>145</v>
      </c>
      <c r="G1000" s="26">
        <f>G1001</f>
        <v>100</v>
      </c>
      <c r="H1000" s="261">
        <f t="shared" si="536"/>
        <v>0</v>
      </c>
      <c r="I1000" s="261">
        <f t="shared" si="536"/>
        <v>0</v>
      </c>
      <c r="J1000" s="228"/>
      <c r="K1000" s="117"/>
      <c r="L1000" s="117"/>
    </row>
    <row r="1001" spans="1:12" s="253" customFormat="1" ht="30" customHeight="1">
      <c r="A1001" s="25" t="s">
        <v>146</v>
      </c>
      <c r="B1001" s="16">
        <v>910</v>
      </c>
      <c r="C1001" s="20" t="s">
        <v>135</v>
      </c>
      <c r="D1001" s="20" t="s">
        <v>230</v>
      </c>
      <c r="E1001" s="20" t="s">
        <v>1145</v>
      </c>
      <c r="F1001" s="20" t="s">
        <v>147</v>
      </c>
      <c r="G1001" s="26">
        <v>100</v>
      </c>
      <c r="H1001" s="308"/>
      <c r="I1001" s="308"/>
      <c r="J1001" s="228"/>
      <c r="K1001" s="117"/>
      <c r="L1001" s="117"/>
    </row>
    <row r="1002" spans="1:12" s="253" customFormat="1" ht="30" customHeight="1">
      <c r="A1002" s="23" t="s">
        <v>1151</v>
      </c>
      <c r="B1002" s="19">
        <v>910</v>
      </c>
      <c r="C1002" s="24" t="s">
        <v>135</v>
      </c>
      <c r="D1002" s="24" t="s">
        <v>230</v>
      </c>
      <c r="E1002" s="24" t="s">
        <v>179</v>
      </c>
      <c r="F1002" s="24"/>
      <c r="G1002" s="21">
        <f>G1003</f>
        <v>25.5</v>
      </c>
      <c r="H1002" s="272">
        <f aca="true" t="shared" si="537" ref="H1002:I1002">H1003</f>
        <v>25.5</v>
      </c>
      <c r="I1002" s="272">
        <f t="shared" si="537"/>
        <v>25.5</v>
      </c>
      <c r="J1002" s="228"/>
      <c r="K1002" s="117"/>
      <c r="L1002" s="117"/>
    </row>
    <row r="1003" spans="1:12" s="253" customFormat="1" ht="62.25" customHeight="1">
      <c r="A1003" s="321" t="s">
        <v>894</v>
      </c>
      <c r="B1003" s="19">
        <v>910</v>
      </c>
      <c r="C1003" s="24" t="s">
        <v>135</v>
      </c>
      <c r="D1003" s="24" t="s">
        <v>230</v>
      </c>
      <c r="E1003" s="24" t="s">
        <v>901</v>
      </c>
      <c r="F1003" s="24"/>
      <c r="G1003" s="21">
        <f>G1004+G1007</f>
        <v>25.5</v>
      </c>
      <c r="H1003" s="272">
        <f aca="true" t="shared" si="538" ref="H1003:I1003">H1004+H1007</f>
        <v>25.5</v>
      </c>
      <c r="I1003" s="272">
        <f t="shared" si="538"/>
        <v>25.5</v>
      </c>
      <c r="J1003" s="228"/>
      <c r="K1003" s="117"/>
      <c r="L1003" s="117"/>
    </row>
    <row r="1004" spans="1:12" s="253" customFormat="1" ht="37.5" customHeight="1">
      <c r="A1004" s="32" t="s">
        <v>1321</v>
      </c>
      <c r="B1004" s="16">
        <v>910</v>
      </c>
      <c r="C1004" s="20" t="s">
        <v>135</v>
      </c>
      <c r="D1004" s="20" t="s">
        <v>230</v>
      </c>
      <c r="E1004" s="41" t="s">
        <v>1150</v>
      </c>
      <c r="F1004" s="20"/>
      <c r="G1004" s="26">
        <f>G1005</f>
        <v>0.5</v>
      </c>
      <c r="H1004" s="261">
        <f aca="true" t="shared" si="539" ref="H1004:I1005">H1005</f>
        <v>0.5</v>
      </c>
      <c r="I1004" s="261">
        <f t="shared" si="539"/>
        <v>0.5</v>
      </c>
      <c r="J1004" s="228"/>
      <c r="K1004" s="117"/>
      <c r="L1004" s="117"/>
    </row>
    <row r="1005" spans="1:12" s="253" customFormat="1" ht="30" customHeight="1">
      <c r="A1005" s="25" t="s">
        <v>148</v>
      </c>
      <c r="B1005" s="16">
        <v>910</v>
      </c>
      <c r="C1005" s="20" t="s">
        <v>135</v>
      </c>
      <c r="D1005" s="20" t="s">
        <v>230</v>
      </c>
      <c r="E1005" s="41" t="s">
        <v>1150</v>
      </c>
      <c r="F1005" s="20" t="s">
        <v>149</v>
      </c>
      <c r="G1005" s="26">
        <f>G1006</f>
        <v>0.5</v>
      </c>
      <c r="H1005" s="261">
        <f t="shared" si="539"/>
        <v>0.5</v>
      </c>
      <c r="I1005" s="261">
        <f t="shared" si="539"/>
        <v>0.5</v>
      </c>
      <c r="J1005" s="228"/>
      <c r="K1005" s="117"/>
      <c r="L1005" s="117"/>
    </row>
    <row r="1006" spans="1:12" s="253" customFormat="1" ht="30" customHeight="1">
      <c r="A1006" s="25" t="s">
        <v>150</v>
      </c>
      <c r="B1006" s="16">
        <v>910</v>
      </c>
      <c r="C1006" s="20" t="s">
        <v>135</v>
      </c>
      <c r="D1006" s="20" t="s">
        <v>230</v>
      </c>
      <c r="E1006" s="41" t="s">
        <v>714</v>
      </c>
      <c r="F1006" s="20" t="s">
        <v>151</v>
      </c>
      <c r="G1006" s="26">
        <v>0.5</v>
      </c>
      <c r="H1006" s="261">
        <v>0.5</v>
      </c>
      <c r="I1006" s="261">
        <v>0.5</v>
      </c>
      <c r="J1006" s="228"/>
      <c r="K1006" s="117"/>
      <c r="L1006" s="117"/>
    </row>
    <row r="1007" spans="1:12" s="253" customFormat="1" ht="50.25" customHeight="1">
      <c r="A1007" s="32" t="s">
        <v>713</v>
      </c>
      <c r="B1007" s="16">
        <v>910</v>
      </c>
      <c r="C1007" s="20" t="s">
        <v>135</v>
      </c>
      <c r="D1007" s="20" t="s">
        <v>230</v>
      </c>
      <c r="E1007" s="20" t="s">
        <v>1149</v>
      </c>
      <c r="F1007" s="20"/>
      <c r="G1007" s="26">
        <f>G1008</f>
        <v>25</v>
      </c>
      <c r="H1007" s="261">
        <f aca="true" t="shared" si="540" ref="H1007:I1008">H1008</f>
        <v>25</v>
      </c>
      <c r="I1007" s="261">
        <f t="shared" si="540"/>
        <v>25</v>
      </c>
      <c r="J1007" s="228"/>
      <c r="K1007" s="117"/>
      <c r="L1007" s="117"/>
    </row>
    <row r="1008" spans="1:12" s="253" customFormat="1" ht="30" customHeight="1">
      <c r="A1008" s="25" t="s">
        <v>148</v>
      </c>
      <c r="B1008" s="16">
        <v>910</v>
      </c>
      <c r="C1008" s="20" t="s">
        <v>135</v>
      </c>
      <c r="D1008" s="20" t="s">
        <v>230</v>
      </c>
      <c r="E1008" s="20" t="s">
        <v>1149</v>
      </c>
      <c r="F1008" s="20" t="s">
        <v>149</v>
      </c>
      <c r="G1008" s="26">
        <f>G1009</f>
        <v>25</v>
      </c>
      <c r="H1008" s="261">
        <f t="shared" si="540"/>
        <v>25</v>
      </c>
      <c r="I1008" s="261">
        <f t="shared" si="540"/>
        <v>25</v>
      </c>
      <c r="J1008" s="228"/>
      <c r="K1008" s="117"/>
      <c r="L1008" s="117"/>
    </row>
    <row r="1009" spans="1:12" s="253" customFormat="1" ht="30" customHeight="1">
      <c r="A1009" s="25" t="s">
        <v>150</v>
      </c>
      <c r="B1009" s="16">
        <v>910</v>
      </c>
      <c r="C1009" s="20" t="s">
        <v>135</v>
      </c>
      <c r="D1009" s="20" t="s">
        <v>230</v>
      </c>
      <c r="E1009" s="20" t="s">
        <v>1149</v>
      </c>
      <c r="F1009" s="20" t="s">
        <v>151</v>
      </c>
      <c r="G1009" s="26">
        <f>40-40+25</f>
        <v>25</v>
      </c>
      <c r="H1009" s="261">
        <f aca="true" t="shared" si="541" ref="H1009:I1009">40-40+25</f>
        <v>25</v>
      </c>
      <c r="I1009" s="261">
        <f t="shared" si="541"/>
        <v>25</v>
      </c>
      <c r="J1009" s="228"/>
      <c r="K1009" s="117"/>
      <c r="L1009" s="117"/>
    </row>
    <row r="1010" spans="1:12" ht="47.25" customHeight="1">
      <c r="A1010" s="23" t="s">
        <v>595</v>
      </c>
      <c r="B1010" s="19">
        <v>910</v>
      </c>
      <c r="C1010" s="24" t="s">
        <v>135</v>
      </c>
      <c r="D1010" s="24" t="s">
        <v>232</v>
      </c>
      <c r="E1010" s="24"/>
      <c r="F1010" s="24"/>
      <c r="G1010" s="21">
        <f>G1011</f>
        <v>1259.989</v>
      </c>
      <c r="H1010" s="272">
        <f aca="true" t="shared" si="542" ref="H1010:I1011">H1011</f>
        <v>1116</v>
      </c>
      <c r="I1010" s="272">
        <f t="shared" si="542"/>
        <v>1116</v>
      </c>
      <c r="L1010" s="117"/>
    </row>
    <row r="1011" spans="1:12" ht="31.5">
      <c r="A1011" s="23" t="s">
        <v>995</v>
      </c>
      <c r="B1011" s="19">
        <v>910</v>
      </c>
      <c r="C1011" s="24" t="s">
        <v>135</v>
      </c>
      <c r="D1011" s="24" t="s">
        <v>232</v>
      </c>
      <c r="E1011" s="24" t="s">
        <v>909</v>
      </c>
      <c r="F1011" s="24"/>
      <c r="G1011" s="21">
        <f>G1012</f>
        <v>1259.989</v>
      </c>
      <c r="H1011" s="272">
        <f t="shared" si="542"/>
        <v>1116</v>
      </c>
      <c r="I1011" s="272">
        <f t="shared" si="542"/>
        <v>1116</v>
      </c>
      <c r="L1011" s="117"/>
    </row>
    <row r="1012" spans="1:12" ht="15.75">
      <c r="A1012" s="23" t="s">
        <v>1142</v>
      </c>
      <c r="B1012" s="19">
        <v>910</v>
      </c>
      <c r="C1012" s="24" t="s">
        <v>135</v>
      </c>
      <c r="D1012" s="24" t="s">
        <v>232</v>
      </c>
      <c r="E1012" s="24" t="s">
        <v>1143</v>
      </c>
      <c r="F1012" s="24"/>
      <c r="G1012" s="21">
        <f>G1013+G1018</f>
        <v>1259.989</v>
      </c>
      <c r="H1012" s="272">
        <f>H1013+H1018</f>
        <v>1116</v>
      </c>
      <c r="I1012" s="272">
        <f>I1013+I1018</f>
        <v>1116</v>
      </c>
      <c r="L1012" s="117"/>
    </row>
    <row r="1013" spans="1:12" ht="31.5">
      <c r="A1013" s="25" t="s">
        <v>1146</v>
      </c>
      <c r="B1013" s="16">
        <v>910</v>
      </c>
      <c r="C1013" s="20" t="s">
        <v>135</v>
      </c>
      <c r="D1013" s="20" t="s">
        <v>232</v>
      </c>
      <c r="E1013" s="20" t="s">
        <v>1147</v>
      </c>
      <c r="F1013" s="20"/>
      <c r="G1013" s="26">
        <f>G1014+G1016</f>
        <v>1159.989</v>
      </c>
      <c r="H1013" s="261">
        <f aca="true" t="shared" si="543" ref="H1013:I1013">H1014+H1016</f>
        <v>1116</v>
      </c>
      <c r="I1013" s="261">
        <f t="shared" si="543"/>
        <v>1116</v>
      </c>
      <c r="L1013" s="117"/>
    </row>
    <row r="1014" spans="1:12" ht="63">
      <c r="A1014" s="25" t="s">
        <v>144</v>
      </c>
      <c r="B1014" s="16">
        <v>910</v>
      </c>
      <c r="C1014" s="20" t="s">
        <v>135</v>
      </c>
      <c r="D1014" s="20" t="s">
        <v>232</v>
      </c>
      <c r="E1014" s="20" t="s">
        <v>1147</v>
      </c>
      <c r="F1014" s="20" t="s">
        <v>145</v>
      </c>
      <c r="G1014" s="26">
        <f>G1015</f>
        <v>1066.989</v>
      </c>
      <c r="H1014" s="261">
        <f aca="true" t="shared" si="544" ref="H1014:I1014">H1015</f>
        <v>1023</v>
      </c>
      <c r="I1014" s="261">
        <f t="shared" si="544"/>
        <v>1023</v>
      </c>
      <c r="L1014" s="117"/>
    </row>
    <row r="1015" spans="1:12" ht="31.5">
      <c r="A1015" s="25" t="s">
        <v>146</v>
      </c>
      <c r="B1015" s="16">
        <v>910</v>
      </c>
      <c r="C1015" s="20" t="s">
        <v>135</v>
      </c>
      <c r="D1015" s="20" t="s">
        <v>232</v>
      </c>
      <c r="E1015" s="20" t="s">
        <v>1147</v>
      </c>
      <c r="F1015" s="20" t="s">
        <v>147</v>
      </c>
      <c r="G1015" s="26">
        <f>1023*1.043</f>
        <v>1066.989</v>
      </c>
      <c r="H1015" s="261">
        <f aca="true" t="shared" si="545" ref="H1015:I1015">1152.5-141.2+11.7</f>
        <v>1023</v>
      </c>
      <c r="I1015" s="261">
        <f t="shared" si="545"/>
        <v>1023</v>
      </c>
      <c r="J1015" s="273" t="s">
        <v>1338</v>
      </c>
      <c r="L1015" s="117"/>
    </row>
    <row r="1016" spans="1:12" ht="31.5">
      <c r="A1016" s="25" t="s">
        <v>215</v>
      </c>
      <c r="B1016" s="16">
        <v>910</v>
      </c>
      <c r="C1016" s="20" t="s">
        <v>135</v>
      </c>
      <c r="D1016" s="20" t="s">
        <v>232</v>
      </c>
      <c r="E1016" s="20" t="s">
        <v>1147</v>
      </c>
      <c r="F1016" s="20" t="s">
        <v>149</v>
      </c>
      <c r="G1016" s="26">
        <f>G1017</f>
        <v>93</v>
      </c>
      <c r="H1016" s="261">
        <f aca="true" t="shared" si="546" ref="H1016:I1016">H1017</f>
        <v>93</v>
      </c>
      <c r="I1016" s="261">
        <f t="shared" si="546"/>
        <v>93</v>
      </c>
      <c r="L1016" s="117"/>
    </row>
    <row r="1017" spans="1:12" ht="31.5">
      <c r="A1017" s="25" t="s">
        <v>150</v>
      </c>
      <c r="B1017" s="16">
        <v>910</v>
      </c>
      <c r="C1017" s="20" t="s">
        <v>135</v>
      </c>
      <c r="D1017" s="20" t="s">
        <v>232</v>
      </c>
      <c r="E1017" s="20" t="s">
        <v>1147</v>
      </c>
      <c r="F1017" s="20" t="s">
        <v>151</v>
      </c>
      <c r="G1017" s="26">
        <v>93</v>
      </c>
      <c r="H1017" s="261">
        <v>93</v>
      </c>
      <c r="I1017" s="261">
        <v>93</v>
      </c>
      <c r="L1017" s="117"/>
    </row>
    <row r="1018" spans="1:12" s="253" customFormat="1" ht="39.75" customHeight="1">
      <c r="A1018" s="25" t="s">
        <v>889</v>
      </c>
      <c r="B1018" s="16">
        <v>910</v>
      </c>
      <c r="C1018" s="20" t="s">
        <v>135</v>
      </c>
      <c r="D1018" s="20" t="s">
        <v>232</v>
      </c>
      <c r="E1018" s="20" t="s">
        <v>1145</v>
      </c>
      <c r="F1018" s="20"/>
      <c r="G1018" s="26">
        <f>G1019</f>
        <v>100</v>
      </c>
      <c r="H1018" s="261">
        <f aca="true" t="shared" si="547" ref="H1018:I1019">H1019</f>
        <v>0</v>
      </c>
      <c r="I1018" s="261">
        <f t="shared" si="547"/>
        <v>0</v>
      </c>
      <c r="J1018" s="228"/>
      <c r="K1018" s="117"/>
      <c r="L1018" s="117"/>
    </row>
    <row r="1019" spans="1:12" s="253" customFormat="1" ht="69.75" customHeight="1">
      <c r="A1019" s="25" t="s">
        <v>144</v>
      </c>
      <c r="B1019" s="16">
        <v>910</v>
      </c>
      <c r="C1019" s="20" t="s">
        <v>135</v>
      </c>
      <c r="D1019" s="20" t="s">
        <v>232</v>
      </c>
      <c r="E1019" s="20" t="s">
        <v>1145</v>
      </c>
      <c r="F1019" s="20" t="s">
        <v>145</v>
      </c>
      <c r="G1019" s="26">
        <f>G1020</f>
        <v>100</v>
      </c>
      <c r="H1019" s="261">
        <f t="shared" si="547"/>
        <v>0</v>
      </c>
      <c r="I1019" s="261">
        <f t="shared" si="547"/>
        <v>0</v>
      </c>
      <c r="J1019" s="228"/>
      <c r="K1019" s="117"/>
      <c r="L1019" s="117"/>
    </row>
    <row r="1020" spans="1:12" s="253" customFormat="1" ht="35.25" customHeight="1">
      <c r="A1020" s="25" t="s">
        <v>146</v>
      </c>
      <c r="B1020" s="16">
        <v>910</v>
      </c>
      <c r="C1020" s="20" t="s">
        <v>135</v>
      </c>
      <c r="D1020" s="20" t="s">
        <v>232</v>
      </c>
      <c r="E1020" s="20" t="s">
        <v>1145</v>
      </c>
      <c r="F1020" s="20" t="s">
        <v>147</v>
      </c>
      <c r="G1020" s="26">
        <v>100</v>
      </c>
      <c r="H1020" s="308"/>
      <c r="I1020" s="308"/>
      <c r="J1020" s="228" t="s">
        <v>1324</v>
      </c>
      <c r="K1020" s="117"/>
      <c r="L1020" s="117"/>
    </row>
    <row r="1021" spans="1:12" ht="47.25">
      <c r="A1021" s="23" t="s">
        <v>136</v>
      </c>
      <c r="B1021" s="19">
        <v>910</v>
      </c>
      <c r="C1021" s="24" t="s">
        <v>135</v>
      </c>
      <c r="D1021" s="24" t="s">
        <v>137</v>
      </c>
      <c r="E1021" s="24"/>
      <c r="F1021" s="24"/>
      <c r="G1021" s="21">
        <f>G1022</f>
        <v>2135.162</v>
      </c>
      <c r="H1021" s="272">
        <f aca="true" t="shared" si="548" ref="H1021:I1022">H1022</f>
        <v>3051.4000000000005</v>
      </c>
      <c r="I1021" s="272">
        <f t="shared" si="548"/>
        <v>3051.4000000000005</v>
      </c>
      <c r="L1021" s="117"/>
    </row>
    <row r="1022" spans="1:12" s="120" customFormat="1" ht="31.5">
      <c r="A1022" s="23" t="s">
        <v>995</v>
      </c>
      <c r="B1022" s="19">
        <v>910</v>
      </c>
      <c r="C1022" s="24" t="s">
        <v>135</v>
      </c>
      <c r="D1022" s="24" t="s">
        <v>137</v>
      </c>
      <c r="E1022" s="24" t="s">
        <v>909</v>
      </c>
      <c r="F1022" s="24"/>
      <c r="G1022" s="21">
        <f>G1023</f>
        <v>2135.162</v>
      </c>
      <c r="H1022" s="272">
        <f t="shared" si="548"/>
        <v>3051.4000000000005</v>
      </c>
      <c r="I1022" s="272">
        <f t="shared" si="548"/>
        <v>3051.4000000000005</v>
      </c>
      <c r="J1022" s="282"/>
      <c r="K1022" s="137"/>
      <c r="L1022" s="137"/>
    </row>
    <row r="1023" spans="1:12" s="120" customFormat="1" ht="15.75">
      <c r="A1023" s="23" t="s">
        <v>1142</v>
      </c>
      <c r="B1023" s="19">
        <v>910</v>
      </c>
      <c r="C1023" s="24" t="s">
        <v>135</v>
      </c>
      <c r="D1023" s="24" t="s">
        <v>137</v>
      </c>
      <c r="E1023" s="24" t="s">
        <v>1143</v>
      </c>
      <c r="F1023" s="24"/>
      <c r="G1023" s="21">
        <f>G1024+G1029</f>
        <v>2135.162</v>
      </c>
      <c r="H1023" s="272">
        <f aca="true" t="shared" si="549" ref="H1023:I1023">H1024+H1029</f>
        <v>3051.4000000000005</v>
      </c>
      <c r="I1023" s="272">
        <f t="shared" si="549"/>
        <v>3051.4000000000005</v>
      </c>
      <c r="J1023" s="282"/>
      <c r="K1023" s="137"/>
      <c r="L1023" s="137"/>
    </row>
    <row r="1024" spans="1:12" s="120" customFormat="1" ht="31.5">
      <c r="A1024" s="25" t="s">
        <v>972</v>
      </c>
      <c r="B1024" s="16">
        <v>910</v>
      </c>
      <c r="C1024" s="20" t="s">
        <v>135</v>
      </c>
      <c r="D1024" s="20" t="s">
        <v>137</v>
      </c>
      <c r="E1024" s="20" t="s">
        <v>1147</v>
      </c>
      <c r="F1024" s="20"/>
      <c r="G1024" s="26">
        <f>G1025+G1027</f>
        <v>2035.1619999999998</v>
      </c>
      <c r="H1024" s="261">
        <f aca="true" t="shared" si="550" ref="H1024:I1024">H1025+H1027</f>
        <v>3051.4000000000005</v>
      </c>
      <c r="I1024" s="261">
        <f t="shared" si="550"/>
        <v>3051.4000000000005</v>
      </c>
      <c r="J1024" s="282"/>
      <c r="K1024" s="137"/>
      <c r="L1024" s="137"/>
    </row>
    <row r="1025" spans="1:12" ht="63">
      <c r="A1025" s="25" t="s">
        <v>144</v>
      </c>
      <c r="B1025" s="16">
        <v>910</v>
      </c>
      <c r="C1025" s="20" t="s">
        <v>135</v>
      </c>
      <c r="D1025" s="20" t="s">
        <v>137</v>
      </c>
      <c r="E1025" s="20" t="s">
        <v>1147</v>
      </c>
      <c r="F1025" s="20" t="s">
        <v>145</v>
      </c>
      <c r="G1025" s="26">
        <f>G1026</f>
        <v>2017.1619999999998</v>
      </c>
      <c r="H1025" s="261">
        <f aca="true" t="shared" si="551" ref="H1025:I1025">H1026</f>
        <v>3033.1000000000004</v>
      </c>
      <c r="I1025" s="261">
        <f t="shared" si="551"/>
        <v>3033.1000000000004</v>
      </c>
      <c r="L1025" s="117"/>
    </row>
    <row r="1026" spans="1:12" ht="31.5">
      <c r="A1026" s="25" t="s">
        <v>146</v>
      </c>
      <c r="B1026" s="16">
        <v>910</v>
      </c>
      <c r="C1026" s="20" t="s">
        <v>135</v>
      </c>
      <c r="D1026" s="20" t="s">
        <v>137</v>
      </c>
      <c r="E1026" s="20" t="s">
        <v>1147</v>
      </c>
      <c r="F1026" s="20" t="s">
        <v>147</v>
      </c>
      <c r="G1026" s="26">
        <f>1934*1.043</f>
        <v>2017.1619999999998</v>
      </c>
      <c r="H1026" s="261">
        <f aca="true" t="shared" si="552" ref="H1026:I1026">1628.4+17.2+1387.5</f>
        <v>3033.1000000000004</v>
      </c>
      <c r="I1026" s="261">
        <f t="shared" si="552"/>
        <v>3033.1000000000004</v>
      </c>
      <c r="J1026" s="362" t="s">
        <v>891</v>
      </c>
      <c r="K1026" s="117">
        <v>1.043</v>
      </c>
      <c r="L1026" s="117"/>
    </row>
    <row r="1027" spans="1:12" ht="31.5">
      <c r="A1027" s="25" t="s">
        <v>215</v>
      </c>
      <c r="B1027" s="16">
        <v>910</v>
      </c>
      <c r="C1027" s="20" t="s">
        <v>135</v>
      </c>
      <c r="D1027" s="20" t="s">
        <v>137</v>
      </c>
      <c r="E1027" s="20" t="s">
        <v>1147</v>
      </c>
      <c r="F1027" s="20" t="s">
        <v>149</v>
      </c>
      <c r="G1027" s="26">
        <f>G1028</f>
        <v>18</v>
      </c>
      <c r="H1027" s="261">
        <f aca="true" t="shared" si="553" ref="H1027:I1027">H1028</f>
        <v>18.3</v>
      </c>
      <c r="I1027" s="261">
        <f t="shared" si="553"/>
        <v>18.3</v>
      </c>
      <c r="L1027" s="117"/>
    </row>
    <row r="1028" spans="1:12" ht="31.5">
      <c r="A1028" s="25" t="s">
        <v>150</v>
      </c>
      <c r="B1028" s="16">
        <v>910</v>
      </c>
      <c r="C1028" s="20" t="s">
        <v>135</v>
      </c>
      <c r="D1028" s="20" t="s">
        <v>137</v>
      </c>
      <c r="E1028" s="20" t="s">
        <v>1147</v>
      </c>
      <c r="F1028" s="20" t="s">
        <v>151</v>
      </c>
      <c r="G1028" s="26">
        <v>18</v>
      </c>
      <c r="H1028" s="261">
        <v>18.3</v>
      </c>
      <c r="I1028" s="261">
        <v>18.3</v>
      </c>
      <c r="L1028" s="117"/>
    </row>
    <row r="1029" spans="1:12" s="253" customFormat="1" ht="31.5">
      <c r="A1029" s="25" t="s">
        <v>889</v>
      </c>
      <c r="B1029" s="16">
        <v>910</v>
      </c>
      <c r="C1029" s="20" t="s">
        <v>135</v>
      </c>
      <c r="D1029" s="20" t="s">
        <v>137</v>
      </c>
      <c r="E1029" s="20" t="s">
        <v>1145</v>
      </c>
      <c r="F1029" s="20"/>
      <c r="G1029" s="26">
        <f>G1030</f>
        <v>100</v>
      </c>
      <c r="H1029" s="261">
        <f aca="true" t="shared" si="554" ref="H1029:I1030">H1030</f>
        <v>0</v>
      </c>
      <c r="I1029" s="261">
        <f t="shared" si="554"/>
        <v>0</v>
      </c>
      <c r="J1029" s="228"/>
      <c r="K1029" s="117"/>
      <c r="L1029" s="117"/>
    </row>
    <row r="1030" spans="1:12" s="253" customFormat="1" ht="63">
      <c r="A1030" s="25" t="s">
        <v>144</v>
      </c>
      <c r="B1030" s="16">
        <v>910</v>
      </c>
      <c r="C1030" s="20" t="s">
        <v>135</v>
      </c>
      <c r="D1030" s="20" t="s">
        <v>137</v>
      </c>
      <c r="E1030" s="20" t="s">
        <v>1145</v>
      </c>
      <c r="F1030" s="20" t="s">
        <v>145</v>
      </c>
      <c r="G1030" s="26">
        <f>G1031</f>
        <v>100</v>
      </c>
      <c r="H1030" s="261">
        <f t="shared" si="554"/>
        <v>0</v>
      </c>
      <c r="I1030" s="261">
        <f t="shared" si="554"/>
        <v>0</v>
      </c>
      <c r="J1030" s="228"/>
      <c r="K1030" s="117"/>
      <c r="L1030" s="117"/>
    </row>
    <row r="1031" spans="1:12" s="253" customFormat="1" ht="31.5">
      <c r="A1031" s="25" t="s">
        <v>146</v>
      </c>
      <c r="B1031" s="16">
        <v>910</v>
      </c>
      <c r="C1031" s="20" t="s">
        <v>135</v>
      </c>
      <c r="D1031" s="20" t="s">
        <v>137</v>
      </c>
      <c r="E1031" s="20" t="s">
        <v>1145</v>
      </c>
      <c r="F1031" s="20" t="s">
        <v>147</v>
      </c>
      <c r="G1031" s="26">
        <v>100</v>
      </c>
      <c r="H1031" s="308"/>
      <c r="I1031" s="308"/>
      <c r="J1031" s="228"/>
      <c r="K1031" s="117"/>
      <c r="L1031" s="117"/>
    </row>
    <row r="1032" spans="1:12" ht="15.75">
      <c r="A1032" s="23" t="s">
        <v>598</v>
      </c>
      <c r="B1032" s="19">
        <v>913</v>
      </c>
      <c r="C1032" s="24"/>
      <c r="D1032" s="24"/>
      <c r="E1032" s="24"/>
      <c r="F1032" s="24"/>
      <c r="G1032" s="21">
        <f>G1033</f>
        <v>7451</v>
      </c>
      <c r="H1032" s="272">
        <f aca="true" t="shared" si="555" ref="H1032:I1033">H1033</f>
        <v>7450.900000000001</v>
      </c>
      <c r="I1032" s="272">
        <f t="shared" si="555"/>
        <v>7450.900000000001</v>
      </c>
      <c r="J1032" s="275">
        <f>G1032</f>
        <v>7451</v>
      </c>
      <c r="L1032" s="117"/>
    </row>
    <row r="1033" spans="1:12" ht="15.75">
      <c r="A1033" s="23" t="s">
        <v>599</v>
      </c>
      <c r="B1033" s="19">
        <v>913</v>
      </c>
      <c r="C1033" s="24" t="s">
        <v>255</v>
      </c>
      <c r="D1033" s="20"/>
      <c r="E1033" s="20"/>
      <c r="F1033" s="20"/>
      <c r="G1033" s="21">
        <f>G1034</f>
        <v>7451</v>
      </c>
      <c r="H1033" s="261">
        <f t="shared" si="555"/>
        <v>7450.900000000001</v>
      </c>
      <c r="I1033" s="261">
        <f t="shared" si="555"/>
        <v>7450.900000000001</v>
      </c>
      <c r="L1033" s="117"/>
    </row>
    <row r="1034" spans="1:12" ht="15.75">
      <c r="A1034" s="23" t="s">
        <v>600</v>
      </c>
      <c r="B1034" s="19">
        <v>913</v>
      </c>
      <c r="C1034" s="24" t="s">
        <v>255</v>
      </c>
      <c r="D1034" s="24" t="s">
        <v>230</v>
      </c>
      <c r="E1034" s="24"/>
      <c r="F1034" s="24"/>
      <c r="G1034" s="21">
        <f>G1035+G1047</f>
        <v>7451</v>
      </c>
      <c r="H1034" s="261">
        <f aca="true" t="shared" si="556" ref="H1034:I1034">H1035+H1047</f>
        <v>7450.900000000001</v>
      </c>
      <c r="I1034" s="261">
        <f t="shared" si="556"/>
        <v>7450.900000000001</v>
      </c>
      <c r="L1034" s="117"/>
    </row>
    <row r="1035" spans="1:12" ht="15.75">
      <c r="A1035" s="23" t="s">
        <v>158</v>
      </c>
      <c r="B1035" s="19">
        <v>913</v>
      </c>
      <c r="C1035" s="24" t="s">
        <v>255</v>
      </c>
      <c r="D1035" s="24" t="s">
        <v>230</v>
      </c>
      <c r="E1035" s="24" t="s">
        <v>917</v>
      </c>
      <c r="F1035" s="24"/>
      <c r="G1035" s="21">
        <f>G1036</f>
        <v>7246</v>
      </c>
      <c r="H1035" s="272">
        <f aca="true" t="shared" si="557" ref="H1035:I1035">H1036</f>
        <v>7245.900000000001</v>
      </c>
      <c r="I1035" s="272">
        <f t="shared" si="557"/>
        <v>7245.900000000001</v>
      </c>
      <c r="L1035" s="117"/>
    </row>
    <row r="1036" spans="1:12" ht="15.75">
      <c r="A1036" s="23" t="s">
        <v>1098</v>
      </c>
      <c r="B1036" s="19">
        <v>913</v>
      </c>
      <c r="C1036" s="24" t="s">
        <v>255</v>
      </c>
      <c r="D1036" s="24" t="s">
        <v>230</v>
      </c>
      <c r="E1036" s="24" t="s">
        <v>1097</v>
      </c>
      <c r="F1036" s="24"/>
      <c r="G1036" s="21">
        <f>G1037+G1044</f>
        <v>7246</v>
      </c>
      <c r="H1036" s="272">
        <f aca="true" t="shared" si="558" ref="H1036:I1036">H1037+H1044</f>
        <v>7245.900000000001</v>
      </c>
      <c r="I1036" s="272">
        <f t="shared" si="558"/>
        <v>7245.900000000001</v>
      </c>
      <c r="L1036" s="117"/>
    </row>
    <row r="1037" spans="1:12" ht="21.75" customHeight="1">
      <c r="A1037" s="25" t="s">
        <v>837</v>
      </c>
      <c r="B1037" s="16">
        <v>913</v>
      </c>
      <c r="C1037" s="20" t="s">
        <v>255</v>
      </c>
      <c r="D1037" s="20" t="s">
        <v>230</v>
      </c>
      <c r="E1037" s="20" t="s">
        <v>1099</v>
      </c>
      <c r="F1037" s="20"/>
      <c r="G1037" s="26">
        <f>G1038+G1040+G1042</f>
        <v>7031</v>
      </c>
      <c r="H1037" s="261">
        <f aca="true" t="shared" si="559" ref="H1037:I1037">H1038+H1040+H1042</f>
        <v>7030.900000000001</v>
      </c>
      <c r="I1037" s="261">
        <f t="shared" si="559"/>
        <v>7030.900000000001</v>
      </c>
      <c r="L1037" s="117"/>
    </row>
    <row r="1038" spans="1:12" ht="75.75" customHeight="1">
      <c r="A1038" s="25" t="s">
        <v>144</v>
      </c>
      <c r="B1038" s="16">
        <v>913</v>
      </c>
      <c r="C1038" s="20" t="s">
        <v>255</v>
      </c>
      <c r="D1038" s="20" t="s">
        <v>230</v>
      </c>
      <c r="E1038" s="20" t="s">
        <v>1099</v>
      </c>
      <c r="F1038" s="20" t="s">
        <v>145</v>
      </c>
      <c r="G1038" s="26">
        <f>G1039</f>
        <v>5525</v>
      </c>
      <c r="H1038" s="261">
        <f aca="true" t="shared" si="560" ref="H1038:I1038">H1039</f>
        <v>5525</v>
      </c>
      <c r="I1038" s="261">
        <f t="shared" si="560"/>
        <v>5525</v>
      </c>
      <c r="L1038" s="117"/>
    </row>
    <row r="1039" spans="1:12" ht="30.75" customHeight="1">
      <c r="A1039" s="25" t="s">
        <v>225</v>
      </c>
      <c r="B1039" s="16">
        <v>913</v>
      </c>
      <c r="C1039" s="20" t="s">
        <v>255</v>
      </c>
      <c r="D1039" s="20" t="s">
        <v>230</v>
      </c>
      <c r="E1039" s="20" t="s">
        <v>1099</v>
      </c>
      <c r="F1039" s="20" t="s">
        <v>226</v>
      </c>
      <c r="G1039" s="27">
        <f>5853-357.5-36+280.5-215</f>
        <v>5525</v>
      </c>
      <c r="H1039" s="262">
        <f aca="true" t="shared" si="561" ref="H1039:I1039">5853-357.5-36+280.5-215</f>
        <v>5525</v>
      </c>
      <c r="I1039" s="262">
        <f t="shared" si="561"/>
        <v>5525</v>
      </c>
      <c r="J1039" s="362" t="s">
        <v>891</v>
      </c>
      <c r="K1039" s="117" t="s">
        <v>1339</v>
      </c>
      <c r="L1039" s="117"/>
    </row>
    <row r="1040" spans="1:12" ht="31.5">
      <c r="A1040" s="25" t="s">
        <v>148</v>
      </c>
      <c r="B1040" s="16">
        <v>913</v>
      </c>
      <c r="C1040" s="20" t="s">
        <v>255</v>
      </c>
      <c r="D1040" s="20" t="s">
        <v>230</v>
      </c>
      <c r="E1040" s="20" t="s">
        <v>1099</v>
      </c>
      <c r="F1040" s="20" t="s">
        <v>149</v>
      </c>
      <c r="G1040" s="26">
        <f>G1041</f>
        <v>1456</v>
      </c>
      <c r="H1040" s="261">
        <f aca="true" t="shared" si="562" ref="H1040:I1040">H1041</f>
        <v>1455.8</v>
      </c>
      <c r="I1040" s="261">
        <f t="shared" si="562"/>
        <v>1455.8</v>
      </c>
      <c r="L1040" s="117"/>
    </row>
    <row r="1041" spans="1:12" ht="31.5">
      <c r="A1041" s="25" t="s">
        <v>150</v>
      </c>
      <c r="B1041" s="16">
        <v>913</v>
      </c>
      <c r="C1041" s="20" t="s">
        <v>255</v>
      </c>
      <c r="D1041" s="20" t="s">
        <v>230</v>
      </c>
      <c r="E1041" s="20" t="s">
        <v>1099</v>
      </c>
      <c r="F1041" s="20" t="s">
        <v>151</v>
      </c>
      <c r="G1041" s="27">
        <v>1456</v>
      </c>
      <c r="H1041" s="262">
        <f aca="true" t="shared" si="563" ref="H1041:I1041">1699.1-94.2+36-40.1-145</f>
        <v>1455.8</v>
      </c>
      <c r="I1041" s="262">
        <f t="shared" si="563"/>
        <v>1455.8</v>
      </c>
      <c r="J1041" s="273"/>
      <c r="K1041" s="245"/>
      <c r="L1041" s="117"/>
    </row>
    <row r="1042" spans="1:12" ht="15.75">
      <c r="A1042" s="25" t="s">
        <v>152</v>
      </c>
      <c r="B1042" s="16">
        <v>913</v>
      </c>
      <c r="C1042" s="20" t="s">
        <v>255</v>
      </c>
      <c r="D1042" s="20" t="s">
        <v>230</v>
      </c>
      <c r="E1042" s="20" t="s">
        <v>1099</v>
      </c>
      <c r="F1042" s="20" t="s">
        <v>162</v>
      </c>
      <c r="G1042" s="26">
        <f>G1043</f>
        <v>50</v>
      </c>
      <c r="H1042" s="261">
        <f aca="true" t="shared" si="564" ref="H1042:I1042">H1043</f>
        <v>50.1</v>
      </c>
      <c r="I1042" s="261">
        <f t="shared" si="564"/>
        <v>50.1</v>
      </c>
      <c r="L1042" s="117"/>
    </row>
    <row r="1043" spans="1:12" ht="15.75">
      <c r="A1043" s="25" t="s">
        <v>585</v>
      </c>
      <c r="B1043" s="16">
        <v>913</v>
      </c>
      <c r="C1043" s="20" t="s">
        <v>255</v>
      </c>
      <c r="D1043" s="20" t="s">
        <v>230</v>
      </c>
      <c r="E1043" s="20" t="s">
        <v>1099</v>
      </c>
      <c r="F1043" s="20" t="s">
        <v>155</v>
      </c>
      <c r="G1043" s="26">
        <v>50</v>
      </c>
      <c r="H1043" s="261">
        <f aca="true" t="shared" si="565" ref="H1043:I1043">10+40.1</f>
        <v>50.1</v>
      </c>
      <c r="I1043" s="261">
        <f t="shared" si="565"/>
        <v>50.1</v>
      </c>
      <c r="J1043" s="273"/>
      <c r="L1043" s="117"/>
    </row>
    <row r="1044" spans="1:12" s="253" customFormat="1" ht="31.5">
      <c r="A1044" s="25" t="s">
        <v>889</v>
      </c>
      <c r="B1044" s="16">
        <v>913</v>
      </c>
      <c r="C1044" s="20" t="s">
        <v>255</v>
      </c>
      <c r="D1044" s="20" t="s">
        <v>230</v>
      </c>
      <c r="E1044" s="20" t="s">
        <v>1100</v>
      </c>
      <c r="F1044" s="20"/>
      <c r="G1044" s="26">
        <f>G1045</f>
        <v>215</v>
      </c>
      <c r="H1044" s="261">
        <f aca="true" t="shared" si="566" ref="H1044:I1045">H1045</f>
        <v>215</v>
      </c>
      <c r="I1044" s="261">
        <f t="shared" si="566"/>
        <v>215</v>
      </c>
      <c r="J1044" s="283"/>
      <c r="K1044" s="117"/>
      <c r="L1044" s="117"/>
    </row>
    <row r="1045" spans="1:12" s="253" customFormat="1" ht="63">
      <c r="A1045" s="25" t="s">
        <v>144</v>
      </c>
      <c r="B1045" s="16">
        <v>913</v>
      </c>
      <c r="C1045" s="20" t="s">
        <v>255</v>
      </c>
      <c r="D1045" s="20" t="s">
        <v>230</v>
      </c>
      <c r="E1045" s="20" t="s">
        <v>1100</v>
      </c>
      <c r="F1045" s="20" t="s">
        <v>145</v>
      </c>
      <c r="G1045" s="26">
        <f>G1046</f>
        <v>215</v>
      </c>
      <c r="H1045" s="261">
        <f t="shared" si="566"/>
        <v>215</v>
      </c>
      <c r="I1045" s="261">
        <f t="shared" si="566"/>
        <v>215</v>
      </c>
      <c r="J1045" s="283"/>
      <c r="K1045" s="117"/>
      <c r="L1045" s="117"/>
    </row>
    <row r="1046" spans="1:12" s="253" customFormat="1" ht="15.75">
      <c r="A1046" s="25" t="s">
        <v>225</v>
      </c>
      <c r="B1046" s="16">
        <v>913</v>
      </c>
      <c r="C1046" s="20" t="s">
        <v>255</v>
      </c>
      <c r="D1046" s="20" t="s">
        <v>230</v>
      </c>
      <c r="E1046" s="20" t="s">
        <v>1100</v>
      </c>
      <c r="F1046" s="20" t="s">
        <v>226</v>
      </c>
      <c r="G1046" s="26">
        <v>215</v>
      </c>
      <c r="H1046" s="26">
        <v>215</v>
      </c>
      <c r="I1046" s="26">
        <v>215</v>
      </c>
      <c r="J1046" s="283"/>
      <c r="K1046" s="117"/>
      <c r="L1046" s="117"/>
    </row>
    <row r="1047" spans="1:12" s="253" customFormat="1" ht="47.25">
      <c r="A1047" s="42" t="s">
        <v>1188</v>
      </c>
      <c r="B1047" s="19">
        <v>913</v>
      </c>
      <c r="C1047" s="24" t="s">
        <v>255</v>
      </c>
      <c r="D1047" s="24" t="s">
        <v>230</v>
      </c>
      <c r="E1047" s="24" t="s">
        <v>730</v>
      </c>
      <c r="F1047" s="324"/>
      <c r="G1047" s="21">
        <f>G1049</f>
        <v>205</v>
      </c>
      <c r="H1047" s="272">
        <f aca="true" t="shared" si="567" ref="H1047:I1047">H1049</f>
        <v>205</v>
      </c>
      <c r="I1047" s="272">
        <f t="shared" si="567"/>
        <v>205</v>
      </c>
      <c r="J1047" s="283"/>
      <c r="K1047" s="117"/>
      <c r="L1047" s="117"/>
    </row>
    <row r="1048" spans="1:12" s="253" customFormat="1" ht="47.25">
      <c r="A1048" s="42" t="s">
        <v>954</v>
      </c>
      <c r="B1048" s="19">
        <v>913</v>
      </c>
      <c r="C1048" s="24" t="s">
        <v>255</v>
      </c>
      <c r="D1048" s="24" t="s">
        <v>230</v>
      </c>
      <c r="E1048" s="24" t="s">
        <v>952</v>
      </c>
      <c r="F1048" s="324"/>
      <c r="G1048" s="21">
        <f>G1049</f>
        <v>205</v>
      </c>
      <c r="H1048" s="272">
        <f aca="true" t="shared" si="568" ref="H1048:I1050">H1049</f>
        <v>205</v>
      </c>
      <c r="I1048" s="272">
        <f t="shared" si="568"/>
        <v>205</v>
      </c>
      <c r="J1048" s="283"/>
      <c r="K1048" s="117"/>
      <c r="L1048" s="117"/>
    </row>
    <row r="1049" spans="1:12" s="253" customFormat="1" ht="31.5">
      <c r="A1049" s="107" t="s">
        <v>1166</v>
      </c>
      <c r="B1049" s="16">
        <v>913</v>
      </c>
      <c r="C1049" s="20" t="s">
        <v>255</v>
      </c>
      <c r="D1049" s="20" t="s">
        <v>230</v>
      </c>
      <c r="E1049" s="20" t="s">
        <v>953</v>
      </c>
      <c r="F1049" s="33"/>
      <c r="G1049" s="26">
        <f>G1050</f>
        <v>205</v>
      </c>
      <c r="H1049" s="261">
        <f t="shared" si="568"/>
        <v>205</v>
      </c>
      <c r="I1049" s="261">
        <f t="shared" si="568"/>
        <v>205</v>
      </c>
      <c r="J1049" s="283"/>
      <c r="K1049" s="117"/>
      <c r="L1049" s="117"/>
    </row>
    <row r="1050" spans="1:12" s="253" customFormat="1" ht="31.5">
      <c r="A1050" s="25" t="s">
        <v>148</v>
      </c>
      <c r="B1050" s="16">
        <v>913</v>
      </c>
      <c r="C1050" s="20" t="s">
        <v>255</v>
      </c>
      <c r="D1050" s="20" t="s">
        <v>230</v>
      </c>
      <c r="E1050" s="20" t="s">
        <v>953</v>
      </c>
      <c r="F1050" s="33" t="s">
        <v>149</v>
      </c>
      <c r="G1050" s="26">
        <f>G1051</f>
        <v>205</v>
      </c>
      <c r="H1050" s="261">
        <f t="shared" si="568"/>
        <v>205</v>
      </c>
      <c r="I1050" s="261">
        <f t="shared" si="568"/>
        <v>205</v>
      </c>
      <c r="J1050" s="283"/>
      <c r="K1050" s="117"/>
      <c r="L1050" s="117"/>
    </row>
    <row r="1051" spans="1:12" s="253" customFormat="1" ht="31.5">
      <c r="A1051" s="25" t="s">
        <v>150</v>
      </c>
      <c r="B1051" s="16">
        <v>913</v>
      </c>
      <c r="C1051" s="20" t="s">
        <v>255</v>
      </c>
      <c r="D1051" s="20" t="s">
        <v>230</v>
      </c>
      <c r="E1051" s="20" t="s">
        <v>953</v>
      </c>
      <c r="F1051" s="33" t="s">
        <v>151</v>
      </c>
      <c r="G1051" s="26">
        <f>60+145</f>
        <v>205</v>
      </c>
      <c r="H1051" s="261">
        <f aca="true" t="shared" si="569" ref="H1051:I1051">60+145</f>
        <v>205</v>
      </c>
      <c r="I1051" s="261">
        <f t="shared" si="569"/>
        <v>205</v>
      </c>
      <c r="J1051" s="283"/>
      <c r="K1051" s="117"/>
      <c r="L1051" s="117"/>
    </row>
    <row r="1052" spans="1:12" ht="15.75">
      <c r="A1052" s="49" t="s">
        <v>604</v>
      </c>
      <c r="B1052" s="49"/>
      <c r="C1052" s="24"/>
      <c r="D1052" s="24"/>
      <c r="E1052" s="24"/>
      <c r="F1052" s="24"/>
      <c r="G1052" s="390">
        <f>G1032+G989+G782+G705+G486+G447+G198+G23+G8</f>
        <v>678671.1229999999</v>
      </c>
      <c r="H1052" s="343" t="e">
        <f>H1032+H989+H782+H705+H486+H447+H198+H23+H8</f>
        <v>#REF!</v>
      </c>
      <c r="I1052" s="343" t="e">
        <f>I1032+I989+I782+I705+I486+I447+I198+I23+I8</f>
        <v>#REF!</v>
      </c>
      <c r="J1052" s="275"/>
      <c r="K1052" s="122"/>
      <c r="L1052" s="124"/>
    </row>
    <row r="1053" spans="1:9" ht="15">
      <c r="A1053" s="289"/>
      <c r="B1053" s="289"/>
      <c r="C1053" s="289"/>
      <c r="D1053" s="289"/>
      <c r="E1053" s="289"/>
      <c r="F1053" s="289"/>
      <c r="G1053" s="289"/>
      <c r="H1053" s="310">
        <f>G1053-G1052</f>
        <v>-678671.1229999999</v>
      </c>
      <c r="I1053" s="289"/>
    </row>
    <row r="1054" spans="1:10" ht="18.75" hidden="1">
      <c r="A1054" s="289"/>
      <c r="B1054" s="289"/>
      <c r="C1054" s="290"/>
      <c r="D1054" s="290"/>
      <c r="E1054" s="290"/>
      <c r="F1054" s="347" t="s">
        <v>605</v>
      </c>
      <c r="G1054" s="292">
        <f>G1052-G1055</f>
        <v>485311.20299999986</v>
      </c>
      <c r="H1054" s="292"/>
      <c r="I1054" s="292"/>
      <c r="J1054" s="293">
        <f>'пр.9 ист-ки 20'!C14/'Пр.6 ведом.20'!G1054*100</f>
        <v>6.18160084487552E-07</v>
      </c>
    </row>
    <row r="1055" spans="1:12" ht="18.75" hidden="1">
      <c r="A1055" s="289"/>
      <c r="B1055" s="289"/>
      <c r="C1055" s="290"/>
      <c r="D1055" s="290"/>
      <c r="E1055" s="290"/>
      <c r="F1055" s="347" t="s">
        <v>606</v>
      </c>
      <c r="G1055" s="292">
        <f>G43+G154+G163+G192+G207+G240+G247+G287+G344+G369+G372+G422+G472+G508+G546+G572+G606+G613+G644+G675+G744+G934+G941+G851+G829+G254+G174+G79+G1007-500-150-239.8</f>
        <v>193359.92</v>
      </c>
      <c r="H1055" s="292">
        <v>276657.45</v>
      </c>
      <c r="I1055" s="292">
        <f>G1055-H1055</f>
        <v>-83297.53</v>
      </c>
      <c r="J1055" s="228">
        <v>184739.6</v>
      </c>
      <c r="K1055" s="126">
        <f>J1055-G1055</f>
        <v>-8620.320000000007</v>
      </c>
      <c r="L1055" s="1"/>
    </row>
    <row r="1056" spans="1:12" ht="15.75" hidden="1">
      <c r="A1056" s="289"/>
      <c r="B1056" s="289"/>
      <c r="C1056" s="290"/>
      <c r="D1056" s="294"/>
      <c r="E1056" s="294"/>
      <c r="F1056" s="294"/>
      <c r="G1056" s="295"/>
      <c r="H1056" s="295"/>
      <c r="I1056" s="295"/>
      <c r="L1056" s="1"/>
    </row>
    <row r="1057" spans="1:12" ht="15.75" hidden="1">
      <c r="A1057" s="289"/>
      <c r="B1057" s="289"/>
      <c r="C1057" s="290"/>
      <c r="D1057" s="294"/>
      <c r="E1057" s="294"/>
      <c r="F1057" s="294"/>
      <c r="G1057" s="296"/>
      <c r="H1057" s="296"/>
      <c r="I1057" s="296"/>
      <c r="L1057" s="1"/>
    </row>
    <row r="1058" spans="1:12" ht="15.75" hidden="1">
      <c r="A1058" s="289"/>
      <c r="B1058" s="289"/>
      <c r="C1058" s="290"/>
      <c r="D1058" s="294"/>
      <c r="E1058" s="294"/>
      <c r="F1058" s="294"/>
      <c r="G1058" s="290"/>
      <c r="H1058" s="290"/>
      <c r="I1058" s="290"/>
      <c r="L1058" s="1"/>
    </row>
    <row r="1059" spans="1:12" ht="15.75" hidden="1">
      <c r="A1059" s="289"/>
      <c r="B1059" s="289"/>
      <c r="C1059" s="297">
        <v>1</v>
      </c>
      <c r="D1059" s="294"/>
      <c r="E1059" s="294"/>
      <c r="F1059" s="294"/>
      <c r="G1059" s="298">
        <f>G9+G24+G199+G448+G487+G783+G990+G706</f>
        <v>151857.52500000002</v>
      </c>
      <c r="H1059" s="298"/>
      <c r="I1059" s="298"/>
      <c r="K1059" s="117">
        <v>901</v>
      </c>
      <c r="L1059" s="124">
        <f>J9</f>
        <v>14033.71</v>
      </c>
    </row>
    <row r="1060" spans="1:12" ht="15.75" hidden="1">
      <c r="A1060" s="289"/>
      <c r="B1060" s="289"/>
      <c r="C1060" s="297" t="s">
        <v>605</v>
      </c>
      <c r="D1060" s="294"/>
      <c r="E1060" s="294"/>
      <c r="F1060" s="294"/>
      <c r="G1060" s="298">
        <f>G1059-G1061</f>
        <v>148600.70500000002</v>
      </c>
      <c r="H1060" s="298"/>
      <c r="I1060" s="298"/>
      <c r="K1060" s="348">
        <v>902</v>
      </c>
      <c r="L1060" s="124">
        <f>J23</f>
        <v>80737.059</v>
      </c>
    </row>
    <row r="1061" spans="1:12" ht="15.75" hidden="1">
      <c r="A1061" s="289"/>
      <c r="B1061" s="289"/>
      <c r="C1061" s="297" t="s">
        <v>606</v>
      </c>
      <c r="D1061" s="294"/>
      <c r="E1061" s="294"/>
      <c r="F1061" s="294"/>
      <c r="G1061" s="298">
        <f>G1007+G472+G207+G79+G43-239.8</f>
        <v>3256.82</v>
      </c>
      <c r="H1061" s="298"/>
      <c r="I1061" s="298"/>
      <c r="K1061" s="348">
        <v>903</v>
      </c>
      <c r="L1061" s="124">
        <f>J198</f>
        <v>86495.504</v>
      </c>
    </row>
    <row r="1062" spans="1:12" ht="15.75" hidden="1">
      <c r="A1062" s="289"/>
      <c r="B1062" s="289"/>
      <c r="C1062" s="297">
        <v>2</v>
      </c>
      <c r="D1062" s="294"/>
      <c r="E1062" s="294"/>
      <c r="F1062" s="294"/>
      <c r="G1062" s="298">
        <f>G121</f>
        <v>0</v>
      </c>
      <c r="H1062" s="298"/>
      <c r="I1062" s="298"/>
      <c r="K1062" s="348">
        <v>905</v>
      </c>
      <c r="L1062" s="124">
        <f>J447</f>
        <v>18463.119</v>
      </c>
    </row>
    <row r="1063" spans="1:12" ht="15.75" hidden="1">
      <c r="A1063" s="289"/>
      <c r="B1063" s="289"/>
      <c r="C1063" s="297">
        <v>3</v>
      </c>
      <c r="D1063" s="294"/>
      <c r="E1063" s="294"/>
      <c r="F1063" s="294"/>
      <c r="G1063" s="298">
        <f>G797+G128</f>
        <v>8610.844000000001</v>
      </c>
      <c r="H1063" s="298"/>
      <c r="I1063" s="298"/>
      <c r="K1063" s="348">
        <v>906</v>
      </c>
      <c r="L1063" s="124">
        <f>J486</f>
        <v>118544.631</v>
      </c>
    </row>
    <row r="1064" spans="1:12" ht="15.75" hidden="1">
      <c r="A1064" s="289"/>
      <c r="B1064" s="289"/>
      <c r="C1064" s="297">
        <v>4</v>
      </c>
      <c r="D1064" s="294"/>
      <c r="E1064" s="294"/>
      <c r="F1064" s="294"/>
      <c r="G1064" s="298">
        <f>G147+G804+G232</f>
        <v>8950.3</v>
      </c>
      <c r="H1064" s="298"/>
      <c r="I1064" s="298"/>
      <c r="K1064" s="348">
        <v>907</v>
      </c>
      <c r="L1064" s="124">
        <f>J705</f>
        <v>0</v>
      </c>
    </row>
    <row r="1065" spans="1:12" ht="15.75" hidden="1">
      <c r="A1065" s="289"/>
      <c r="B1065" s="289"/>
      <c r="C1065" s="297" t="s">
        <v>605</v>
      </c>
      <c r="D1065" s="294"/>
      <c r="E1065" s="294"/>
      <c r="F1065" s="294"/>
      <c r="G1065" s="298">
        <f>G1064-G1066</f>
        <v>8090.299999999999</v>
      </c>
      <c r="H1065" s="298"/>
      <c r="I1065" s="298"/>
      <c r="K1065" s="348">
        <v>908</v>
      </c>
      <c r="L1065" s="124">
        <f>J782</f>
        <v>0</v>
      </c>
    </row>
    <row r="1066" spans="1:12" ht="15.75" hidden="1">
      <c r="A1066" s="289"/>
      <c r="B1066" s="289"/>
      <c r="C1066" s="297" t="s">
        <v>606</v>
      </c>
      <c r="D1066" s="294"/>
      <c r="E1066" s="294"/>
      <c r="F1066" s="294"/>
      <c r="G1066" s="298">
        <f>G163+G240+G247+G254+G174+G154</f>
        <v>859.9999999999999</v>
      </c>
      <c r="H1066" s="298"/>
      <c r="I1066" s="298"/>
      <c r="K1066" s="348">
        <v>910</v>
      </c>
      <c r="L1066" s="124">
        <f>J989</f>
        <v>7907.6810000000005</v>
      </c>
    </row>
    <row r="1067" spans="1:12" ht="15.75" hidden="1">
      <c r="A1067" s="289"/>
      <c r="B1067" s="289"/>
      <c r="C1067" s="297">
        <v>5</v>
      </c>
      <c r="D1067" s="294"/>
      <c r="E1067" s="294"/>
      <c r="F1067" s="294"/>
      <c r="G1067" s="298">
        <f>G823+G476</f>
        <v>39794.296</v>
      </c>
      <c r="H1067" s="298"/>
      <c r="I1067" s="298"/>
      <c r="K1067" s="348">
        <v>913</v>
      </c>
      <c r="L1067" s="124">
        <f>J1032</f>
        <v>7451</v>
      </c>
    </row>
    <row r="1068" spans="1:12" ht="15.75" hidden="1">
      <c r="A1068" s="289"/>
      <c r="B1068" s="289"/>
      <c r="C1068" s="297" t="s">
        <v>605</v>
      </c>
      <c r="D1068" s="294"/>
      <c r="E1068" s="294"/>
      <c r="F1068" s="294"/>
      <c r="G1068" s="298">
        <f>G1067-G1069</f>
        <v>38130.396</v>
      </c>
      <c r="H1068" s="298"/>
      <c r="I1068" s="298"/>
      <c r="K1068" s="127"/>
      <c r="L1068" s="124">
        <f>SUM(L1059:L1067)</f>
        <v>333632.70399999997</v>
      </c>
    </row>
    <row r="1069" spans="1:12" ht="15.75" hidden="1">
      <c r="A1069" s="289"/>
      <c r="B1069" s="289"/>
      <c r="C1069" s="297" t="s">
        <v>606</v>
      </c>
      <c r="D1069" s="294"/>
      <c r="E1069" s="294"/>
      <c r="F1069" s="294"/>
      <c r="G1069" s="298">
        <f>G851+G934+G943+G829-500</f>
        <v>1663.9</v>
      </c>
      <c r="H1069" s="298"/>
      <c r="I1069" s="298"/>
      <c r="J1069" s="275"/>
      <c r="K1069" s="127"/>
      <c r="L1069" s="349">
        <f>L1068-G1054</f>
        <v>-151678.4989999999</v>
      </c>
    </row>
    <row r="1070" spans="1:12" ht="15.75" hidden="1">
      <c r="A1070" s="289"/>
      <c r="B1070" s="289"/>
      <c r="C1070" s="297">
        <v>7</v>
      </c>
      <c r="D1070" s="294"/>
      <c r="E1070" s="294"/>
      <c r="F1070" s="294"/>
      <c r="G1070" s="298">
        <f>G497+G261</f>
        <v>317454.28099999996</v>
      </c>
      <c r="H1070" s="298"/>
      <c r="I1070" s="298"/>
      <c r="L1070" s="1"/>
    </row>
    <row r="1071" spans="1:12" ht="15.75" hidden="1">
      <c r="A1071" s="289"/>
      <c r="B1071" s="289"/>
      <c r="C1071" s="297" t="s">
        <v>605</v>
      </c>
      <c r="D1071" s="294"/>
      <c r="E1071" s="294"/>
      <c r="F1071" s="294"/>
      <c r="G1071" s="298">
        <f>G1070-G1072</f>
        <v>136025.281</v>
      </c>
      <c r="H1071" s="298"/>
      <c r="I1071" s="298"/>
      <c r="K1071" s="127"/>
      <c r="L1071" s="1"/>
    </row>
    <row r="1072" spans="1:12" ht="15.75" hidden="1">
      <c r="A1072" s="289"/>
      <c r="B1072" s="289"/>
      <c r="C1072" s="297" t="s">
        <v>606</v>
      </c>
      <c r="D1072" s="294"/>
      <c r="E1072" s="294"/>
      <c r="F1072" s="294"/>
      <c r="G1072" s="298">
        <f>G675+G644+G613+G606+G572+G546+G508+G287</f>
        <v>181428.99999999997</v>
      </c>
      <c r="H1072" s="298"/>
      <c r="I1072" s="298"/>
      <c r="L1072" s="1"/>
    </row>
    <row r="1073" spans="1:12" ht="15.75" hidden="1">
      <c r="A1073" s="289"/>
      <c r="B1073" s="289"/>
      <c r="C1073" s="297">
        <v>8</v>
      </c>
      <c r="D1073" s="294"/>
      <c r="E1073" s="294"/>
      <c r="F1073" s="294"/>
      <c r="G1073" s="298">
        <f>G322</f>
        <v>68580.954</v>
      </c>
      <c r="H1073" s="298"/>
      <c r="I1073" s="298"/>
      <c r="L1073" s="1"/>
    </row>
    <row r="1074" spans="1:12" ht="15.75" hidden="1">
      <c r="A1074" s="289"/>
      <c r="B1074" s="289"/>
      <c r="C1074" s="297" t="s">
        <v>605</v>
      </c>
      <c r="D1074" s="294"/>
      <c r="E1074" s="294"/>
      <c r="F1074" s="294"/>
      <c r="G1074" s="298">
        <f>G1073-G1075</f>
        <v>66564.85399999999</v>
      </c>
      <c r="H1074" s="298"/>
      <c r="I1074" s="298"/>
      <c r="K1074" s="127"/>
      <c r="L1074" s="1"/>
    </row>
    <row r="1075" spans="1:12" ht="15.75" hidden="1">
      <c r="A1075" s="289"/>
      <c r="B1075" s="289"/>
      <c r="C1075" s="297" t="s">
        <v>606</v>
      </c>
      <c r="D1075" s="294"/>
      <c r="E1075" s="294"/>
      <c r="F1075" s="294"/>
      <c r="G1075" s="298">
        <f>G372+G369+G344</f>
        <v>2016.1</v>
      </c>
      <c r="H1075" s="298"/>
      <c r="I1075" s="298"/>
      <c r="L1075" s="1"/>
    </row>
    <row r="1076" spans="1:12" ht="15.75" hidden="1">
      <c r="A1076" s="289"/>
      <c r="B1076" s="289"/>
      <c r="C1076" s="297">
        <v>10</v>
      </c>
      <c r="D1076" s="294"/>
      <c r="E1076" s="294"/>
      <c r="F1076" s="294"/>
      <c r="G1076" s="298">
        <f>G981+G418+G177</f>
        <v>15036.9</v>
      </c>
      <c r="H1076" s="298"/>
      <c r="I1076" s="298"/>
      <c r="L1076" s="1"/>
    </row>
    <row r="1077" spans="1:12" ht="15.75" hidden="1">
      <c r="A1077" s="289"/>
      <c r="B1077" s="289"/>
      <c r="C1077" s="297" t="s">
        <v>605</v>
      </c>
      <c r="D1077" s="294"/>
      <c r="E1077" s="294"/>
      <c r="F1077" s="294"/>
      <c r="G1077" s="298">
        <f>G1076-G1078</f>
        <v>11773</v>
      </c>
      <c r="H1077" s="298"/>
      <c r="I1077" s="298"/>
      <c r="K1077" s="127"/>
      <c r="L1077" s="1"/>
    </row>
    <row r="1078" spans="1:12" ht="15.75" hidden="1">
      <c r="A1078" s="289"/>
      <c r="B1078" s="289"/>
      <c r="C1078" s="297" t="s">
        <v>606</v>
      </c>
      <c r="D1078" s="294"/>
      <c r="E1078" s="294"/>
      <c r="F1078" s="294"/>
      <c r="G1078" s="298">
        <f>G192+G423-150</f>
        <v>3263.9</v>
      </c>
      <c r="H1078" s="298"/>
      <c r="I1078" s="298"/>
      <c r="L1078" s="1"/>
    </row>
    <row r="1079" spans="1:12" ht="15.75" hidden="1">
      <c r="A1079" s="289"/>
      <c r="B1079" s="289"/>
      <c r="C1079" s="297">
        <v>11</v>
      </c>
      <c r="D1079" s="294"/>
      <c r="E1079" s="294"/>
      <c r="F1079" s="294"/>
      <c r="G1079" s="298">
        <f>G713</f>
        <v>60935.022999999994</v>
      </c>
      <c r="H1079" s="298"/>
      <c r="I1079" s="298"/>
      <c r="K1079" s="127"/>
      <c r="L1079" s="1"/>
    </row>
    <row r="1080" spans="1:12" ht="15.75" hidden="1">
      <c r="A1080" s="289"/>
      <c r="B1080" s="289"/>
      <c r="C1080" s="297" t="s">
        <v>605</v>
      </c>
      <c r="D1080" s="294"/>
      <c r="E1080" s="294"/>
      <c r="F1080" s="294"/>
      <c r="G1080" s="298">
        <f>G1079-G1081</f>
        <v>60064.823</v>
      </c>
      <c r="H1080" s="298"/>
      <c r="I1080" s="298"/>
      <c r="K1080" s="127"/>
      <c r="L1080" s="1"/>
    </row>
    <row r="1081" spans="1:12" ht="15.75" hidden="1">
      <c r="A1081" s="289"/>
      <c r="B1081" s="289"/>
      <c r="C1081" s="297" t="s">
        <v>606</v>
      </c>
      <c r="D1081" s="294"/>
      <c r="E1081" s="294"/>
      <c r="F1081" s="294"/>
      <c r="G1081" s="298">
        <f>G744</f>
        <v>870.2</v>
      </c>
      <c r="H1081" s="298"/>
      <c r="I1081" s="298"/>
      <c r="K1081" s="127"/>
      <c r="L1081" s="1"/>
    </row>
    <row r="1082" spans="1:12" ht="15.75" hidden="1">
      <c r="A1082" s="289"/>
      <c r="B1082" s="289"/>
      <c r="C1082" s="297">
        <v>12</v>
      </c>
      <c r="D1082" s="294"/>
      <c r="E1082" s="294"/>
      <c r="F1082" s="294"/>
      <c r="G1082" s="298">
        <f>G1033</f>
        <v>7451</v>
      </c>
      <c r="H1082" s="298"/>
      <c r="I1082" s="298"/>
      <c r="K1082" s="127"/>
      <c r="L1082" s="1"/>
    </row>
    <row r="1083" spans="1:12" ht="15.75" hidden="1">
      <c r="A1083" s="289"/>
      <c r="B1083" s="289"/>
      <c r="C1083" s="298"/>
      <c r="D1083" s="294"/>
      <c r="E1083" s="294"/>
      <c r="F1083" s="294"/>
      <c r="G1083" s="299">
        <f>G1059+G1062+G1063+G1064+G1067+G1070+G1073+G1076+G1079+G1082</f>
        <v>678671.1230000001</v>
      </c>
      <c r="H1083" s="299"/>
      <c r="I1083" s="299"/>
      <c r="J1083" s="300"/>
      <c r="L1083" s="1"/>
    </row>
    <row r="1084" spans="1:12" ht="15.75" hidden="1">
      <c r="A1084" s="289"/>
      <c r="B1084" s="289"/>
      <c r="C1084" s="297" t="s">
        <v>605</v>
      </c>
      <c r="D1084" s="294"/>
      <c r="E1084" s="294"/>
      <c r="F1084" s="294"/>
      <c r="G1084" s="299">
        <f>G1060+G1062+G1063+G1065+G1068+G1071+G1074+G1077+G1080+G1082</f>
        <v>485311.203</v>
      </c>
      <c r="H1084" s="299"/>
      <c r="I1084" s="299"/>
      <c r="J1084" s="300"/>
      <c r="L1084" s="1"/>
    </row>
    <row r="1085" spans="1:12" ht="15.75" hidden="1">
      <c r="A1085" s="289"/>
      <c r="B1085" s="289"/>
      <c r="C1085" s="297" t="s">
        <v>606</v>
      </c>
      <c r="D1085" s="294"/>
      <c r="E1085" s="294"/>
      <c r="F1085" s="294"/>
      <c r="G1085" s="299">
        <f>G1083-G1084</f>
        <v>193359.92000000016</v>
      </c>
      <c r="H1085" s="299">
        <v>276657.45</v>
      </c>
      <c r="I1085" s="299">
        <f>G1085-H1085</f>
        <v>-83297.52999999985</v>
      </c>
      <c r="J1085" s="300"/>
      <c r="L1085" s="1"/>
    </row>
    <row r="1086" spans="7:12" ht="15" hidden="1">
      <c r="G1086" s="293"/>
      <c r="H1086" s="293"/>
      <c r="I1086" s="293"/>
      <c r="L1086" s="1"/>
    </row>
    <row r="1087" spans="1:12" ht="15" hidden="1">
      <c r="A1087" s="1"/>
      <c r="B1087" s="1"/>
      <c r="C1087" s="1"/>
      <c r="D1087" s="228" t="s">
        <v>607</v>
      </c>
      <c r="E1087" s="228">
        <v>50</v>
      </c>
      <c r="G1087" s="293">
        <f>G812</f>
        <v>4562.3</v>
      </c>
      <c r="H1087" s="293"/>
      <c r="I1087" s="293"/>
      <c r="L1087" s="1"/>
    </row>
    <row r="1088" spans="1:12" ht="15" hidden="1">
      <c r="A1088" s="1"/>
      <c r="B1088" s="1"/>
      <c r="C1088" s="1"/>
      <c r="E1088" s="228">
        <v>51</v>
      </c>
      <c r="G1088" s="293">
        <f>G201+G234+G303+G412+G420</f>
        <v>3645</v>
      </c>
      <c r="H1088" s="293"/>
      <c r="I1088" s="293"/>
      <c r="K1088" s="127"/>
      <c r="L1088" s="1"/>
    </row>
    <row r="1089" spans="1:12" ht="15" hidden="1">
      <c r="A1089" s="1"/>
      <c r="B1089" s="1"/>
      <c r="C1089" s="1"/>
      <c r="E1089" s="228">
        <v>52</v>
      </c>
      <c r="G1089" s="293">
        <f>G499+G560+G638+G669</f>
        <v>277018.99999999994</v>
      </c>
      <c r="H1089" s="293"/>
      <c r="I1089" s="293"/>
      <c r="L1089" s="1"/>
    </row>
    <row r="1090" spans="1:12" ht="15" hidden="1">
      <c r="A1090" s="1"/>
      <c r="B1090" s="1"/>
      <c r="C1090" s="1"/>
      <c r="E1090" s="228">
        <v>53</v>
      </c>
      <c r="G1090" s="293">
        <f>G169</f>
        <v>100</v>
      </c>
      <c r="H1090" s="293"/>
      <c r="I1090" s="293"/>
      <c r="L1090" s="1"/>
    </row>
    <row r="1091" spans="1:12" ht="15" hidden="1">
      <c r="A1091" s="1"/>
      <c r="B1091" s="1"/>
      <c r="C1091" s="1"/>
      <c r="E1091" s="228">
        <v>54</v>
      </c>
      <c r="G1091" s="293">
        <f>G1002+G64</f>
        <v>806</v>
      </c>
      <c r="H1091" s="293"/>
      <c r="I1091" s="293"/>
      <c r="L1091" s="1"/>
    </row>
    <row r="1092" spans="1:12" ht="15" hidden="1">
      <c r="A1092" s="1"/>
      <c r="B1092" s="1"/>
      <c r="C1092" s="1"/>
      <c r="E1092" s="228">
        <v>55</v>
      </c>
      <c r="G1092" s="293">
        <f>G185</f>
        <v>10</v>
      </c>
      <c r="H1092" s="293"/>
      <c r="I1092" s="293"/>
      <c r="L1092" s="1"/>
    </row>
    <row r="1093" spans="1:12" ht="15" hidden="1">
      <c r="A1093" s="1"/>
      <c r="B1093" s="1"/>
      <c r="C1093" s="1"/>
      <c r="E1093" s="228">
        <v>56</v>
      </c>
      <c r="G1093" s="293"/>
      <c r="H1093" s="293"/>
      <c r="I1093" s="293"/>
      <c r="L1093" s="1"/>
    </row>
    <row r="1094" spans="1:12" ht="15" hidden="1">
      <c r="A1094" s="1"/>
      <c r="B1094" s="1"/>
      <c r="C1094" s="1"/>
      <c r="E1094" s="228">
        <v>57</v>
      </c>
      <c r="G1094" s="293">
        <f>G715+G774</f>
        <v>50288.2</v>
      </c>
      <c r="H1094" s="293"/>
      <c r="I1094" s="293"/>
      <c r="K1094" s="127"/>
      <c r="L1094" s="1"/>
    </row>
    <row r="1095" spans="1:12" ht="15" hidden="1">
      <c r="A1095" s="1"/>
      <c r="B1095" s="1"/>
      <c r="C1095" s="1"/>
      <c r="E1095" s="228">
        <v>58</v>
      </c>
      <c r="G1095" s="293">
        <f>G263+G325+G348</f>
        <v>65119.67</v>
      </c>
      <c r="H1095" s="293"/>
      <c r="I1095" s="293"/>
      <c r="L1095" s="1"/>
    </row>
    <row r="1096" spans="1:12" ht="15" hidden="1">
      <c r="A1096" s="1"/>
      <c r="B1096" s="1"/>
      <c r="C1096" s="1"/>
      <c r="E1096" s="228">
        <v>59</v>
      </c>
      <c r="G1096" s="293">
        <f>G549+G627+G976+G379</f>
        <v>157</v>
      </c>
      <c r="H1096" s="293"/>
      <c r="I1096" s="293"/>
      <c r="L1096" s="1"/>
    </row>
    <row r="1097" spans="1:12" ht="15" hidden="1">
      <c r="A1097" s="1"/>
      <c r="B1097" s="1"/>
      <c r="C1097" s="1"/>
      <c r="E1097" s="228">
        <v>60</v>
      </c>
      <c r="G1097" s="293">
        <f>G903</f>
        <v>3793.9</v>
      </c>
      <c r="H1097" s="293"/>
      <c r="I1097" s="293"/>
      <c r="L1097" s="1"/>
    </row>
    <row r="1098" spans="1:12" ht="15" hidden="1">
      <c r="A1098" s="1"/>
      <c r="B1098" s="1"/>
      <c r="C1098" s="1"/>
      <c r="E1098" s="228">
        <v>61</v>
      </c>
      <c r="G1098" s="293">
        <f>G149</f>
        <v>355</v>
      </c>
      <c r="H1098" s="293"/>
      <c r="I1098" s="293"/>
      <c r="L1098" s="1"/>
    </row>
    <row r="1099" spans="1:12" ht="15" hidden="1">
      <c r="A1099" s="1"/>
      <c r="B1099" s="1"/>
      <c r="C1099" s="1"/>
      <c r="E1099" s="228">
        <v>62</v>
      </c>
      <c r="G1099" s="293">
        <f>G868</f>
        <v>0</v>
      </c>
      <c r="H1099" s="293"/>
      <c r="I1099" s="293"/>
      <c r="L1099" s="1"/>
    </row>
    <row r="1100" spans="1:12" ht="15" hidden="1">
      <c r="A1100" s="1"/>
      <c r="B1100" s="1"/>
      <c r="C1100" s="1"/>
      <c r="E1100" s="228">
        <v>63</v>
      </c>
      <c r="G1100" s="293">
        <f>G210+G489+G708</f>
        <v>175</v>
      </c>
      <c r="H1100" s="293"/>
      <c r="I1100" s="293"/>
      <c r="L1100" s="1"/>
    </row>
    <row r="1101" spans="1:12" ht="15" hidden="1">
      <c r="A1101" s="1"/>
      <c r="B1101" s="1"/>
      <c r="C1101" s="1"/>
      <c r="E1101" s="228">
        <v>64</v>
      </c>
      <c r="G1101" s="293">
        <f>G102+G297+G384+G554+G632+G663+G748+G1047+G227</f>
        <v>3295.6</v>
      </c>
      <c r="H1101" s="293"/>
      <c r="I1101" s="293"/>
      <c r="L1101" s="1"/>
    </row>
    <row r="1102" spans="1:12" ht="15" hidden="1">
      <c r="A1102" s="1"/>
      <c r="B1102" s="1"/>
      <c r="C1102" s="1"/>
      <c r="E1102" s="228">
        <v>65</v>
      </c>
      <c r="G1102" s="293">
        <f>G941</f>
        <v>500</v>
      </c>
      <c r="H1102" s="293"/>
      <c r="I1102" s="293"/>
      <c r="L1102" s="1"/>
    </row>
    <row r="1103" spans="1:12" ht="15" hidden="1">
      <c r="A1103" s="1"/>
      <c r="B1103" s="1"/>
      <c r="C1103" s="1"/>
      <c r="D1103" s="1"/>
      <c r="E1103" s="228">
        <v>66</v>
      </c>
      <c r="G1103" s="293">
        <f>G471</f>
        <v>239.82</v>
      </c>
      <c r="H1103" s="293"/>
      <c r="I1103" s="293"/>
      <c r="J1103" s="1"/>
      <c r="K1103" s="1"/>
      <c r="L1103" s="1"/>
    </row>
    <row r="1104" spans="1:12" ht="15" hidden="1">
      <c r="A1104" s="1"/>
      <c r="B1104" s="1"/>
      <c r="C1104" s="1"/>
      <c r="D1104" s="1"/>
      <c r="E1104" s="228">
        <v>67</v>
      </c>
      <c r="G1104" s="293">
        <f>G111</f>
        <v>30</v>
      </c>
      <c r="H1104" s="293"/>
      <c r="I1104" s="293"/>
      <c r="J1104" s="1"/>
      <c r="K1104" s="1"/>
      <c r="L1104" s="1"/>
    </row>
    <row r="1105" spans="1:12" ht="15" hidden="1">
      <c r="A1105" s="1"/>
      <c r="B1105" s="1"/>
      <c r="C1105" s="1"/>
      <c r="D1105" s="1"/>
      <c r="E1105" s="228">
        <v>69</v>
      </c>
      <c r="G1105" s="275">
        <f>G116</f>
        <v>80</v>
      </c>
      <c r="H1105" s="275"/>
      <c r="I1105" s="275"/>
      <c r="J1105" s="1"/>
      <c r="K1105" s="1"/>
      <c r="L1105" s="1"/>
    </row>
    <row r="1106" spans="1:12" ht="15" hidden="1">
      <c r="A1106" s="1"/>
      <c r="B1106" s="1"/>
      <c r="C1106" s="1"/>
      <c r="D1106" s="1"/>
      <c r="G1106" s="293">
        <f>SUM(G1087:G1105)</f>
        <v>410176.48999999993</v>
      </c>
      <c r="H1106" s="293"/>
      <c r="I1106" s="293"/>
      <c r="J1106" s="1"/>
      <c r="K1106" s="1"/>
      <c r="L1106" s="1"/>
    </row>
    <row r="1107" ht="15" hidden="1"/>
    <row r="1108" ht="15" hidden="1"/>
  </sheetData>
  <mergeCells count="4">
    <mergeCell ref="N728:O728"/>
    <mergeCell ref="A3:F3"/>
    <mergeCell ref="K565:L565"/>
    <mergeCell ref="A4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1052" max="16383" man="1"/>
  </rowBreaks>
  <colBreaks count="1" manualBreakCount="1">
    <brk id="9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zoomScaleSheetLayoutView="100" workbookViewId="0" topLeftCell="A695">
      <selection activeCell="J840" sqref="J840"/>
    </sheetView>
  </sheetViews>
  <sheetFormatPr defaultColWidth="9.140625" defaultRowHeight="15"/>
  <cols>
    <col min="1" max="1" width="48.421875" style="1" customWidth="1"/>
    <col min="2" max="2" width="9.140625" style="1" customWidth="1"/>
    <col min="3" max="3" width="5.421875" style="1" customWidth="1"/>
    <col min="4" max="4" width="5.57421875" style="1" customWidth="1"/>
    <col min="5" max="5" width="17.140625" style="1" customWidth="1"/>
    <col min="6" max="6" width="9.140625" style="1" customWidth="1"/>
    <col min="7" max="7" width="19.00390625" style="1" customWidth="1"/>
    <col min="8" max="8" width="14.28125" style="1" customWidth="1"/>
    <col min="9" max="9" width="11.28125" style="117" hidden="1" customWidth="1"/>
    <col min="10" max="10" width="9.140625" style="1" customWidth="1"/>
    <col min="11" max="11" width="9.140625" style="1" hidden="1" customWidth="1"/>
    <col min="12" max="12" width="10.57421875" style="1" customWidth="1"/>
    <col min="13" max="16384" width="9.140625" style="1" customWidth="1"/>
  </cols>
  <sheetData>
    <row r="1" spans="1:8" ht="18.75">
      <c r="A1" s="66"/>
      <c r="B1" s="66"/>
      <c r="C1" s="66"/>
      <c r="D1" s="66"/>
      <c r="E1" s="65"/>
      <c r="F1" s="165" t="s">
        <v>125</v>
      </c>
      <c r="G1" s="66"/>
      <c r="H1" s="187"/>
    </row>
    <row r="2" spans="1:8" ht="18.75">
      <c r="A2" s="66"/>
      <c r="B2" s="66"/>
      <c r="C2" s="66"/>
      <c r="D2" s="66"/>
      <c r="E2" s="65"/>
      <c r="F2" s="165" t="s">
        <v>1</v>
      </c>
      <c r="G2" s="66"/>
      <c r="H2" s="187"/>
    </row>
    <row r="3" spans="1:8" ht="18.75">
      <c r="A3" s="66"/>
      <c r="B3" s="66"/>
      <c r="C3" s="66"/>
      <c r="D3" s="66"/>
      <c r="E3" s="65"/>
      <c r="F3" s="165" t="s">
        <v>762</v>
      </c>
      <c r="G3" s="66"/>
      <c r="H3" s="187"/>
    </row>
    <row r="4" spans="1:8" ht="15.75">
      <c r="A4" s="411"/>
      <c r="B4" s="411"/>
      <c r="C4" s="411"/>
      <c r="D4" s="411"/>
      <c r="E4" s="411"/>
      <c r="F4" s="411"/>
      <c r="G4" s="411"/>
      <c r="H4" s="187"/>
    </row>
    <row r="5" spans="1:8" ht="15.75">
      <c r="A5" s="406" t="s">
        <v>126</v>
      </c>
      <c r="B5" s="406"/>
      <c r="C5" s="406"/>
      <c r="D5" s="406"/>
      <c r="E5" s="406"/>
      <c r="F5" s="406"/>
      <c r="G5" s="406"/>
      <c r="H5" s="187"/>
    </row>
    <row r="6" spans="1:8" ht="15.75">
      <c r="A6" s="184"/>
      <c r="B6" s="184"/>
      <c r="C6" s="184"/>
      <c r="D6" s="184"/>
      <c r="E6" s="184"/>
      <c r="F6" s="184"/>
      <c r="G6" s="184"/>
      <c r="H6" s="187"/>
    </row>
    <row r="7" spans="1:8" ht="15.75">
      <c r="A7" s="13"/>
      <c r="B7" s="13"/>
      <c r="C7" s="13"/>
      <c r="D7" s="13"/>
      <c r="E7" s="13"/>
      <c r="F7" s="13"/>
      <c r="G7" s="109" t="s">
        <v>2</v>
      </c>
      <c r="H7" s="187"/>
    </row>
    <row r="8" spans="1:8" ht="47.25">
      <c r="A8" s="14" t="s">
        <v>127</v>
      </c>
      <c r="B8" s="14" t="s">
        <v>128</v>
      </c>
      <c r="C8" s="15" t="s">
        <v>129</v>
      </c>
      <c r="D8" s="15" t="s">
        <v>130</v>
      </c>
      <c r="E8" s="15" t="s">
        <v>131</v>
      </c>
      <c r="F8" s="15" t="s">
        <v>132</v>
      </c>
      <c r="G8" s="14" t="s">
        <v>5</v>
      </c>
      <c r="H8" s="187"/>
    </row>
    <row r="9" spans="1:8" ht="15.7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87"/>
    </row>
    <row r="10" spans="1:9" ht="31.5">
      <c r="A10" s="19" t="s">
        <v>133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87"/>
      <c r="I10" s="122"/>
    </row>
    <row r="11" spans="1:8" ht="15.75">
      <c r="A11" s="23" t="s">
        <v>134</v>
      </c>
      <c r="B11" s="19">
        <v>901</v>
      </c>
      <c r="C11" s="24" t="s">
        <v>135</v>
      </c>
      <c r="D11" s="20"/>
      <c r="E11" s="20"/>
      <c r="F11" s="20"/>
      <c r="G11" s="21">
        <f>G12+G22</f>
        <v>14164.460000000001</v>
      </c>
      <c r="H11" s="187"/>
    </row>
    <row r="12" spans="1:8" ht="63">
      <c r="A12" s="23" t="s">
        <v>136</v>
      </c>
      <c r="B12" s="19">
        <v>901</v>
      </c>
      <c r="C12" s="24" t="s">
        <v>135</v>
      </c>
      <c r="D12" s="24" t="s">
        <v>137</v>
      </c>
      <c r="E12" s="24"/>
      <c r="F12" s="24"/>
      <c r="G12" s="21">
        <f>G13</f>
        <v>14114.460000000001</v>
      </c>
      <c r="H12" s="187"/>
    </row>
    <row r="13" spans="1:8" ht="15.75">
      <c r="A13" s="25" t="s">
        <v>138</v>
      </c>
      <c r="B13" s="16">
        <v>901</v>
      </c>
      <c r="C13" s="20" t="s">
        <v>135</v>
      </c>
      <c r="D13" s="20" t="s">
        <v>137</v>
      </c>
      <c r="E13" s="20" t="s">
        <v>139</v>
      </c>
      <c r="F13" s="20"/>
      <c r="G13" s="26">
        <f>G14</f>
        <v>14114.460000000001</v>
      </c>
      <c r="H13" s="187"/>
    </row>
    <row r="14" spans="1:8" ht="31.5">
      <c r="A14" s="25" t="s">
        <v>140</v>
      </c>
      <c r="B14" s="16">
        <v>901</v>
      </c>
      <c r="C14" s="20" t="s">
        <v>135</v>
      </c>
      <c r="D14" s="20" t="s">
        <v>137</v>
      </c>
      <c r="E14" s="20" t="s">
        <v>141</v>
      </c>
      <c r="F14" s="20"/>
      <c r="G14" s="26">
        <f>G15</f>
        <v>14114.460000000001</v>
      </c>
      <c r="H14" s="187"/>
    </row>
    <row r="15" spans="1:8" ht="47.25">
      <c r="A15" s="25" t="s">
        <v>142</v>
      </c>
      <c r="B15" s="16">
        <v>901</v>
      </c>
      <c r="C15" s="20" t="s">
        <v>135</v>
      </c>
      <c r="D15" s="20" t="s">
        <v>137</v>
      </c>
      <c r="E15" s="20" t="s">
        <v>143</v>
      </c>
      <c r="F15" s="20"/>
      <c r="G15" s="26">
        <f>G16+G18+G20</f>
        <v>14114.460000000001</v>
      </c>
      <c r="H15" s="187"/>
    </row>
    <row r="16" spans="1:8" ht="94.5">
      <c r="A16" s="25" t="s">
        <v>144</v>
      </c>
      <c r="B16" s="16">
        <v>901</v>
      </c>
      <c r="C16" s="20" t="s">
        <v>135</v>
      </c>
      <c r="D16" s="20" t="s">
        <v>137</v>
      </c>
      <c r="E16" s="20" t="s">
        <v>143</v>
      </c>
      <c r="F16" s="20" t="s">
        <v>145</v>
      </c>
      <c r="G16" s="26">
        <f>G17</f>
        <v>12784.1</v>
      </c>
      <c r="H16" s="187"/>
    </row>
    <row r="17" spans="1:8" ht="31.5">
      <c r="A17" s="25" t="s">
        <v>146</v>
      </c>
      <c r="B17" s="16">
        <v>901</v>
      </c>
      <c r="C17" s="20" t="s">
        <v>135</v>
      </c>
      <c r="D17" s="20" t="s">
        <v>137</v>
      </c>
      <c r="E17" s="20" t="s">
        <v>143</v>
      </c>
      <c r="F17" s="20" t="s">
        <v>147</v>
      </c>
      <c r="G17" s="27">
        <v>12784.1</v>
      </c>
      <c r="H17" s="187"/>
    </row>
    <row r="18" spans="1:8" ht="31.5">
      <c r="A18" s="25" t="s">
        <v>148</v>
      </c>
      <c r="B18" s="16">
        <v>901</v>
      </c>
      <c r="C18" s="20" t="s">
        <v>135</v>
      </c>
      <c r="D18" s="20" t="s">
        <v>137</v>
      </c>
      <c r="E18" s="20" t="s">
        <v>143</v>
      </c>
      <c r="F18" s="20" t="s">
        <v>149</v>
      </c>
      <c r="G18" s="26">
        <f>G19</f>
        <v>1302.36</v>
      </c>
      <c r="H18" s="187"/>
    </row>
    <row r="19" spans="1:8" ht="47.25">
      <c r="A19" s="25" t="s">
        <v>150</v>
      </c>
      <c r="B19" s="16">
        <v>901</v>
      </c>
      <c r="C19" s="20" t="s">
        <v>135</v>
      </c>
      <c r="D19" s="20" t="s">
        <v>137</v>
      </c>
      <c r="E19" s="20" t="s">
        <v>143</v>
      </c>
      <c r="F19" s="20" t="s">
        <v>151</v>
      </c>
      <c r="G19" s="27">
        <v>1302.36</v>
      </c>
      <c r="H19" s="187"/>
    </row>
    <row r="20" spans="1:8" ht="15.75">
      <c r="A20" s="25" t="s">
        <v>152</v>
      </c>
      <c r="B20" s="16">
        <v>901</v>
      </c>
      <c r="C20" s="20" t="s">
        <v>135</v>
      </c>
      <c r="D20" s="20" t="s">
        <v>137</v>
      </c>
      <c r="E20" s="20" t="s">
        <v>143</v>
      </c>
      <c r="F20" s="20" t="s">
        <v>153</v>
      </c>
      <c r="G20" s="26">
        <f>G21</f>
        <v>28</v>
      </c>
      <c r="H20" s="187"/>
    </row>
    <row r="21" spans="1:8" ht="15.75">
      <c r="A21" s="25" t="s">
        <v>585</v>
      </c>
      <c r="B21" s="16">
        <v>901</v>
      </c>
      <c r="C21" s="20" t="s">
        <v>135</v>
      </c>
      <c r="D21" s="20" t="s">
        <v>137</v>
      </c>
      <c r="E21" s="20" t="s">
        <v>143</v>
      </c>
      <c r="F21" s="20" t="s">
        <v>155</v>
      </c>
      <c r="G21" s="26">
        <v>28</v>
      </c>
      <c r="H21" s="187"/>
    </row>
    <row r="22" spans="1:8" ht="31.5" customHeight="1">
      <c r="A22" s="23" t="s">
        <v>156</v>
      </c>
      <c r="B22" s="19">
        <v>901</v>
      </c>
      <c r="C22" s="24" t="s">
        <v>135</v>
      </c>
      <c r="D22" s="24" t="s">
        <v>157</v>
      </c>
      <c r="E22" s="24"/>
      <c r="F22" s="24"/>
      <c r="G22" s="21">
        <f>G23</f>
        <v>50</v>
      </c>
      <c r="H22" s="187"/>
    </row>
    <row r="23" spans="1:8" ht="15.75">
      <c r="A23" s="25" t="s">
        <v>158</v>
      </c>
      <c r="B23" s="16">
        <v>901</v>
      </c>
      <c r="C23" s="20" t="s">
        <v>135</v>
      </c>
      <c r="D23" s="20" t="s">
        <v>157</v>
      </c>
      <c r="E23" s="20" t="s">
        <v>159</v>
      </c>
      <c r="F23" s="20"/>
      <c r="G23" s="26">
        <f>G24</f>
        <v>50</v>
      </c>
      <c r="H23" s="187"/>
    </row>
    <row r="24" spans="1:8" ht="15.75">
      <c r="A24" s="25" t="s">
        <v>160</v>
      </c>
      <c r="B24" s="16">
        <v>901</v>
      </c>
      <c r="C24" s="20" t="s">
        <v>135</v>
      </c>
      <c r="D24" s="20" t="s">
        <v>157</v>
      </c>
      <c r="E24" s="20" t="s">
        <v>161</v>
      </c>
      <c r="F24" s="20"/>
      <c r="G24" s="26">
        <f>G25</f>
        <v>50</v>
      </c>
      <c r="H24" s="187"/>
    </row>
    <row r="25" spans="1:8" ht="15.75">
      <c r="A25" s="25" t="s">
        <v>152</v>
      </c>
      <c r="B25" s="16">
        <v>901</v>
      </c>
      <c r="C25" s="20" t="s">
        <v>135</v>
      </c>
      <c r="D25" s="20" t="s">
        <v>157</v>
      </c>
      <c r="E25" s="20" t="s">
        <v>161</v>
      </c>
      <c r="F25" s="20" t="s">
        <v>162</v>
      </c>
      <c r="G25" s="26">
        <f>G26</f>
        <v>50</v>
      </c>
      <c r="H25" s="187"/>
    </row>
    <row r="26" spans="1:8" ht="15.75">
      <c r="A26" s="25" t="s">
        <v>163</v>
      </c>
      <c r="B26" s="16">
        <v>901</v>
      </c>
      <c r="C26" s="20" t="s">
        <v>135</v>
      </c>
      <c r="D26" s="20" t="s">
        <v>157</v>
      </c>
      <c r="E26" s="20" t="s">
        <v>161</v>
      </c>
      <c r="F26" s="20" t="s">
        <v>164</v>
      </c>
      <c r="G26" s="26">
        <v>50</v>
      </c>
      <c r="H26" s="187"/>
    </row>
    <row r="27" spans="1:8" ht="31.5">
      <c r="A27" s="19" t="s">
        <v>165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87"/>
    </row>
    <row r="28" spans="1:8" ht="15.75">
      <c r="A28" s="23" t="s">
        <v>134</v>
      </c>
      <c r="B28" s="19">
        <v>902</v>
      </c>
      <c r="C28" s="24" t="s">
        <v>135</v>
      </c>
      <c r="D28" s="20"/>
      <c r="E28" s="20"/>
      <c r="F28" s="20"/>
      <c r="G28" s="21">
        <f>G29+G48+G56</f>
        <v>66062.7</v>
      </c>
      <c r="H28" s="187"/>
    </row>
    <row r="29" spans="1:8" ht="78.75">
      <c r="A29" s="23" t="s">
        <v>166</v>
      </c>
      <c r="B29" s="19">
        <v>902</v>
      </c>
      <c r="C29" s="24" t="s">
        <v>135</v>
      </c>
      <c r="D29" s="24" t="s">
        <v>167</v>
      </c>
      <c r="E29" s="24"/>
      <c r="F29" s="24"/>
      <c r="G29" s="21">
        <f>G30</f>
        <v>51508.2</v>
      </c>
      <c r="H29" s="187"/>
    </row>
    <row r="30" spans="1:8" ht="15.75">
      <c r="A30" s="25" t="s">
        <v>138</v>
      </c>
      <c r="B30" s="16">
        <v>902</v>
      </c>
      <c r="C30" s="20" t="s">
        <v>135</v>
      </c>
      <c r="D30" s="20" t="s">
        <v>167</v>
      </c>
      <c r="E30" s="20" t="s">
        <v>139</v>
      </c>
      <c r="F30" s="20"/>
      <c r="G30" s="27">
        <f>G31+G42</f>
        <v>51508.2</v>
      </c>
      <c r="H30" s="187"/>
    </row>
    <row r="31" spans="1:8" ht="31.5">
      <c r="A31" s="25" t="s">
        <v>140</v>
      </c>
      <c r="B31" s="16">
        <v>902</v>
      </c>
      <c r="C31" s="20" t="s">
        <v>135</v>
      </c>
      <c r="D31" s="20" t="s">
        <v>167</v>
      </c>
      <c r="E31" s="20" t="s">
        <v>141</v>
      </c>
      <c r="F31" s="20"/>
      <c r="G31" s="27">
        <f>G32+G39</f>
        <v>43489.2</v>
      </c>
      <c r="H31" s="187"/>
    </row>
    <row r="32" spans="1:8" ht="47.25">
      <c r="A32" s="25" t="s">
        <v>142</v>
      </c>
      <c r="B32" s="16">
        <v>902</v>
      </c>
      <c r="C32" s="20" t="s">
        <v>135</v>
      </c>
      <c r="D32" s="20" t="s">
        <v>167</v>
      </c>
      <c r="E32" s="20" t="s">
        <v>143</v>
      </c>
      <c r="F32" s="20"/>
      <c r="G32" s="26">
        <f>G33+G35+G37</f>
        <v>39943.6</v>
      </c>
      <c r="H32" s="187"/>
    </row>
    <row r="33" spans="1:8" ht="94.5">
      <c r="A33" s="25" t="s">
        <v>144</v>
      </c>
      <c r="B33" s="16">
        <v>902</v>
      </c>
      <c r="C33" s="20" t="s">
        <v>135</v>
      </c>
      <c r="D33" s="20" t="s">
        <v>167</v>
      </c>
      <c r="E33" s="20" t="s">
        <v>143</v>
      </c>
      <c r="F33" s="20" t="s">
        <v>145</v>
      </c>
      <c r="G33" s="26">
        <f>G34</f>
        <v>34230.5</v>
      </c>
      <c r="H33" s="187"/>
    </row>
    <row r="34" spans="1:10" ht="31.5">
      <c r="A34" s="25" t="s">
        <v>146</v>
      </c>
      <c r="B34" s="16">
        <v>902</v>
      </c>
      <c r="C34" s="20" t="s">
        <v>135</v>
      </c>
      <c r="D34" s="20" t="s">
        <v>167</v>
      </c>
      <c r="E34" s="20" t="s">
        <v>143</v>
      </c>
      <c r="F34" s="20" t="s">
        <v>147</v>
      </c>
      <c r="G34" s="166">
        <f>36517.7-553.5-1733.7</f>
        <v>34230.5</v>
      </c>
      <c r="H34" s="167" t="s">
        <v>740</v>
      </c>
      <c r="J34" s="182" t="s">
        <v>782</v>
      </c>
    </row>
    <row r="35" spans="1:8" ht="31.5">
      <c r="A35" s="25" t="s">
        <v>148</v>
      </c>
      <c r="B35" s="16">
        <v>902</v>
      </c>
      <c r="C35" s="20" t="s">
        <v>135</v>
      </c>
      <c r="D35" s="20" t="s">
        <v>167</v>
      </c>
      <c r="E35" s="20" t="s">
        <v>143</v>
      </c>
      <c r="F35" s="20" t="s">
        <v>149</v>
      </c>
      <c r="G35" s="26">
        <f>G36</f>
        <v>5592.4</v>
      </c>
      <c r="H35" s="187"/>
    </row>
    <row r="36" spans="1:9" ht="47.25">
      <c r="A36" s="25" t="s">
        <v>150</v>
      </c>
      <c r="B36" s="16">
        <v>902</v>
      </c>
      <c r="C36" s="20" t="s">
        <v>135</v>
      </c>
      <c r="D36" s="20" t="s">
        <v>167</v>
      </c>
      <c r="E36" s="20" t="s">
        <v>143</v>
      </c>
      <c r="F36" s="20" t="s">
        <v>151</v>
      </c>
      <c r="G36" s="27">
        <f>3962.7+1800-140.3-30</f>
        <v>5592.4</v>
      </c>
      <c r="H36" s="114"/>
      <c r="I36" s="134"/>
    </row>
    <row r="37" spans="1:8" ht="15.75">
      <c r="A37" s="25" t="s">
        <v>152</v>
      </c>
      <c r="B37" s="16">
        <v>902</v>
      </c>
      <c r="C37" s="20" t="s">
        <v>135</v>
      </c>
      <c r="D37" s="20" t="s">
        <v>167</v>
      </c>
      <c r="E37" s="20" t="s">
        <v>143</v>
      </c>
      <c r="F37" s="20" t="s">
        <v>162</v>
      </c>
      <c r="G37" s="26">
        <f>G38</f>
        <v>120.7</v>
      </c>
      <c r="H37" s="187"/>
    </row>
    <row r="38" spans="1:9" ht="15.75">
      <c r="A38" s="25" t="s">
        <v>585</v>
      </c>
      <c r="B38" s="16">
        <v>902</v>
      </c>
      <c r="C38" s="20" t="s">
        <v>135</v>
      </c>
      <c r="D38" s="20" t="s">
        <v>167</v>
      </c>
      <c r="E38" s="20" t="s">
        <v>143</v>
      </c>
      <c r="F38" s="20" t="s">
        <v>155</v>
      </c>
      <c r="G38" s="27">
        <f>90.7+30</f>
        <v>120.7</v>
      </c>
      <c r="H38" s="114"/>
      <c r="I38" s="133"/>
    </row>
    <row r="39" spans="1:8" ht="31.5">
      <c r="A39" s="25" t="s">
        <v>168</v>
      </c>
      <c r="B39" s="16">
        <v>902</v>
      </c>
      <c r="C39" s="20" t="s">
        <v>135</v>
      </c>
      <c r="D39" s="20" t="s">
        <v>167</v>
      </c>
      <c r="E39" s="20" t="s">
        <v>169</v>
      </c>
      <c r="F39" s="20"/>
      <c r="G39" s="26">
        <f>G40</f>
        <v>3545.6</v>
      </c>
      <c r="H39" s="187"/>
    </row>
    <row r="40" spans="1:8" ht="94.5">
      <c r="A40" s="25" t="s">
        <v>144</v>
      </c>
      <c r="B40" s="16">
        <v>902</v>
      </c>
      <c r="C40" s="20" t="s">
        <v>135</v>
      </c>
      <c r="D40" s="20" t="s">
        <v>167</v>
      </c>
      <c r="E40" s="20" t="s">
        <v>169</v>
      </c>
      <c r="F40" s="20" t="s">
        <v>145</v>
      </c>
      <c r="G40" s="26">
        <f>G41</f>
        <v>3545.6</v>
      </c>
      <c r="H40" s="187"/>
    </row>
    <row r="41" spans="1:8" ht="31.5">
      <c r="A41" s="25" t="s">
        <v>146</v>
      </c>
      <c r="B41" s="16">
        <v>902</v>
      </c>
      <c r="C41" s="20" t="s">
        <v>135</v>
      </c>
      <c r="D41" s="20" t="s">
        <v>167</v>
      </c>
      <c r="E41" s="20" t="s">
        <v>169</v>
      </c>
      <c r="F41" s="20" t="s">
        <v>147</v>
      </c>
      <c r="G41" s="27">
        <v>3545.6</v>
      </c>
      <c r="H41" s="187"/>
    </row>
    <row r="42" spans="1:8" ht="15.75">
      <c r="A42" s="25" t="s">
        <v>158</v>
      </c>
      <c r="B42" s="16">
        <v>902</v>
      </c>
      <c r="C42" s="20" t="s">
        <v>135</v>
      </c>
      <c r="D42" s="20" t="s">
        <v>167</v>
      </c>
      <c r="E42" s="20" t="s">
        <v>159</v>
      </c>
      <c r="F42" s="20"/>
      <c r="G42" s="29">
        <f>G43</f>
        <v>8019</v>
      </c>
      <c r="H42" s="187"/>
    </row>
    <row r="43" spans="1:8" ht="31.5">
      <c r="A43" s="25" t="s">
        <v>170</v>
      </c>
      <c r="B43" s="16">
        <v>902</v>
      </c>
      <c r="C43" s="20" t="s">
        <v>135</v>
      </c>
      <c r="D43" s="20" t="s">
        <v>167</v>
      </c>
      <c r="E43" s="20" t="s">
        <v>171</v>
      </c>
      <c r="F43" s="20"/>
      <c r="G43" s="26">
        <f>G44+G46</f>
        <v>8019</v>
      </c>
      <c r="H43" s="187"/>
    </row>
    <row r="44" spans="1:8" ht="94.5">
      <c r="A44" s="25" t="s">
        <v>144</v>
      </c>
      <c r="B44" s="16">
        <v>902</v>
      </c>
      <c r="C44" s="20" t="s">
        <v>135</v>
      </c>
      <c r="D44" s="20" t="s">
        <v>167</v>
      </c>
      <c r="E44" s="20" t="s">
        <v>171</v>
      </c>
      <c r="F44" s="20" t="s">
        <v>145</v>
      </c>
      <c r="G44" s="26">
        <f>G45</f>
        <v>5761.2</v>
      </c>
      <c r="H44" s="187"/>
    </row>
    <row r="45" spans="1:10" ht="31.5">
      <c r="A45" s="25" t="s">
        <v>146</v>
      </c>
      <c r="B45" s="16">
        <v>902</v>
      </c>
      <c r="C45" s="20" t="s">
        <v>135</v>
      </c>
      <c r="D45" s="20" t="s">
        <v>167</v>
      </c>
      <c r="E45" s="20" t="s">
        <v>171</v>
      </c>
      <c r="F45" s="20" t="s">
        <v>147</v>
      </c>
      <c r="G45" s="166">
        <f>6958.6+88.4-2398.3+1112.5</f>
        <v>5761.2</v>
      </c>
      <c r="H45" s="114" t="s">
        <v>741</v>
      </c>
      <c r="I45" s="133"/>
      <c r="J45" s="181" t="s">
        <v>783</v>
      </c>
    </row>
    <row r="46" spans="1:8" ht="31.5">
      <c r="A46" s="25" t="s">
        <v>148</v>
      </c>
      <c r="B46" s="16">
        <v>902</v>
      </c>
      <c r="C46" s="20" t="s">
        <v>135</v>
      </c>
      <c r="D46" s="20" t="s">
        <v>167</v>
      </c>
      <c r="E46" s="20" t="s">
        <v>171</v>
      </c>
      <c r="F46" s="20" t="s">
        <v>149</v>
      </c>
      <c r="G46" s="26">
        <f>G47</f>
        <v>2257.8</v>
      </c>
      <c r="H46" s="187"/>
    </row>
    <row r="47" spans="1:9" ht="47.25">
      <c r="A47" s="25" t="s">
        <v>150</v>
      </c>
      <c r="B47" s="16">
        <v>902</v>
      </c>
      <c r="C47" s="20" t="s">
        <v>135</v>
      </c>
      <c r="D47" s="20" t="s">
        <v>167</v>
      </c>
      <c r="E47" s="20" t="s">
        <v>171</v>
      </c>
      <c r="F47" s="20" t="s">
        <v>151</v>
      </c>
      <c r="G47" s="166">
        <f>2109.3+129.9+835.5-1438.1+621.2</f>
        <v>2257.8</v>
      </c>
      <c r="H47" s="114" t="s">
        <v>742</v>
      </c>
      <c r="I47" s="134"/>
    </row>
    <row r="48" spans="1:8" ht="63">
      <c r="A48" s="23" t="s">
        <v>136</v>
      </c>
      <c r="B48" s="19">
        <v>902</v>
      </c>
      <c r="C48" s="24" t="s">
        <v>135</v>
      </c>
      <c r="D48" s="24" t="s">
        <v>137</v>
      </c>
      <c r="E48" s="24"/>
      <c r="F48" s="20"/>
      <c r="G48" s="21">
        <f>G49</f>
        <v>1081.7</v>
      </c>
      <c r="H48" s="187"/>
    </row>
    <row r="49" spans="1:8" ht="21" customHeight="1">
      <c r="A49" s="25" t="s">
        <v>138</v>
      </c>
      <c r="B49" s="16">
        <v>902</v>
      </c>
      <c r="C49" s="20" t="s">
        <v>135</v>
      </c>
      <c r="D49" s="20" t="s">
        <v>137</v>
      </c>
      <c r="E49" s="20" t="s">
        <v>139</v>
      </c>
      <c r="F49" s="20"/>
      <c r="G49" s="26">
        <f>G50</f>
        <v>1081.7</v>
      </c>
      <c r="H49" s="187"/>
    </row>
    <row r="50" spans="1:11" ht="31.5">
      <c r="A50" s="25" t="s">
        <v>140</v>
      </c>
      <c r="B50" s="16">
        <v>902</v>
      </c>
      <c r="C50" s="20" t="s">
        <v>135</v>
      </c>
      <c r="D50" s="20" t="s">
        <v>137</v>
      </c>
      <c r="E50" s="20" t="s">
        <v>141</v>
      </c>
      <c r="F50" s="20"/>
      <c r="G50" s="26">
        <f>G51</f>
        <v>1081.7</v>
      </c>
      <c r="H50" s="187"/>
      <c r="K50" s="26"/>
    </row>
    <row r="51" spans="1:11" ht="47.25">
      <c r="A51" s="25" t="s">
        <v>142</v>
      </c>
      <c r="B51" s="16">
        <v>902</v>
      </c>
      <c r="C51" s="20" t="s">
        <v>135</v>
      </c>
      <c r="D51" s="20" t="s">
        <v>137</v>
      </c>
      <c r="E51" s="20" t="s">
        <v>143</v>
      </c>
      <c r="F51" s="20"/>
      <c r="G51" s="26">
        <f>G52+G54</f>
        <v>1081.7</v>
      </c>
      <c r="H51" s="187"/>
      <c r="K51" s="26"/>
    </row>
    <row r="52" spans="1:11" ht="94.5">
      <c r="A52" s="25" t="s">
        <v>144</v>
      </c>
      <c r="B52" s="16">
        <v>902</v>
      </c>
      <c r="C52" s="20" t="s">
        <v>135</v>
      </c>
      <c r="D52" s="20" t="s">
        <v>137</v>
      </c>
      <c r="E52" s="20" t="s">
        <v>143</v>
      </c>
      <c r="F52" s="20" t="s">
        <v>145</v>
      </c>
      <c r="G52" s="26">
        <f>G53</f>
        <v>1081.7</v>
      </c>
      <c r="H52" s="187"/>
      <c r="K52" s="27"/>
    </row>
    <row r="53" spans="1:11" ht="31.5">
      <c r="A53" s="25" t="s">
        <v>146</v>
      </c>
      <c r="B53" s="16">
        <v>902</v>
      </c>
      <c r="C53" s="20" t="s">
        <v>135</v>
      </c>
      <c r="D53" s="20" t="s">
        <v>137</v>
      </c>
      <c r="E53" s="20" t="s">
        <v>143</v>
      </c>
      <c r="F53" s="20" t="s">
        <v>147</v>
      </c>
      <c r="G53" s="27">
        <f>1081.7</f>
        <v>1081.7</v>
      </c>
      <c r="H53" s="187"/>
      <c r="I53" s="123"/>
      <c r="K53" s="26"/>
    </row>
    <row r="54" spans="1:11" ht="31.5" hidden="1">
      <c r="A54" s="25" t="s">
        <v>148</v>
      </c>
      <c r="B54" s="16">
        <v>902</v>
      </c>
      <c r="C54" s="20" t="s">
        <v>135</v>
      </c>
      <c r="D54" s="20" t="s">
        <v>137</v>
      </c>
      <c r="E54" s="20" t="s">
        <v>143</v>
      </c>
      <c r="F54" s="20" t="s">
        <v>149</v>
      </c>
      <c r="G54" s="27">
        <f>G55</f>
        <v>0</v>
      </c>
      <c r="H54" s="187"/>
      <c r="K54" s="26"/>
    </row>
    <row r="55" spans="1:11" ht="47.25" hidden="1">
      <c r="A55" s="25" t="s">
        <v>150</v>
      </c>
      <c r="B55" s="16">
        <v>902</v>
      </c>
      <c r="C55" s="20" t="s">
        <v>135</v>
      </c>
      <c r="D55" s="20" t="s">
        <v>137</v>
      </c>
      <c r="E55" s="20" t="s">
        <v>143</v>
      </c>
      <c r="F55" s="20" t="s">
        <v>151</v>
      </c>
      <c r="G55" s="27"/>
      <c r="H55" s="187"/>
      <c r="I55" s="123"/>
      <c r="K55" s="26"/>
    </row>
    <row r="56" spans="1:11" ht="15.75">
      <c r="A56" s="23" t="s">
        <v>156</v>
      </c>
      <c r="B56" s="19">
        <v>902</v>
      </c>
      <c r="C56" s="24" t="s">
        <v>135</v>
      </c>
      <c r="D56" s="24" t="s">
        <v>157</v>
      </c>
      <c r="E56" s="24"/>
      <c r="F56" s="24"/>
      <c r="G56" s="21">
        <f>G57+G61+G73+G86+G97+G90</f>
        <v>13472.8</v>
      </c>
      <c r="H56" s="187"/>
      <c r="I56" s="122"/>
      <c r="K56" s="26"/>
    </row>
    <row r="57" spans="1:8" ht="63">
      <c r="A57" s="25" t="s">
        <v>172</v>
      </c>
      <c r="B57" s="16">
        <v>902</v>
      </c>
      <c r="C57" s="20" t="s">
        <v>135</v>
      </c>
      <c r="D57" s="20" t="s">
        <v>157</v>
      </c>
      <c r="E57" s="20" t="s">
        <v>173</v>
      </c>
      <c r="F57" s="20"/>
      <c r="G57" s="26">
        <f>G58</f>
        <v>250</v>
      </c>
      <c r="H57" s="187"/>
    </row>
    <row r="58" spans="1:8" ht="31.5">
      <c r="A58" s="25" t="s">
        <v>174</v>
      </c>
      <c r="B58" s="16">
        <v>902</v>
      </c>
      <c r="C58" s="20" t="s">
        <v>135</v>
      </c>
      <c r="D58" s="20" t="s">
        <v>157</v>
      </c>
      <c r="E58" s="20" t="s">
        <v>175</v>
      </c>
      <c r="F58" s="20"/>
      <c r="G58" s="26">
        <f>G59</f>
        <v>250</v>
      </c>
      <c r="H58" s="187"/>
    </row>
    <row r="59" spans="1:8" ht="15.75">
      <c r="A59" s="25" t="s">
        <v>152</v>
      </c>
      <c r="B59" s="16">
        <v>902</v>
      </c>
      <c r="C59" s="20" t="s">
        <v>135</v>
      </c>
      <c r="D59" s="20" t="s">
        <v>157</v>
      </c>
      <c r="E59" s="20" t="s">
        <v>175</v>
      </c>
      <c r="F59" s="20" t="s">
        <v>162</v>
      </c>
      <c r="G59" s="26">
        <f>G60</f>
        <v>250</v>
      </c>
      <c r="H59" s="187"/>
    </row>
    <row r="60" spans="1:9" ht="78.75">
      <c r="A60" s="25" t="s">
        <v>176</v>
      </c>
      <c r="B60" s="16">
        <v>902</v>
      </c>
      <c r="C60" s="20" t="s">
        <v>135</v>
      </c>
      <c r="D60" s="20" t="s">
        <v>157</v>
      </c>
      <c r="E60" s="20" t="s">
        <v>175</v>
      </c>
      <c r="F60" s="20" t="s">
        <v>177</v>
      </c>
      <c r="G60" s="26">
        <f>100+150</f>
        <v>250</v>
      </c>
      <c r="H60" s="187"/>
      <c r="I60" s="123"/>
    </row>
    <row r="61" spans="1:8" ht="47.25">
      <c r="A61" s="25" t="s">
        <v>178</v>
      </c>
      <c r="B61" s="16">
        <v>902</v>
      </c>
      <c r="C61" s="20" t="s">
        <v>135</v>
      </c>
      <c r="D61" s="20" t="s">
        <v>157</v>
      </c>
      <c r="E61" s="20" t="s">
        <v>179</v>
      </c>
      <c r="F61" s="20"/>
      <c r="G61" s="26">
        <f>G62+G65+G70</f>
        <v>653.5</v>
      </c>
      <c r="H61" s="187"/>
    </row>
    <row r="62" spans="1:8" ht="31.5">
      <c r="A62" s="30" t="s">
        <v>180</v>
      </c>
      <c r="B62" s="16">
        <v>902</v>
      </c>
      <c r="C62" s="20" t="s">
        <v>135</v>
      </c>
      <c r="D62" s="20" t="s">
        <v>157</v>
      </c>
      <c r="E62" s="41" t="s">
        <v>181</v>
      </c>
      <c r="F62" s="20"/>
      <c r="G62" s="26">
        <f>G63</f>
        <v>428.1</v>
      </c>
      <c r="H62" s="187"/>
    </row>
    <row r="63" spans="1:8" ht="31.5">
      <c r="A63" s="25" t="s">
        <v>148</v>
      </c>
      <c r="B63" s="16">
        <v>902</v>
      </c>
      <c r="C63" s="20" t="s">
        <v>135</v>
      </c>
      <c r="D63" s="20" t="s">
        <v>157</v>
      </c>
      <c r="E63" s="41" t="s">
        <v>181</v>
      </c>
      <c r="F63" s="20" t="s">
        <v>149</v>
      </c>
      <c r="G63" s="26">
        <f>G64</f>
        <v>428.1</v>
      </c>
      <c r="H63" s="187"/>
    </row>
    <row r="64" spans="1:8" ht="47.25">
      <c r="A64" s="25" t="s">
        <v>150</v>
      </c>
      <c r="B64" s="16">
        <v>902</v>
      </c>
      <c r="C64" s="20" t="s">
        <v>135</v>
      </c>
      <c r="D64" s="20" t="s">
        <v>157</v>
      </c>
      <c r="E64" s="41" t="s">
        <v>181</v>
      </c>
      <c r="F64" s="20" t="s">
        <v>151</v>
      </c>
      <c r="G64" s="26">
        <f>494.3-66.2</f>
        <v>428.1</v>
      </c>
      <c r="H64" s="187"/>
    </row>
    <row r="65" spans="1:8" ht="63">
      <c r="A65" s="188" t="s">
        <v>182</v>
      </c>
      <c r="B65" s="16">
        <v>902</v>
      </c>
      <c r="C65" s="20" t="s">
        <v>135</v>
      </c>
      <c r="D65" s="20" t="s">
        <v>157</v>
      </c>
      <c r="E65" s="41" t="s">
        <v>183</v>
      </c>
      <c r="F65" s="20"/>
      <c r="G65" s="26">
        <f>G66+G68</f>
        <v>224.89999999999998</v>
      </c>
      <c r="H65" s="187"/>
    </row>
    <row r="66" spans="1:8" ht="94.5">
      <c r="A66" s="25" t="s">
        <v>144</v>
      </c>
      <c r="B66" s="16">
        <v>902</v>
      </c>
      <c r="C66" s="20" t="s">
        <v>135</v>
      </c>
      <c r="D66" s="20" t="s">
        <v>157</v>
      </c>
      <c r="E66" s="41" t="s">
        <v>183</v>
      </c>
      <c r="F66" s="20" t="s">
        <v>145</v>
      </c>
      <c r="G66" s="26">
        <f>G67</f>
        <v>159.7</v>
      </c>
      <c r="H66" s="187"/>
    </row>
    <row r="67" spans="1:8" ht="31.5">
      <c r="A67" s="25" t="s">
        <v>146</v>
      </c>
      <c r="B67" s="16">
        <v>902</v>
      </c>
      <c r="C67" s="20" t="s">
        <v>135</v>
      </c>
      <c r="D67" s="20" t="s">
        <v>157</v>
      </c>
      <c r="E67" s="41" t="s">
        <v>183</v>
      </c>
      <c r="F67" s="20" t="s">
        <v>147</v>
      </c>
      <c r="G67" s="26">
        <v>159.7</v>
      </c>
      <c r="H67" s="187"/>
    </row>
    <row r="68" spans="1:8" ht="31.5">
      <c r="A68" s="25" t="s">
        <v>148</v>
      </c>
      <c r="B68" s="16">
        <v>902</v>
      </c>
      <c r="C68" s="20" t="s">
        <v>135</v>
      </c>
      <c r="D68" s="20" t="s">
        <v>157</v>
      </c>
      <c r="E68" s="41" t="s">
        <v>183</v>
      </c>
      <c r="F68" s="20" t="s">
        <v>149</v>
      </c>
      <c r="G68" s="26">
        <f>G69</f>
        <v>65.2</v>
      </c>
      <c r="H68" s="187"/>
    </row>
    <row r="69" spans="1:8" ht="47.25">
      <c r="A69" s="25" t="s">
        <v>150</v>
      </c>
      <c r="B69" s="16">
        <v>902</v>
      </c>
      <c r="C69" s="20" t="s">
        <v>135</v>
      </c>
      <c r="D69" s="20" t="s">
        <v>157</v>
      </c>
      <c r="E69" s="41" t="s">
        <v>183</v>
      </c>
      <c r="F69" s="20" t="s">
        <v>151</v>
      </c>
      <c r="G69" s="26">
        <f>66.2-0.5-0.5</f>
        <v>65.2</v>
      </c>
      <c r="H69" s="114"/>
    </row>
    <row r="70" spans="1:8" ht="47.25">
      <c r="A70" s="34" t="s">
        <v>208</v>
      </c>
      <c r="B70" s="16">
        <v>902</v>
      </c>
      <c r="C70" s="20" t="s">
        <v>135</v>
      </c>
      <c r="D70" s="20" t="s">
        <v>157</v>
      </c>
      <c r="E70" s="41" t="s">
        <v>700</v>
      </c>
      <c r="F70" s="20"/>
      <c r="G70" s="26">
        <f>G71</f>
        <v>0.5</v>
      </c>
      <c r="H70" s="116"/>
    </row>
    <row r="71" spans="1:8" ht="31.5">
      <c r="A71" s="25" t="s">
        <v>148</v>
      </c>
      <c r="B71" s="16">
        <v>902</v>
      </c>
      <c r="C71" s="20" t="s">
        <v>135</v>
      </c>
      <c r="D71" s="20" t="s">
        <v>157</v>
      </c>
      <c r="E71" s="41" t="s">
        <v>700</v>
      </c>
      <c r="F71" s="20" t="s">
        <v>149</v>
      </c>
      <c r="G71" s="26">
        <f>G72</f>
        <v>0.5</v>
      </c>
      <c r="H71" s="187"/>
    </row>
    <row r="72" spans="1:8" ht="47.25">
      <c r="A72" s="25" t="s">
        <v>150</v>
      </c>
      <c r="B72" s="16">
        <v>902</v>
      </c>
      <c r="C72" s="20" t="s">
        <v>135</v>
      </c>
      <c r="D72" s="20" t="s">
        <v>157</v>
      </c>
      <c r="E72" s="41" t="s">
        <v>700</v>
      </c>
      <c r="F72" s="20" t="s">
        <v>151</v>
      </c>
      <c r="G72" s="26">
        <v>0.5</v>
      </c>
      <c r="H72" s="114"/>
    </row>
    <row r="73" spans="1:8" ht="94.5">
      <c r="A73" s="30" t="s">
        <v>184</v>
      </c>
      <c r="B73" s="16">
        <v>902</v>
      </c>
      <c r="C73" s="9" t="s">
        <v>135</v>
      </c>
      <c r="D73" s="9" t="s">
        <v>157</v>
      </c>
      <c r="E73" s="5" t="s">
        <v>185</v>
      </c>
      <c r="F73" s="9"/>
      <c r="G73" s="26">
        <f>G74+G78+G82</f>
        <v>80</v>
      </c>
      <c r="H73" s="187"/>
    </row>
    <row r="74" spans="1:8" ht="78.75">
      <c r="A74" s="30" t="s">
        <v>186</v>
      </c>
      <c r="B74" s="16">
        <v>902</v>
      </c>
      <c r="C74" s="9" t="s">
        <v>135</v>
      </c>
      <c r="D74" s="9" t="s">
        <v>157</v>
      </c>
      <c r="E74" s="31" t="s">
        <v>187</v>
      </c>
      <c r="F74" s="9"/>
      <c r="G74" s="26">
        <f>G75</f>
        <v>15</v>
      </c>
      <c r="H74" s="187"/>
    </row>
    <row r="75" spans="1:8" ht="31.5">
      <c r="A75" s="188" t="s">
        <v>188</v>
      </c>
      <c r="B75" s="16">
        <v>902</v>
      </c>
      <c r="C75" s="9" t="s">
        <v>135</v>
      </c>
      <c r="D75" s="9" t="s">
        <v>157</v>
      </c>
      <c r="E75" s="5" t="s">
        <v>189</v>
      </c>
      <c r="F75" s="9"/>
      <c r="G75" s="26">
        <f>G76</f>
        <v>15</v>
      </c>
      <c r="H75" s="187"/>
    </row>
    <row r="76" spans="1:8" ht="31.5">
      <c r="A76" s="25" t="s">
        <v>148</v>
      </c>
      <c r="B76" s="16">
        <v>902</v>
      </c>
      <c r="C76" s="9" t="s">
        <v>135</v>
      </c>
      <c r="D76" s="9" t="s">
        <v>157</v>
      </c>
      <c r="E76" s="5" t="s">
        <v>189</v>
      </c>
      <c r="F76" s="9" t="s">
        <v>149</v>
      </c>
      <c r="G76" s="26">
        <f>G77</f>
        <v>15</v>
      </c>
      <c r="H76" s="187"/>
    </row>
    <row r="77" spans="1:8" ht="47.25">
      <c r="A77" s="25" t="s">
        <v>150</v>
      </c>
      <c r="B77" s="16">
        <v>902</v>
      </c>
      <c r="C77" s="9" t="s">
        <v>135</v>
      </c>
      <c r="D77" s="9" t="s">
        <v>157</v>
      </c>
      <c r="E77" s="5" t="s">
        <v>189</v>
      </c>
      <c r="F77" s="9" t="s">
        <v>151</v>
      </c>
      <c r="G77" s="26">
        <v>15</v>
      </c>
      <c r="H77" s="187"/>
    </row>
    <row r="78" spans="1:8" ht="63">
      <c r="A78" s="30" t="s">
        <v>190</v>
      </c>
      <c r="B78" s="16">
        <v>902</v>
      </c>
      <c r="C78" s="9" t="s">
        <v>135</v>
      </c>
      <c r="D78" s="9" t="s">
        <v>157</v>
      </c>
      <c r="E78" s="31" t="s">
        <v>191</v>
      </c>
      <c r="F78" s="9"/>
      <c r="G78" s="26">
        <f>G79</f>
        <v>50</v>
      </c>
      <c r="H78" s="187"/>
    </row>
    <row r="79" spans="1:8" ht="31.5">
      <c r="A79" s="46" t="s">
        <v>192</v>
      </c>
      <c r="B79" s="16">
        <v>902</v>
      </c>
      <c r="C79" s="9" t="s">
        <v>135</v>
      </c>
      <c r="D79" s="9" t="s">
        <v>157</v>
      </c>
      <c r="E79" s="5" t="s">
        <v>193</v>
      </c>
      <c r="F79" s="9"/>
      <c r="G79" s="26">
        <f>G80</f>
        <v>50</v>
      </c>
      <c r="H79" s="187"/>
    </row>
    <row r="80" spans="1:8" ht="31.5">
      <c r="A80" s="25" t="s">
        <v>148</v>
      </c>
      <c r="B80" s="16">
        <v>902</v>
      </c>
      <c r="C80" s="9" t="s">
        <v>135</v>
      </c>
      <c r="D80" s="9" t="s">
        <v>157</v>
      </c>
      <c r="E80" s="5" t="s">
        <v>193</v>
      </c>
      <c r="F80" s="9" t="s">
        <v>149</v>
      </c>
      <c r="G80" s="26">
        <f>G81</f>
        <v>50</v>
      </c>
      <c r="H80" s="187"/>
    </row>
    <row r="81" spans="1:8" ht="47.25">
      <c r="A81" s="25" t="s">
        <v>150</v>
      </c>
      <c r="B81" s="16">
        <v>902</v>
      </c>
      <c r="C81" s="9" t="s">
        <v>135</v>
      </c>
      <c r="D81" s="9" t="s">
        <v>157</v>
      </c>
      <c r="E81" s="5" t="s">
        <v>193</v>
      </c>
      <c r="F81" s="9" t="s">
        <v>151</v>
      </c>
      <c r="G81" s="26">
        <v>50</v>
      </c>
      <c r="H81" s="187"/>
    </row>
    <row r="82" spans="1:8" ht="47.25">
      <c r="A82" s="25" t="s">
        <v>194</v>
      </c>
      <c r="B82" s="16">
        <v>902</v>
      </c>
      <c r="C82" s="9" t="s">
        <v>135</v>
      </c>
      <c r="D82" s="9" t="s">
        <v>157</v>
      </c>
      <c r="E82" s="5" t="s">
        <v>195</v>
      </c>
      <c r="F82" s="9"/>
      <c r="G82" s="26">
        <f>G83</f>
        <v>15</v>
      </c>
      <c r="H82" s="187"/>
    </row>
    <row r="83" spans="1:8" ht="15.75">
      <c r="A83" s="46" t="s">
        <v>196</v>
      </c>
      <c r="B83" s="16">
        <v>902</v>
      </c>
      <c r="C83" s="9" t="s">
        <v>135</v>
      </c>
      <c r="D83" s="9" t="s">
        <v>157</v>
      </c>
      <c r="E83" s="5" t="s">
        <v>197</v>
      </c>
      <c r="F83" s="9"/>
      <c r="G83" s="26">
        <f>G84</f>
        <v>15</v>
      </c>
      <c r="H83" s="187"/>
    </row>
    <row r="84" spans="1:8" ht="31.5">
      <c r="A84" s="25" t="s">
        <v>148</v>
      </c>
      <c r="B84" s="16">
        <v>902</v>
      </c>
      <c r="C84" s="9" t="s">
        <v>135</v>
      </c>
      <c r="D84" s="9" t="s">
        <v>157</v>
      </c>
      <c r="E84" s="5" t="s">
        <v>197</v>
      </c>
      <c r="F84" s="9" t="s">
        <v>149</v>
      </c>
      <c r="G84" s="26">
        <f>G85</f>
        <v>15</v>
      </c>
      <c r="H84" s="187"/>
    </row>
    <row r="85" spans="1:8" ht="47.25">
      <c r="A85" s="25" t="s">
        <v>150</v>
      </c>
      <c r="B85" s="16">
        <v>902</v>
      </c>
      <c r="C85" s="9" t="s">
        <v>135</v>
      </c>
      <c r="D85" s="9" t="s">
        <v>157</v>
      </c>
      <c r="E85" s="5" t="s">
        <v>197</v>
      </c>
      <c r="F85" s="9" t="s">
        <v>151</v>
      </c>
      <c r="G85" s="26">
        <v>15</v>
      </c>
      <c r="H85" s="187"/>
    </row>
    <row r="86" spans="1:8" ht="47.25">
      <c r="A86" s="32" t="s">
        <v>198</v>
      </c>
      <c r="B86" s="16">
        <v>902</v>
      </c>
      <c r="C86" s="20" t="s">
        <v>135</v>
      </c>
      <c r="D86" s="20" t="s">
        <v>157</v>
      </c>
      <c r="E86" s="31" t="s">
        <v>199</v>
      </c>
      <c r="F86" s="33"/>
      <c r="G86" s="26">
        <f>G87</f>
        <v>120</v>
      </c>
      <c r="H86" s="187"/>
    </row>
    <row r="87" spans="1:8" ht="31.5">
      <c r="A87" s="25" t="s">
        <v>174</v>
      </c>
      <c r="B87" s="16">
        <v>902</v>
      </c>
      <c r="C87" s="20" t="s">
        <v>135</v>
      </c>
      <c r="D87" s="20" t="s">
        <v>157</v>
      </c>
      <c r="E87" s="20" t="s">
        <v>200</v>
      </c>
      <c r="F87" s="33"/>
      <c r="G87" s="26">
        <f>G88</f>
        <v>120</v>
      </c>
      <c r="H87" s="187"/>
    </row>
    <row r="88" spans="1:8" ht="15.75">
      <c r="A88" s="30" t="s">
        <v>152</v>
      </c>
      <c r="B88" s="16">
        <v>902</v>
      </c>
      <c r="C88" s="20" t="s">
        <v>135</v>
      </c>
      <c r="D88" s="20" t="s">
        <v>157</v>
      </c>
      <c r="E88" s="20" t="s">
        <v>200</v>
      </c>
      <c r="F88" s="33" t="s">
        <v>162</v>
      </c>
      <c r="G88" s="26">
        <f>G89</f>
        <v>120</v>
      </c>
      <c r="H88" s="187"/>
    </row>
    <row r="89" spans="1:9" ht="63">
      <c r="A89" s="30" t="s">
        <v>201</v>
      </c>
      <c r="B89" s="16">
        <v>902</v>
      </c>
      <c r="C89" s="20" t="s">
        <v>135</v>
      </c>
      <c r="D89" s="20" t="s">
        <v>157</v>
      </c>
      <c r="E89" s="20" t="s">
        <v>200</v>
      </c>
      <c r="F89" s="33" t="s">
        <v>177</v>
      </c>
      <c r="G89" s="26">
        <f>100+20</f>
        <v>120</v>
      </c>
      <c r="H89" s="114"/>
      <c r="I89" s="135"/>
    </row>
    <row r="90" spans="1:8" ht="63">
      <c r="A90" s="30" t="s">
        <v>732</v>
      </c>
      <c r="B90" s="16">
        <v>902</v>
      </c>
      <c r="C90" s="20" t="s">
        <v>135</v>
      </c>
      <c r="D90" s="20" t="s">
        <v>157</v>
      </c>
      <c r="E90" s="20" t="s">
        <v>730</v>
      </c>
      <c r="F90" s="33"/>
      <c r="G90" s="26">
        <f>G91</f>
        <v>29</v>
      </c>
      <c r="H90" s="116"/>
    </row>
    <row r="91" spans="1:8" ht="31.5">
      <c r="A91" s="32" t="s">
        <v>174</v>
      </c>
      <c r="B91" s="16">
        <v>902</v>
      </c>
      <c r="C91" s="20" t="s">
        <v>135</v>
      </c>
      <c r="D91" s="20" t="s">
        <v>157</v>
      </c>
      <c r="E91" s="20" t="s">
        <v>738</v>
      </c>
      <c r="F91" s="33"/>
      <c r="G91" s="26">
        <f>G92</f>
        <v>29</v>
      </c>
      <c r="H91" s="116"/>
    </row>
    <row r="92" spans="1:8" ht="31.5">
      <c r="A92" s="25" t="s">
        <v>148</v>
      </c>
      <c r="B92" s="16">
        <v>902</v>
      </c>
      <c r="C92" s="20" t="s">
        <v>135</v>
      </c>
      <c r="D92" s="20" t="s">
        <v>157</v>
      </c>
      <c r="E92" s="20" t="s">
        <v>738</v>
      </c>
      <c r="F92" s="33" t="s">
        <v>149</v>
      </c>
      <c r="G92" s="26">
        <f>G93</f>
        <v>29</v>
      </c>
      <c r="H92" s="116"/>
    </row>
    <row r="93" spans="1:9" ht="47.25">
      <c r="A93" s="25" t="s">
        <v>150</v>
      </c>
      <c r="B93" s="16">
        <v>902</v>
      </c>
      <c r="C93" s="20" t="s">
        <v>135</v>
      </c>
      <c r="D93" s="20" t="s">
        <v>157</v>
      </c>
      <c r="E93" s="20" t="s">
        <v>738</v>
      </c>
      <c r="F93" s="33" t="s">
        <v>151</v>
      </c>
      <c r="G93" s="26">
        <v>29</v>
      </c>
      <c r="H93" s="116"/>
      <c r="I93" s="133"/>
    </row>
    <row r="94" spans="1:8" ht="15.75" hidden="1">
      <c r="A94" s="30"/>
      <c r="B94" s="16"/>
      <c r="C94" s="20"/>
      <c r="D94" s="20"/>
      <c r="E94" s="20"/>
      <c r="F94" s="33"/>
      <c r="G94" s="26"/>
      <c r="H94" s="116"/>
    </row>
    <row r="95" spans="1:8" ht="15.75" hidden="1">
      <c r="A95" s="25"/>
      <c r="B95" s="16"/>
      <c r="C95" s="20"/>
      <c r="D95" s="20"/>
      <c r="E95" s="20"/>
      <c r="F95" s="33"/>
      <c r="G95" s="26"/>
      <c r="H95" s="116"/>
    </row>
    <row r="96" spans="1:9" ht="15.75" hidden="1">
      <c r="A96" s="25"/>
      <c r="B96" s="16"/>
      <c r="C96" s="20"/>
      <c r="D96" s="20"/>
      <c r="E96" s="20"/>
      <c r="F96" s="33"/>
      <c r="G96" s="26"/>
      <c r="H96" s="116"/>
      <c r="I96" s="133"/>
    </row>
    <row r="97" spans="1:8" ht="15.75">
      <c r="A97" s="25" t="s">
        <v>138</v>
      </c>
      <c r="B97" s="16">
        <v>902</v>
      </c>
      <c r="C97" s="20" t="s">
        <v>135</v>
      </c>
      <c r="D97" s="20" t="s">
        <v>157</v>
      </c>
      <c r="E97" s="20" t="s">
        <v>139</v>
      </c>
      <c r="F97" s="20"/>
      <c r="G97" s="26">
        <f>G98+G121</f>
        <v>12340.3</v>
      </c>
      <c r="H97" s="187"/>
    </row>
    <row r="98" spans="1:8" ht="31.5">
      <c r="A98" s="25" t="s">
        <v>202</v>
      </c>
      <c r="B98" s="16">
        <v>902</v>
      </c>
      <c r="C98" s="20" t="s">
        <v>135</v>
      </c>
      <c r="D98" s="20" t="s">
        <v>157</v>
      </c>
      <c r="E98" s="20" t="s">
        <v>203</v>
      </c>
      <c r="F98" s="20"/>
      <c r="G98" s="26">
        <f>G104+G107+G113+G116</f>
        <v>3600.8999999999996</v>
      </c>
      <c r="H98" s="187"/>
    </row>
    <row r="99" spans="1:8" ht="47.25" hidden="1">
      <c r="A99" s="25" t="s">
        <v>204</v>
      </c>
      <c r="B99" s="16">
        <v>902</v>
      </c>
      <c r="C99" s="20" t="s">
        <v>135</v>
      </c>
      <c r="D99" s="20" t="s">
        <v>157</v>
      </c>
      <c r="E99" s="20" t="s">
        <v>205</v>
      </c>
      <c r="F99" s="24"/>
      <c r="G99" s="26">
        <f>G100+G102</f>
        <v>0</v>
      </c>
      <c r="H99" s="187"/>
    </row>
    <row r="100" spans="1:8" ht="94.5" hidden="1">
      <c r="A100" s="25" t="s">
        <v>144</v>
      </c>
      <c r="B100" s="16">
        <v>902</v>
      </c>
      <c r="C100" s="20" t="s">
        <v>135</v>
      </c>
      <c r="D100" s="20" t="s">
        <v>157</v>
      </c>
      <c r="E100" s="20" t="s">
        <v>205</v>
      </c>
      <c r="F100" s="20" t="s">
        <v>145</v>
      </c>
      <c r="G100" s="26">
        <f>G101</f>
        <v>0</v>
      </c>
      <c r="H100" s="187"/>
    </row>
    <row r="101" spans="1:8" ht="31.5" hidden="1">
      <c r="A101" s="25" t="s">
        <v>146</v>
      </c>
      <c r="B101" s="16">
        <v>902</v>
      </c>
      <c r="C101" s="20" t="s">
        <v>135</v>
      </c>
      <c r="D101" s="20" t="s">
        <v>157</v>
      </c>
      <c r="E101" s="20" t="s">
        <v>205</v>
      </c>
      <c r="F101" s="20" t="s">
        <v>147</v>
      </c>
      <c r="G101" s="26">
        <v>0</v>
      </c>
      <c r="H101" s="187"/>
    </row>
    <row r="102" spans="1:8" ht="31.5" hidden="1">
      <c r="A102" s="25" t="s">
        <v>148</v>
      </c>
      <c r="B102" s="16">
        <v>902</v>
      </c>
      <c r="C102" s="20" t="s">
        <v>135</v>
      </c>
      <c r="D102" s="20" t="s">
        <v>157</v>
      </c>
      <c r="E102" s="20" t="s">
        <v>205</v>
      </c>
      <c r="F102" s="20" t="s">
        <v>149</v>
      </c>
      <c r="G102" s="26">
        <f>G103</f>
        <v>0</v>
      </c>
      <c r="H102" s="187"/>
    </row>
    <row r="103" spans="1:8" ht="47.25" hidden="1">
      <c r="A103" s="25" t="s">
        <v>150</v>
      </c>
      <c r="B103" s="16">
        <v>902</v>
      </c>
      <c r="C103" s="20" t="s">
        <v>135</v>
      </c>
      <c r="D103" s="20" t="s">
        <v>157</v>
      </c>
      <c r="E103" s="20" t="s">
        <v>205</v>
      </c>
      <c r="F103" s="20" t="s">
        <v>151</v>
      </c>
      <c r="G103" s="26">
        <v>0</v>
      </c>
      <c r="H103" s="187"/>
    </row>
    <row r="104" spans="1:8" ht="47.25">
      <c r="A104" s="32" t="s">
        <v>206</v>
      </c>
      <c r="B104" s="16">
        <v>902</v>
      </c>
      <c r="C104" s="20" t="s">
        <v>135</v>
      </c>
      <c r="D104" s="20" t="s">
        <v>157</v>
      </c>
      <c r="E104" s="20" t="s">
        <v>207</v>
      </c>
      <c r="F104" s="20"/>
      <c r="G104" s="26">
        <f>G105</f>
        <v>701.8</v>
      </c>
      <c r="H104" s="187"/>
    </row>
    <row r="105" spans="1:8" ht="94.5">
      <c r="A105" s="25" t="s">
        <v>144</v>
      </c>
      <c r="B105" s="16">
        <v>902</v>
      </c>
      <c r="C105" s="20" t="s">
        <v>135</v>
      </c>
      <c r="D105" s="20" t="s">
        <v>157</v>
      </c>
      <c r="E105" s="20" t="s">
        <v>207</v>
      </c>
      <c r="F105" s="20" t="s">
        <v>145</v>
      </c>
      <c r="G105" s="26">
        <f>G106</f>
        <v>701.8</v>
      </c>
      <c r="H105" s="187"/>
    </row>
    <row r="106" spans="1:9" ht="31.5">
      <c r="A106" s="25" t="s">
        <v>146</v>
      </c>
      <c r="B106" s="16">
        <v>902</v>
      </c>
      <c r="C106" s="20" t="s">
        <v>135</v>
      </c>
      <c r="D106" s="20" t="s">
        <v>157</v>
      </c>
      <c r="E106" s="20" t="s">
        <v>207</v>
      </c>
      <c r="F106" s="20" t="s">
        <v>147</v>
      </c>
      <c r="G106" s="26">
        <v>701.8</v>
      </c>
      <c r="H106" s="187"/>
      <c r="I106" s="123"/>
    </row>
    <row r="107" spans="1:8" ht="47.25">
      <c r="A107" s="34" t="s">
        <v>208</v>
      </c>
      <c r="B107" s="16">
        <v>902</v>
      </c>
      <c r="C107" s="20" t="s">
        <v>135</v>
      </c>
      <c r="D107" s="20" t="s">
        <v>157</v>
      </c>
      <c r="E107" s="20" t="s">
        <v>209</v>
      </c>
      <c r="F107" s="20"/>
      <c r="G107" s="26">
        <f>G108</f>
        <v>40</v>
      </c>
      <c r="H107" s="187"/>
    </row>
    <row r="108" spans="1:8" ht="31.5">
      <c r="A108" s="25" t="s">
        <v>148</v>
      </c>
      <c r="B108" s="16">
        <v>902</v>
      </c>
      <c r="C108" s="20" t="s">
        <v>135</v>
      </c>
      <c r="D108" s="20" t="s">
        <v>157</v>
      </c>
      <c r="E108" s="20" t="s">
        <v>209</v>
      </c>
      <c r="F108" s="20" t="s">
        <v>149</v>
      </c>
      <c r="G108" s="26">
        <f>G109</f>
        <v>40</v>
      </c>
      <c r="H108" s="187"/>
    </row>
    <row r="109" spans="1:9" ht="47.25">
      <c r="A109" s="25" t="s">
        <v>150</v>
      </c>
      <c r="B109" s="16">
        <v>902</v>
      </c>
      <c r="C109" s="20" t="s">
        <v>135</v>
      </c>
      <c r="D109" s="20" t="s">
        <v>157</v>
      </c>
      <c r="E109" s="20" t="s">
        <v>209</v>
      </c>
      <c r="F109" s="20" t="s">
        <v>151</v>
      </c>
      <c r="G109" s="26">
        <f>36+4</f>
        <v>40</v>
      </c>
      <c r="H109" s="187"/>
      <c r="I109" s="123"/>
    </row>
    <row r="110" spans="1:8" ht="31.5" hidden="1">
      <c r="A110" s="32" t="s">
        <v>210</v>
      </c>
      <c r="B110" s="16">
        <v>902</v>
      </c>
      <c r="C110" s="20" t="s">
        <v>135</v>
      </c>
      <c r="D110" s="20" t="s">
        <v>157</v>
      </c>
      <c r="E110" s="20" t="s">
        <v>209</v>
      </c>
      <c r="F110" s="20"/>
      <c r="G110" s="26">
        <f>G111</f>
        <v>0</v>
      </c>
      <c r="H110" s="187"/>
    </row>
    <row r="111" spans="1:8" ht="31.5" hidden="1">
      <c r="A111" s="25" t="s">
        <v>148</v>
      </c>
      <c r="B111" s="16">
        <v>902</v>
      </c>
      <c r="C111" s="20" t="s">
        <v>135</v>
      </c>
      <c r="D111" s="20" t="s">
        <v>157</v>
      </c>
      <c r="E111" s="20" t="s">
        <v>209</v>
      </c>
      <c r="F111" s="20" t="s">
        <v>149</v>
      </c>
      <c r="G111" s="26">
        <f>G112</f>
        <v>0</v>
      </c>
      <c r="H111" s="187"/>
    </row>
    <row r="112" spans="1:8" ht="47.25" hidden="1">
      <c r="A112" s="25" t="s">
        <v>150</v>
      </c>
      <c r="B112" s="16">
        <v>902</v>
      </c>
      <c r="C112" s="20" t="s">
        <v>135</v>
      </c>
      <c r="D112" s="20" t="s">
        <v>157</v>
      </c>
      <c r="E112" s="20" t="s">
        <v>209</v>
      </c>
      <c r="F112" s="20" t="s">
        <v>151</v>
      </c>
      <c r="G112" s="26"/>
      <c r="H112" s="187"/>
    </row>
    <row r="113" spans="1:8" ht="63">
      <c r="A113" s="32" t="s">
        <v>211</v>
      </c>
      <c r="B113" s="16">
        <v>902</v>
      </c>
      <c r="C113" s="20" t="s">
        <v>135</v>
      </c>
      <c r="D113" s="20" t="s">
        <v>157</v>
      </c>
      <c r="E113" s="20" t="s">
        <v>212</v>
      </c>
      <c r="F113" s="20"/>
      <c r="G113" s="26">
        <f>G114</f>
        <v>1752.9</v>
      </c>
      <c r="H113" s="187"/>
    </row>
    <row r="114" spans="1:8" ht="94.5">
      <c r="A114" s="25" t="s">
        <v>144</v>
      </c>
      <c r="B114" s="16">
        <v>902</v>
      </c>
      <c r="C114" s="20" t="s">
        <v>135</v>
      </c>
      <c r="D114" s="20" t="s">
        <v>157</v>
      </c>
      <c r="E114" s="20" t="s">
        <v>212</v>
      </c>
      <c r="F114" s="20" t="s">
        <v>145</v>
      </c>
      <c r="G114" s="26">
        <f>G115</f>
        <v>1752.9</v>
      </c>
      <c r="H114" s="187"/>
    </row>
    <row r="115" spans="1:8" ht="31.5">
      <c r="A115" s="25" t="s">
        <v>146</v>
      </c>
      <c r="B115" s="16">
        <v>902</v>
      </c>
      <c r="C115" s="20" t="s">
        <v>135</v>
      </c>
      <c r="D115" s="20" t="s">
        <v>157</v>
      </c>
      <c r="E115" s="20" t="s">
        <v>212</v>
      </c>
      <c r="F115" s="20" t="s">
        <v>147</v>
      </c>
      <c r="G115" s="26">
        <v>1752.9</v>
      </c>
      <c r="H115" s="187"/>
    </row>
    <row r="116" spans="1:8" ht="47.25">
      <c r="A116" s="32" t="s">
        <v>213</v>
      </c>
      <c r="B116" s="16">
        <v>902</v>
      </c>
      <c r="C116" s="20" t="s">
        <v>135</v>
      </c>
      <c r="D116" s="20" t="s">
        <v>157</v>
      </c>
      <c r="E116" s="20" t="s">
        <v>214</v>
      </c>
      <c r="F116" s="20"/>
      <c r="G116" s="26">
        <f>G117+G119</f>
        <v>1106.1999999999998</v>
      </c>
      <c r="H116" s="187"/>
    </row>
    <row r="117" spans="1:8" ht="94.5">
      <c r="A117" s="25" t="s">
        <v>144</v>
      </c>
      <c r="B117" s="16">
        <v>902</v>
      </c>
      <c r="C117" s="20" t="s">
        <v>135</v>
      </c>
      <c r="D117" s="20" t="s">
        <v>157</v>
      </c>
      <c r="E117" s="20" t="s">
        <v>214</v>
      </c>
      <c r="F117" s="20" t="s">
        <v>145</v>
      </c>
      <c r="G117" s="26">
        <f>G118</f>
        <v>1073.1</v>
      </c>
      <c r="H117" s="187"/>
    </row>
    <row r="118" spans="1:9" ht="31.5">
      <c r="A118" s="25" t="s">
        <v>146</v>
      </c>
      <c r="B118" s="16">
        <v>902</v>
      </c>
      <c r="C118" s="20" t="s">
        <v>135</v>
      </c>
      <c r="D118" s="20" t="s">
        <v>157</v>
      </c>
      <c r="E118" s="20" t="s">
        <v>214</v>
      </c>
      <c r="F118" s="20" t="s">
        <v>147</v>
      </c>
      <c r="G118" s="26">
        <f>1537-463.9</f>
        <v>1073.1</v>
      </c>
      <c r="H118" s="187"/>
      <c r="I118" s="123"/>
    </row>
    <row r="119" spans="1:8" ht="47.25">
      <c r="A119" s="25" t="s">
        <v>215</v>
      </c>
      <c r="B119" s="16">
        <v>902</v>
      </c>
      <c r="C119" s="20" t="s">
        <v>135</v>
      </c>
      <c r="D119" s="20" t="s">
        <v>157</v>
      </c>
      <c r="E119" s="20" t="s">
        <v>214</v>
      </c>
      <c r="F119" s="20" t="s">
        <v>149</v>
      </c>
      <c r="G119" s="26">
        <f>G120</f>
        <v>33.1</v>
      </c>
      <c r="H119" s="187"/>
    </row>
    <row r="120" spans="1:8" ht="47.25">
      <c r="A120" s="25" t="s">
        <v>150</v>
      </c>
      <c r="B120" s="16">
        <v>902</v>
      </c>
      <c r="C120" s="20" t="s">
        <v>135</v>
      </c>
      <c r="D120" s="20" t="s">
        <v>157</v>
      </c>
      <c r="E120" s="20" t="s">
        <v>214</v>
      </c>
      <c r="F120" s="20" t="s">
        <v>151</v>
      </c>
      <c r="G120" s="26">
        <v>33.1</v>
      </c>
      <c r="H120" s="187"/>
    </row>
    <row r="121" spans="1:8" ht="15.75">
      <c r="A121" s="25" t="s">
        <v>158</v>
      </c>
      <c r="B121" s="16">
        <v>902</v>
      </c>
      <c r="C121" s="20" t="s">
        <v>135</v>
      </c>
      <c r="D121" s="20" t="s">
        <v>157</v>
      </c>
      <c r="E121" s="20" t="s">
        <v>159</v>
      </c>
      <c r="F121" s="20"/>
      <c r="G121" s="26">
        <f>G134+G139+G144</f>
        <v>8739.4</v>
      </c>
      <c r="H121" s="187"/>
    </row>
    <row r="122" spans="1:8" ht="15.75" hidden="1">
      <c r="A122" s="25" t="s">
        <v>216</v>
      </c>
      <c r="B122" s="16">
        <v>902</v>
      </c>
      <c r="C122" s="20" t="s">
        <v>135</v>
      </c>
      <c r="D122" s="20" t="s">
        <v>157</v>
      </c>
      <c r="E122" s="20" t="s">
        <v>217</v>
      </c>
      <c r="F122" s="20"/>
      <c r="G122" s="26">
        <f>G123</f>
        <v>0</v>
      </c>
      <c r="H122" s="187"/>
    </row>
    <row r="123" spans="1:8" ht="33" customHeight="1" hidden="1">
      <c r="A123" s="25" t="s">
        <v>215</v>
      </c>
      <c r="B123" s="16">
        <v>902</v>
      </c>
      <c r="C123" s="20" t="s">
        <v>135</v>
      </c>
      <c r="D123" s="20" t="s">
        <v>157</v>
      </c>
      <c r="E123" s="20" t="s">
        <v>217</v>
      </c>
      <c r="F123" s="20" t="s">
        <v>149</v>
      </c>
      <c r="G123" s="26">
        <f>G124</f>
        <v>0</v>
      </c>
      <c r="H123" s="187"/>
    </row>
    <row r="124" spans="1:8" ht="47.25" hidden="1">
      <c r="A124" s="25" t="s">
        <v>150</v>
      </c>
      <c r="B124" s="16">
        <v>902</v>
      </c>
      <c r="C124" s="20" t="s">
        <v>135</v>
      </c>
      <c r="D124" s="20" t="s">
        <v>157</v>
      </c>
      <c r="E124" s="20" t="s">
        <v>217</v>
      </c>
      <c r="F124" s="20" t="s">
        <v>151</v>
      </c>
      <c r="G124" s="26">
        <v>0</v>
      </c>
      <c r="H124" s="187"/>
    </row>
    <row r="125" spans="1:8" ht="15.75" hidden="1">
      <c r="A125" s="25" t="s">
        <v>218</v>
      </c>
      <c r="B125" s="16">
        <v>902</v>
      </c>
      <c r="C125" s="20" t="s">
        <v>135</v>
      </c>
      <c r="D125" s="20" t="s">
        <v>157</v>
      </c>
      <c r="E125" s="20" t="s">
        <v>219</v>
      </c>
      <c r="F125" s="24"/>
      <c r="G125" s="26">
        <f>G126</f>
        <v>0</v>
      </c>
      <c r="H125" s="187"/>
    </row>
    <row r="126" spans="1:8" ht="47.25" hidden="1">
      <c r="A126" s="25" t="s">
        <v>215</v>
      </c>
      <c r="B126" s="16">
        <v>902</v>
      </c>
      <c r="C126" s="20" t="s">
        <v>135</v>
      </c>
      <c r="D126" s="20" t="s">
        <v>157</v>
      </c>
      <c r="E126" s="20" t="s">
        <v>219</v>
      </c>
      <c r="F126" s="20" t="s">
        <v>149</v>
      </c>
      <c r="G126" s="26">
        <f>G127</f>
        <v>0</v>
      </c>
      <c r="H126" s="187"/>
    </row>
    <row r="127" spans="1:8" ht="47.25" hidden="1">
      <c r="A127" s="25" t="s">
        <v>150</v>
      </c>
      <c r="B127" s="16">
        <v>902</v>
      </c>
      <c r="C127" s="20" t="s">
        <v>135</v>
      </c>
      <c r="D127" s="20" t="s">
        <v>157</v>
      </c>
      <c r="E127" s="20" t="s">
        <v>219</v>
      </c>
      <c r="F127" s="20" t="s">
        <v>151</v>
      </c>
      <c r="G127" s="26">
        <v>0</v>
      </c>
      <c r="H127" s="187"/>
    </row>
    <row r="128" spans="1:8" ht="31.5" hidden="1">
      <c r="A128" s="25" t="s">
        <v>220</v>
      </c>
      <c r="B128" s="16">
        <v>902</v>
      </c>
      <c r="C128" s="20" t="s">
        <v>135</v>
      </c>
      <c r="D128" s="20" t="s">
        <v>157</v>
      </c>
      <c r="E128" s="20" t="s">
        <v>221</v>
      </c>
      <c r="F128" s="20"/>
      <c r="G128" s="26">
        <f>G129</f>
        <v>0</v>
      </c>
      <c r="H128" s="187"/>
    </row>
    <row r="129" spans="1:8" ht="47.25" hidden="1">
      <c r="A129" s="25" t="s">
        <v>215</v>
      </c>
      <c r="B129" s="16">
        <v>902</v>
      </c>
      <c r="C129" s="20" t="s">
        <v>135</v>
      </c>
      <c r="D129" s="20" t="s">
        <v>157</v>
      </c>
      <c r="E129" s="20" t="s">
        <v>221</v>
      </c>
      <c r="F129" s="20" t="s">
        <v>149</v>
      </c>
      <c r="G129" s="26">
        <f>G130</f>
        <v>0</v>
      </c>
      <c r="H129" s="187"/>
    </row>
    <row r="130" spans="1:8" ht="47.25" hidden="1">
      <c r="A130" s="25" t="s">
        <v>150</v>
      </c>
      <c r="B130" s="16">
        <v>902</v>
      </c>
      <c r="C130" s="20" t="s">
        <v>135</v>
      </c>
      <c r="D130" s="20" t="s">
        <v>157</v>
      </c>
      <c r="E130" s="20" t="s">
        <v>221</v>
      </c>
      <c r="F130" s="20" t="s">
        <v>151</v>
      </c>
      <c r="G130" s="26">
        <v>0</v>
      </c>
      <c r="H130" s="187"/>
    </row>
    <row r="131" spans="1:8" ht="15.75" hidden="1">
      <c r="A131" s="25" t="s">
        <v>196</v>
      </c>
      <c r="B131" s="16">
        <v>902</v>
      </c>
      <c r="C131" s="20" t="s">
        <v>135</v>
      </c>
      <c r="D131" s="20" t="s">
        <v>157</v>
      </c>
      <c r="E131" s="20" t="s">
        <v>222</v>
      </c>
      <c r="F131" s="20"/>
      <c r="G131" s="26">
        <f>G132</f>
        <v>0</v>
      </c>
      <c r="H131" s="187"/>
    </row>
    <row r="132" spans="1:8" ht="47.25" hidden="1">
      <c r="A132" s="25" t="s">
        <v>215</v>
      </c>
      <c r="B132" s="16">
        <v>902</v>
      </c>
      <c r="C132" s="20" t="s">
        <v>135</v>
      </c>
      <c r="D132" s="20" t="s">
        <v>157</v>
      </c>
      <c r="E132" s="20" t="s">
        <v>222</v>
      </c>
      <c r="F132" s="20" t="s">
        <v>149</v>
      </c>
      <c r="G132" s="26">
        <f>G133</f>
        <v>0</v>
      </c>
      <c r="H132" s="187"/>
    </row>
    <row r="133" spans="1:8" ht="47.25" hidden="1">
      <c r="A133" s="25" t="s">
        <v>150</v>
      </c>
      <c r="B133" s="16">
        <v>902</v>
      </c>
      <c r="C133" s="20" t="s">
        <v>135</v>
      </c>
      <c r="D133" s="20" t="s">
        <v>157</v>
      </c>
      <c r="E133" s="20" t="s">
        <v>222</v>
      </c>
      <c r="F133" s="20" t="s">
        <v>151</v>
      </c>
      <c r="G133" s="26">
        <v>0</v>
      </c>
      <c r="H133" s="187"/>
    </row>
    <row r="134" spans="1:8" ht="31.5">
      <c r="A134" s="25" t="s">
        <v>223</v>
      </c>
      <c r="B134" s="16">
        <v>902</v>
      </c>
      <c r="C134" s="20" t="s">
        <v>135</v>
      </c>
      <c r="D134" s="20" t="s">
        <v>157</v>
      </c>
      <c r="E134" s="20" t="s">
        <v>224</v>
      </c>
      <c r="F134" s="20"/>
      <c r="G134" s="26">
        <f>G135+G137</f>
        <v>6126.7</v>
      </c>
      <c r="H134" s="187"/>
    </row>
    <row r="135" spans="1:8" ht="94.5">
      <c r="A135" s="25" t="s">
        <v>144</v>
      </c>
      <c r="B135" s="16">
        <v>902</v>
      </c>
      <c r="C135" s="20" t="s">
        <v>135</v>
      </c>
      <c r="D135" s="20" t="s">
        <v>157</v>
      </c>
      <c r="E135" s="20" t="s">
        <v>224</v>
      </c>
      <c r="F135" s="20" t="s">
        <v>145</v>
      </c>
      <c r="G135" s="26">
        <f>G136</f>
        <v>4952</v>
      </c>
      <c r="H135" s="187"/>
    </row>
    <row r="136" spans="1:8" ht="31.5">
      <c r="A136" s="25" t="s">
        <v>225</v>
      </c>
      <c r="B136" s="16">
        <v>902</v>
      </c>
      <c r="C136" s="20" t="s">
        <v>135</v>
      </c>
      <c r="D136" s="20" t="s">
        <v>157</v>
      </c>
      <c r="E136" s="20" t="s">
        <v>224</v>
      </c>
      <c r="F136" s="20" t="s">
        <v>226</v>
      </c>
      <c r="G136" s="27">
        <f>5174.7-222.7</f>
        <v>4952</v>
      </c>
      <c r="H136" s="187"/>
    </row>
    <row r="137" spans="1:8" ht="47.25">
      <c r="A137" s="25" t="s">
        <v>215</v>
      </c>
      <c r="B137" s="16">
        <v>902</v>
      </c>
      <c r="C137" s="20" t="s">
        <v>135</v>
      </c>
      <c r="D137" s="20" t="s">
        <v>157</v>
      </c>
      <c r="E137" s="20" t="s">
        <v>224</v>
      </c>
      <c r="F137" s="20" t="s">
        <v>149</v>
      </c>
      <c r="G137" s="26">
        <f>G138</f>
        <v>1174.7</v>
      </c>
      <c r="H137" s="187"/>
    </row>
    <row r="138" spans="1:9" ht="47.25">
      <c r="A138" s="25" t="s">
        <v>150</v>
      </c>
      <c r="B138" s="16">
        <v>902</v>
      </c>
      <c r="C138" s="20" t="s">
        <v>135</v>
      </c>
      <c r="D138" s="20" t="s">
        <v>157</v>
      </c>
      <c r="E138" s="20" t="s">
        <v>224</v>
      </c>
      <c r="F138" s="20" t="s">
        <v>151</v>
      </c>
      <c r="G138" s="27">
        <f>724.7+450</f>
        <v>1174.7</v>
      </c>
      <c r="H138" s="187"/>
      <c r="I138" s="123"/>
    </row>
    <row r="139" spans="1:8" ht="47.25">
      <c r="A139" s="25" t="s">
        <v>227</v>
      </c>
      <c r="B139" s="16">
        <v>902</v>
      </c>
      <c r="C139" s="20" t="s">
        <v>135</v>
      </c>
      <c r="D139" s="20" t="s">
        <v>157</v>
      </c>
      <c r="E139" s="20" t="s">
        <v>228</v>
      </c>
      <c r="F139" s="20"/>
      <c r="G139" s="26">
        <f>G140+G142</f>
        <v>2520.4</v>
      </c>
      <c r="H139" s="187"/>
    </row>
    <row r="140" spans="1:8" ht="94.5">
      <c r="A140" s="25" t="s">
        <v>144</v>
      </c>
      <c r="B140" s="16">
        <v>902</v>
      </c>
      <c r="C140" s="20" t="s">
        <v>135</v>
      </c>
      <c r="D140" s="20" t="s">
        <v>157</v>
      </c>
      <c r="E140" s="20" t="s">
        <v>228</v>
      </c>
      <c r="F140" s="20" t="s">
        <v>145</v>
      </c>
      <c r="G140" s="26">
        <f>G141</f>
        <v>1895</v>
      </c>
      <c r="H140" s="187"/>
    </row>
    <row r="141" spans="1:9" ht="31.5">
      <c r="A141" s="25" t="s">
        <v>146</v>
      </c>
      <c r="B141" s="16">
        <v>902</v>
      </c>
      <c r="C141" s="20" t="s">
        <v>135</v>
      </c>
      <c r="D141" s="20" t="s">
        <v>157</v>
      </c>
      <c r="E141" s="20" t="s">
        <v>228</v>
      </c>
      <c r="F141" s="20" t="s">
        <v>147</v>
      </c>
      <c r="G141" s="27">
        <f>1952.2-57.2</f>
        <v>1895</v>
      </c>
      <c r="H141" s="187"/>
      <c r="I141" s="123"/>
    </row>
    <row r="142" spans="1:8" ht="47.25">
      <c r="A142" s="25" t="s">
        <v>215</v>
      </c>
      <c r="B142" s="16">
        <v>902</v>
      </c>
      <c r="C142" s="20" t="s">
        <v>135</v>
      </c>
      <c r="D142" s="20" t="s">
        <v>157</v>
      </c>
      <c r="E142" s="20" t="s">
        <v>228</v>
      </c>
      <c r="F142" s="20" t="s">
        <v>149</v>
      </c>
      <c r="G142" s="26">
        <f>G143</f>
        <v>625.4</v>
      </c>
      <c r="H142" s="187"/>
    </row>
    <row r="143" spans="1:8" ht="47.25">
      <c r="A143" s="25" t="s">
        <v>150</v>
      </c>
      <c r="B143" s="16">
        <v>902</v>
      </c>
      <c r="C143" s="20" t="s">
        <v>135</v>
      </c>
      <c r="D143" s="20" t="s">
        <v>157</v>
      </c>
      <c r="E143" s="20" t="s">
        <v>228</v>
      </c>
      <c r="F143" s="20" t="s">
        <v>151</v>
      </c>
      <c r="G143" s="26">
        <f>821.9-196.5</f>
        <v>625.4</v>
      </c>
      <c r="H143" s="187"/>
    </row>
    <row r="144" spans="1:8" ht="15.75">
      <c r="A144" s="46" t="s">
        <v>160</v>
      </c>
      <c r="B144" s="16">
        <v>902</v>
      </c>
      <c r="C144" s="20" t="s">
        <v>135</v>
      </c>
      <c r="D144" s="20" t="s">
        <v>157</v>
      </c>
      <c r="E144" s="20" t="s">
        <v>161</v>
      </c>
      <c r="F144" s="20"/>
      <c r="G144" s="26">
        <f>G145</f>
        <v>92.3</v>
      </c>
      <c r="H144" s="187"/>
    </row>
    <row r="145" spans="1:8" ht="15.75">
      <c r="A145" s="25" t="s">
        <v>152</v>
      </c>
      <c r="B145" s="16">
        <v>902</v>
      </c>
      <c r="C145" s="20" t="s">
        <v>135</v>
      </c>
      <c r="D145" s="20" t="s">
        <v>157</v>
      </c>
      <c r="E145" s="20" t="s">
        <v>161</v>
      </c>
      <c r="F145" s="20" t="s">
        <v>162</v>
      </c>
      <c r="G145" s="26">
        <f>G146</f>
        <v>92.3</v>
      </c>
      <c r="H145" s="187"/>
    </row>
    <row r="146" spans="1:8" ht="15.75">
      <c r="A146" s="25" t="s">
        <v>163</v>
      </c>
      <c r="B146" s="16">
        <v>902</v>
      </c>
      <c r="C146" s="20" t="s">
        <v>135</v>
      </c>
      <c r="D146" s="20" t="s">
        <v>157</v>
      </c>
      <c r="E146" s="20" t="s">
        <v>161</v>
      </c>
      <c r="F146" s="20" t="s">
        <v>164</v>
      </c>
      <c r="G146" s="26">
        <v>92.3</v>
      </c>
      <c r="H146" s="114"/>
    </row>
    <row r="147" spans="1:8" ht="15.75" hidden="1">
      <c r="A147" s="23" t="s">
        <v>229</v>
      </c>
      <c r="B147" s="19">
        <v>902</v>
      </c>
      <c r="C147" s="24" t="s">
        <v>230</v>
      </c>
      <c r="D147" s="24"/>
      <c r="E147" s="24"/>
      <c r="F147" s="24"/>
      <c r="G147" s="21">
        <f>G148+G154</f>
        <v>0</v>
      </c>
      <c r="H147" s="187"/>
    </row>
    <row r="148" spans="1:8" ht="31.5" hidden="1">
      <c r="A148" s="23" t="s">
        <v>231</v>
      </c>
      <c r="B148" s="19">
        <v>902</v>
      </c>
      <c r="C148" s="24" t="s">
        <v>230</v>
      </c>
      <c r="D148" s="24" t="s">
        <v>232</v>
      </c>
      <c r="E148" s="24"/>
      <c r="F148" s="24"/>
      <c r="G148" s="21">
        <f>G149</f>
        <v>0</v>
      </c>
      <c r="H148" s="187"/>
    </row>
    <row r="149" spans="1:8" ht="15.75" hidden="1">
      <c r="A149" s="25" t="s">
        <v>138</v>
      </c>
      <c r="B149" s="16">
        <v>902</v>
      </c>
      <c r="C149" s="20" t="s">
        <v>230</v>
      </c>
      <c r="D149" s="20" t="s">
        <v>232</v>
      </c>
      <c r="E149" s="20" t="s">
        <v>139</v>
      </c>
      <c r="F149" s="20"/>
      <c r="G149" s="26">
        <f>G150</f>
        <v>0</v>
      </c>
      <c r="H149" s="187"/>
    </row>
    <row r="150" spans="1:8" ht="31.5" hidden="1">
      <c r="A150" s="25" t="s">
        <v>202</v>
      </c>
      <c r="B150" s="16">
        <v>902</v>
      </c>
      <c r="C150" s="20" t="s">
        <v>230</v>
      </c>
      <c r="D150" s="20" t="s">
        <v>232</v>
      </c>
      <c r="E150" s="20" t="s">
        <v>203</v>
      </c>
      <c r="F150" s="20"/>
      <c r="G150" s="26">
        <f>G151</f>
        <v>0</v>
      </c>
      <c r="H150" s="187"/>
    </row>
    <row r="151" spans="1:8" ht="47.25" hidden="1">
      <c r="A151" s="25" t="s">
        <v>233</v>
      </c>
      <c r="B151" s="16">
        <v>902</v>
      </c>
      <c r="C151" s="20" t="s">
        <v>230</v>
      </c>
      <c r="D151" s="20" t="s">
        <v>232</v>
      </c>
      <c r="E151" s="20" t="s">
        <v>234</v>
      </c>
      <c r="F151" s="20"/>
      <c r="G151" s="26">
        <f>G152</f>
        <v>0</v>
      </c>
      <c r="H151" s="187"/>
    </row>
    <row r="152" spans="1:8" ht="94.5" hidden="1">
      <c r="A152" s="25" t="s">
        <v>144</v>
      </c>
      <c r="B152" s="16">
        <v>902</v>
      </c>
      <c r="C152" s="20" t="s">
        <v>230</v>
      </c>
      <c r="D152" s="20" t="s">
        <v>232</v>
      </c>
      <c r="E152" s="20" t="s">
        <v>234</v>
      </c>
      <c r="F152" s="20" t="s">
        <v>145</v>
      </c>
      <c r="G152" s="26">
        <f>G153</f>
        <v>0</v>
      </c>
      <c r="H152" s="187"/>
    </row>
    <row r="153" spans="1:8" ht="31.5" hidden="1">
      <c r="A153" s="25" t="s">
        <v>146</v>
      </c>
      <c r="B153" s="16">
        <v>902</v>
      </c>
      <c r="C153" s="20" t="s">
        <v>230</v>
      </c>
      <c r="D153" s="20" t="s">
        <v>232</v>
      </c>
      <c r="E153" s="20" t="s">
        <v>234</v>
      </c>
      <c r="F153" s="20" t="s">
        <v>147</v>
      </c>
      <c r="G153" s="27"/>
      <c r="H153" s="187"/>
    </row>
    <row r="154" spans="1:8" ht="31.5" hidden="1">
      <c r="A154" s="23" t="s">
        <v>235</v>
      </c>
      <c r="B154" s="19">
        <v>902</v>
      </c>
      <c r="C154" s="24" t="s">
        <v>230</v>
      </c>
      <c r="D154" s="24" t="s">
        <v>236</v>
      </c>
      <c r="E154" s="24"/>
      <c r="F154" s="24"/>
      <c r="G154" s="26">
        <f>G155</f>
        <v>0</v>
      </c>
      <c r="H154" s="187"/>
    </row>
    <row r="155" spans="1:8" ht="15.75" hidden="1">
      <c r="A155" s="25" t="s">
        <v>138</v>
      </c>
      <c r="B155" s="16">
        <v>902</v>
      </c>
      <c r="C155" s="20" t="s">
        <v>230</v>
      </c>
      <c r="D155" s="20" t="s">
        <v>236</v>
      </c>
      <c r="E155" s="20" t="s">
        <v>139</v>
      </c>
      <c r="F155" s="20"/>
      <c r="G155" s="26">
        <f>G156</f>
        <v>0</v>
      </c>
      <c r="H155" s="187"/>
    </row>
    <row r="156" spans="1:8" ht="31.5" hidden="1">
      <c r="A156" s="25" t="s">
        <v>237</v>
      </c>
      <c r="B156" s="16">
        <v>902</v>
      </c>
      <c r="C156" s="20" t="s">
        <v>230</v>
      </c>
      <c r="D156" s="20" t="s">
        <v>236</v>
      </c>
      <c r="E156" s="20" t="s">
        <v>238</v>
      </c>
      <c r="F156" s="20"/>
      <c r="G156" s="26">
        <f>G157</f>
        <v>0</v>
      </c>
      <c r="H156" s="187"/>
    </row>
    <row r="157" spans="1:8" ht="47.25" hidden="1">
      <c r="A157" s="25" t="s">
        <v>215</v>
      </c>
      <c r="B157" s="16">
        <v>902</v>
      </c>
      <c r="C157" s="20" t="s">
        <v>230</v>
      </c>
      <c r="D157" s="20" t="s">
        <v>236</v>
      </c>
      <c r="E157" s="20" t="s">
        <v>238</v>
      </c>
      <c r="F157" s="20" t="s">
        <v>149</v>
      </c>
      <c r="G157" s="26">
        <f>G158</f>
        <v>0</v>
      </c>
      <c r="H157" s="187"/>
    </row>
    <row r="158" spans="1:8" ht="47.25" hidden="1">
      <c r="A158" s="25" t="s">
        <v>150</v>
      </c>
      <c r="B158" s="16">
        <v>902</v>
      </c>
      <c r="C158" s="20" t="s">
        <v>230</v>
      </c>
      <c r="D158" s="20" t="s">
        <v>236</v>
      </c>
      <c r="E158" s="20" t="s">
        <v>238</v>
      </c>
      <c r="F158" s="20" t="s">
        <v>151</v>
      </c>
      <c r="G158" s="26">
        <v>0</v>
      </c>
      <c r="H158" s="187"/>
    </row>
    <row r="159" spans="1:8" ht="31.5">
      <c r="A159" s="23" t="s">
        <v>239</v>
      </c>
      <c r="B159" s="19">
        <v>902</v>
      </c>
      <c r="C159" s="24" t="s">
        <v>232</v>
      </c>
      <c r="D159" s="24"/>
      <c r="E159" s="24"/>
      <c r="F159" s="24"/>
      <c r="G159" s="21">
        <f>G160</f>
        <v>7159.400000000001</v>
      </c>
      <c r="H159" s="187"/>
    </row>
    <row r="160" spans="1:8" ht="63">
      <c r="A160" s="23" t="s">
        <v>240</v>
      </c>
      <c r="B160" s="19">
        <v>902</v>
      </c>
      <c r="C160" s="24" t="s">
        <v>232</v>
      </c>
      <c r="D160" s="24" t="s">
        <v>236</v>
      </c>
      <c r="E160" s="20"/>
      <c r="F160" s="20"/>
      <c r="G160" s="21">
        <f>G161</f>
        <v>7159.400000000001</v>
      </c>
      <c r="H160" s="187"/>
    </row>
    <row r="161" spans="1:8" ht="15.75">
      <c r="A161" s="25" t="s">
        <v>138</v>
      </c>
      <c r="B161" s="16">
        <v>902</v>
      </c>
      <c r="C161" s="20" t="s">
        <v>232</v>
      </c>
      <c r="D161" s="20" t="s">
        <v>236</v>
      </c>
      <c r="E161" s="20" t="s">
        <v>139</v>
      </c>
      <c r="F161" s="20"/>
      <c r="G161" s="26">
        <f>G162</f>
        <v>7159.400000000001</v>
      </c>
      <c r="H161" s="187"/>
    </row>
    <row r="162" spans="1:8" ht="15.75">
      <c r="A162" s="25" t="s">
        <v>158</v>
      </c>
      <c r="B162" s="16">
        <v>902</v>
      </c>
      <c r="C162" s="20" t="s">
        <v>232</v>
      </c>
      <c r="D162" s="20" t="s">
        <v>236</v>
      </c>
      <c r="E162" s="20" t="s">
        <v>159</v>
      </c>
      <c r="F162" s="20"/>
      <c r="G162" s="26">
        <f>G163+G169+G174</f>
        <v>7159.400000000001</v>
      </c>
      <c r="H162" s="187"/>
    </row>
    <row r="163" spans="1:8" ht="47.25">
      <c r="A163" s="25" t="s">
        <v>241</v>
      </c>
      <c r="B163" s="16">
        <v>902</v>
      </c>
      <c r="C163" s="20" t="s">
        <v>232</v>
      </c>
      <c r="D163" s="20" t="s">
        <v>236</v>
      </c>
      <c r="E163" s="20" t="s">
        <v>242</v>
      </c>
      <c r="F163" s="20"/>
      <c r="G163" s="26">
        <f>G164</f>
        <v>2064.1</v>
      </c>
      <c r="H163" s="187"/>
    </row>
    <row r="164" spans="1:8" ht="47.25">
      <c r="A164" s="25" t="s">
        <v>215</v>
      </c>
      <c r="B164" s="16">
        <v>902</v>
      </c>
      <c r="C164" s="20" t="s">
        <v>232</v>
      </c>
      <c r="D164" s="20" t="s">
        <v>236</v>
      </c>
      <c r="E164" s="20" t="s">
        <v>242</v>
      </c>
      <c r="F164" s="20" t="s">
        <v>149</v>
      </c>
      <c r="G164" s="26">
        <f>G165</f>
        <v>2064.1</v>
      </c>
      <c r="H164" s="187"/>
    </row>
    <row r="165" spans="1:9" ht="47.25">
      <c r="A165" s="25" t="s">
        <v>150</v>
      </c>
      <c r="B165" s="16">
        <v>902</v>
      </c>
      <c r="C165" s="20" t="s">
        <v>232</v>
      </c>
      <c r="D165" s="20" t="s">
        <v>236</v>
      </c>
      <c r="E165" s="20" t="s">
        <v>242</v>
      </c>
      <c r="F165" s="20" t="s">
        <v>151</v>
      </c>
      <c r="G165" s="169">
        <f>1908.4+354-98.3-100</f>
        <v>2064.1</v>
      </c>
      <c r="H165" s="114" t="s">
        <v>744</v>
      </c>
      <c r="I165" s="134"/>
    </row>
    <row r="166" spans="1:8" ht="15.75" hidden="1">
      <c r="A166" s="25" t="s">
        <v>243</v>
      </c>
      <c r="B166" s="16">
        <v>902</v>
      </c>
      <c r="C166" s="20" t="s">
        <v>232</v>
      </c>
      <c r="D166" s="20" t="s">
        <v>236</v>
      </c>
      <c r="E166" s="20" t="s">
        <v>244</v>
      </c>
      <c r="F166" s="20"/>
      <c r="G166" s="26">
        <f>G167</f>
        <v>0</v>
      </c>
      <c r="H166" s="187"/>
    </row>
    <row r="167" spans="1:8" ht="47.25" hidden="1">
      <c r="A167" s="25" t="s">
        <v>215</v>
      </c>
      <c r="B167" s="16">
        <v>902</v>
      </c>
      <c r="C167" s="20" t="s">
        <v>232</v>
      </c>
      <c r="D167" s="20" t="s">
        <v>236</v>
      </c>
      <c r="E167" s="20" t="s">
        <v>244</v>
      </c>
      <c r="F167" s="20" t="s">
        <v>149</v>
      </c>
      <c r="G167" s="26">
        <f>G168</f>
        <v>0</v>
      </c>
      <c r="H167" s="187"/>
    </row>
    <row r="168" spans="1:8" ht="47.25" hidden="1">
      <c r="A168" s="25" t="s">
        <v>150</v>
      </c>
      <c r="B168" s="16">
        <v>902</v>
      </c>
      <c r="C168" s="20" t="s">
        <v>232</v>
      </c>
      <c r="D168" s="20" t="s">
        <v>236</v>
      </c>
      <c r="E168" s="20" t="s">
        <v>244</v>
      </c>
      <c r="F168" s="20" t="s">
        <v>151</v>
      </c>
      <c r="G168" s="26">
        <v>0</v>
      </c>
      <c r="H168" s="187"/>
    </row>
    <row r="169" spans="1:8" ht="31.5">
      <c r="A169" s="25" t="s">
        <v>245</v>
      </c>
      <c r="B169" s="16">
        <v>902</v>
      </c>
      <c r="C169" s="20" t="s">
        <v>232</v>
      </c>
      <c r="D169" s="20" t="s">
        <v>236</v>
      </c>
      <c r="E169" s="20" t="s">
        <v>246</v>
      </c>
      <c r="F169" s="20"/>
      <c r="G169" s="26">
        <f>G170+G172</f>
        <v>4997</v>
      </c>
      <c r="H169" s="187"/>
    </row>
    <row r="170" spans="1:8" ht="94.5">
      <c r="A170" s="25" t="s">
        <v>144</v>
      </c>
      <c r="B170" s="16">
        <v>902</v>
      </c>
      <c r="C170" s="20" t="s">
        <v>232</v>
      </c>
      <c r="D170" s="20" t="s">
        <v>236</v>
      </c>
      <c r="E170" s="20" t="s">
        <v>246</v>
      </c>
      <c r="F170" s="20" t="s">
        <v>145</v>
      </c>
      <c r="G170" s="26">
        <f>G171</f>
        <v>4692.3</v>
      </c>
      <c r="H170" s="187"/>
    </row>
    <row r="171" spans="1:8" ht="31.5">
      <c r="A171" s="25" t="s">
        <v>225</v>
      </c>
      <c r="B171" s="16">
        <v>902</v>
      </c>
      <c r="C171" s="20" t="s">
        <v>232</v>
      </c>
      <c r="D171" s="20" t="s">
        <v>236</v>
      </c>
      <c r="E171" s="20" t="s">
        <v>246</v>
      </c>
      <c r="F171" s="20" t="s">
        <v>226</v>
      </c>
      <c r="G171" s="27">
        <f>4586.3+106</f>
        <v>4692.3</v>
      </c>
      <c r="H171" s="187"/>
    </row>
    <row r="172" spans="1:8" ht="47.25">
      <c r="A172" s="25" t="s">
        <v>215</v>
      </c>
      <c r="B172" s="16">
        <v>902</v>
      </c>
      <c r="C172" s="20" t="s">
        <v>232</v>
      </c>
      <c r="D172" s="20" t="s">
        <v>236</v>
      </c>
      <c r="E172" s="20" t="s">
        <v>246</v>
      </c>
      <c r="F172" s="20" t="s">
        <v>149</v>
      </c>
      <c r="G172" s="26">
        <f>G173</f>
        <v>304.7</v>
      </c>
      <c r="H172" s="187"/>
    </row>
    <row r="173" spans="1:8" ht="47.25">
      <c r="A173" s="25" t="s">
        <v>150</v>
      </c>
      <c r="B173" s="16">
        <v>902</v>
      </c>
      <c r="C173" s="20" t="s">
        <v>232</v>
      </c>
      <c r="D173" s="20" t="s">
        <v>236</v>
      </c>
      <c r="E173" s="20" t="s">
        <v>246</v>
      </c>
      <c r="F173" s="20" t="s">
        <v>151</v>
      </c>
      <c r="G173" s="166">
        <f>204.7+100</f>
        <v>304.7</v>
      </c>
      <c r="H173" s="167" t="s">
        <v>745</v>
      </c>
    </row>
    <row r="174" spans="1:8" ht="15.75">
      <c r="A174" s="25" t="s">
        <v>247</v>
      </c>
      <c r="B174" s="16">
        <v>902</v>
      </c>
      <c r="C174" s="20" t="s">
        <v>232</v>
      </c>
      <c r="D174" s="20" t="s">
        <v>236</v>
      </c>
      <c r="E174" s="20" t="s">
        <v>248</v>
      </c>
      <c r="F174" s="20"/>
      <c r="G174" s="27">
        <f>G175</f>
        <v>98.3</v>
      </c>
      <c r="H174" s="187"/>
    </row>
    <row r="175" spans="1:8" ht="47.25">
      <c r="A175" s="25" t="s">
        <v>215</v>
      </c>
      <c r="B175" s="16">
        <v>902</v>
      </c>
      <c r="C175" s="20" t="s">
        <v>232</v>
      </c>
      <c r="D175" s="20" t="s">
        <v>236</v>
      </c>
      <c r="E175" s="20" t="s">
        <v>248</v>
      </c>
      <c r="F175" s="20" t="s">
        <v>149</v>
      </c>
      <c r="G175" s="27">
        <f>G176</f>
        <v>98.3</v>
      </c>
      <c r="H175" s="187"/>
    </row>
    <row r="176" spans="1:9" ht="47.25">
      <c r="A176" s="25" t="s">
        <v>150</v>
      </c>
      <c r="B176" s="16">
        <v>902</v>
      </c>
      <c r="C176" s="20" t="s">
        <v>232</v>
      </c>
      <c r="D176" s="20" t="s">
        <v>236</v>
      </c>
      <c r="E176" s="20" t="s">
        <v>248</v>
      </c>
      <c r="F176" s="20" t="s">
        <v>151</v>
      </c>
      <c r="G176" s="27">
        <v>98.3</v>
      </c>
      <c r="H176" s="114"/>
      <c r="I176" s="133"/>
    </row>
    <row r="177" spans="1:8" ht="15.75">
      <c r="A177" s="23" t="s">
        <v>249</v>
      </c>
      <c r="B177" s="19">
        <v>902</v>
      </c>
      <c r="C177" s="24" t="s">
        <v>167</v>
      </c>
      <c r="D177" s="24"/>
      <c r="E177" s="24"/>
      <c r="F177" s="20"/>
      <c r="G177" s="21">
        <f>G184+G178</f>
        <v>1821.3999999999999</v>
      </c>
      <c r="H177" s="187"/>
    </row>
    <row r="178" spans="1:8" ht="15.75">
      <c r="A178" s="23" t="s">
        <v>250</v>
      </c>
      <c r="B178" s="19">
        <v>902</v>
      </c>
      <c r="C178" s="24" t="s">
        <v>167</v>
      </c>
      <c r="D178" s="24" t="s">
        <v>251</v>
      </c>
      <c r="E178" s="24"/>
      <c r="F178" s="20"/>
      <c r="G178" s="21">
        <f>G179</f>
        <v>450</v>
      </c>
      <c r="H178" s="187"/>
    </row>
    <row r="179" spans="1:8" ht="15.75">
      <c r="A179" s="25" t="s">
        <v>138</v>
      </c>
      <c r="B179" s="16">
        <v>902</v>
      </c>
      <c r="C179" s="20" t="s">
        <v>167</v>
      </c>
      <c r="D179" s="20" t="s">
        <v>251</v>
      </c>
      <c r="E179" s="20" t="s">
        <v>139</v>
      </c>
      <c r="F179" s="20"/>
      <c r="G179" s="26">
        <f>G180</f>
        <v>450</v>
      </c>
      <c r="H179" s="187"/>
    </row>
    <row r="180" spans="1:8" ht="31.5">
      <c r="A180" s="25" t="s">
        <v>202</v>
      </c>
      <c r="B180" s="16">
        <v>902</v>
      </c>
      <c r="C180" s="20" t="s">
        <v>167</v>
      </c>
      <c r="D180" s="20" t="s">
        <v>251</v>
      </c>
      <c r="E180" s="20" t="s">
        <v>203</v>
      </c>
      <c r="F180" s="20"/>
      <c r="G180" s="26">
        <f>G181</f>
        <v>450</v>
      </c>
      <c r="H180" s="187"/>
    </row>
    <row r="181" spans="1:8" ht="31.5">
      <c r="A181" s="25" t="s">
        <v>252</v>
      </c>
      <c r="B181" s="16">
        <v>902</v>
      </c>
      <c r="C181" s="20" t="s">
        <v>167</v>
      </c>
      <c r="D181" s="20" t="s">
        <v>251</v>
      </c>
      <c r="E181" s="20" t="s">
        <v>253</v>
      </c>
      <c r="F181" s="20"/>
      <c r="G181" s="26">
        <f>G182</f>
        <v>450</v>
      </c>
      <c r="H181" s="187"/>
    </row>
    <row r="182" spans="1:8" ht="15.75">
      <c r="A182" s="25" t="s">
        <v>152</v>
      </c>
      <c r="B182" s="16">
        <v>902</v>
      </c>
      <c r="C182" s="20" t="s">
        <v>167</v>
      </c>
      <c r="D182" s="20" t="s">
        <v>251</v>
      </c>
      <c r="E182" s="20" t="s">
        <v>253</v>
      </c>
      <c r="F182" s="20" t="s">
        <v>162</v>
      </c>
      <c r="G182" s="26">
        <f>G183</f>
        <v>450</v>
      </c>
      <c r="H182" s="187"/>
    </row>
    <row r="183" spans="1:9" ht="63">
      <c r="A183" s="25" t="s">
        <v>201</v>
      </c>
      <c r="B183" s="16">
        <v>902</v>
      </c>
      <c r="C183" s="20" t="s">
        <v>167</v>
      </c>
      <c r="D183" s="20" t="s">
        <v>251</v>
      </c>
      <c r="E183" s="20" t="s">
        <v>253</v>
      </c>
      <c r="F183" s="20" t="s">
        <v>177</v>
      </c>
      <c r="G183" s="168">
        <f>310+140</f>
        <v>450</v>
      </c>
      <c r="H183" s="167" t="s">
        <v>743</v>
      </c>
      <c r="I183" s="123"/>
    </row>
    <row r="184" spans="1:8" ht="31.5">
      <c r="A184" s="23" t="s">
        <v>254</v>
      </c>
      <c r="B184" s="19">
        <v>902</v>
      </c>
      <c r="C184" s="24" t="s">
        <v>167</v>
      </c>
      <c r="D184" s="24" t="s">
        <v>255</v>
      </c>
      <c r="E184" s="24"/>
      <c r="F184" s="24"/>
      <c r="G184" s="21">
        <f>G185</f>
        <v>1371.3999999999999</v>
      </c>
      <c r="H184" s="187"/>
    </row>
    <row r="185" spans="1:8" ht="15.75">
      <c r="A185" s="25" t="s">
        <v>138</v>
      </c>
      <c r="B185" s="16">
        <v>902</v>
      </c>
      <c r="C185" s="20" t="s">
        <v>167</v>
      </c>
      <c r="D185" s="20" t="s">
        <v>255</v>
      </c>
      <c r="E185" s="20" t="s">
        <v>139</v>
      </c>
      <c r="F185" s="24"/>
      <c r="G185" s="26">
        <f>G186</f>
        <v>1371.3999999999999</v>
      </c>
      <c r="H185" s="187"/>
    </row>
    <row r="186" spans="1:8" ht="31.5">
      <c r="A186" s="25" t="s">
        <v>202</v>
      </c>
      <c r="B186" s="16">
        <v>902</v>
      </c>
      <c r="C186" s="20" t="s">
        <v>167</v>
      </c>
      <c r="D186" s="20" t="s">
        <v>255</v>
      </c>
      <c r="E186" s="20" t="s">
        <v>203</v>
      </c>
      <c r="F186" s="24"/>
      <c r="G186" s="26">
        <f>G190+G187</f>
        <v>1371.3999999999999</v>
      </c>
      <c r="H186" s="187"/>
    </row>
    <row r="187" spans="1:8" ht="31.5">
      <c r="A187" s="25" t="s">
        <v>256</v>
      </c>
      <c r="B187" s="16">
        <v>902</v>
      </c>
      <c r="C187" s="20" t="s">
        <v>167</v>
      </c>
      <c r="D187" s="20" t="s">
        <v>255</v>
      </c>
      <c r="E187" s="20" t="s">
        <v>257</v>
      </c>
      <c r="F187" s="24"/>
      <c r="G187" s="26">
        <f>G188</f>
        <v>90</v>
      </c>
      <c r="H187" s="187"/>
    </row>
    <row r="188" spans="1:8" ht="15.75">
      <c r="A188" s="25" t="s">
        <v>152</v>
      </c>
      <c r="B188" s="16">
        <v>902</v>
      </c>
      <c r="C188" s="20" t="s">
        <v>167</v>
      </c>
      <c r="D188" s="20" t="s">
        <v>255</v>
      </c>
      <c r="E188" s="20" t="s">
        <v>257</v>
      </c>
      <c r="F188" s="20" t="s">
        <v>162</v>
      </c>
      <c r="G188" s="26">
        <f>G189</f>
        <v>90</v>
      </c>
      <c r="H188" s="187"/>
    </row>
    <row r="189" spans="1:8" ht="63">
      <c r="A189" s="25" t="s">
        <v>201</v>
      </c>
      <c r="B189" s="16">
        <v>902</v>
      </c>
      <c r="C189" s="20" t="s">
        <v>167</v>
      </c>
      <c r="D189" s="20" t="s">
        <v>255</v>
      </c>
      <c r="E189" s="20" t="s">
        <v>257</v>
      </c>
      <c r="F189" s="20" t="s">
        <v>177</v>
      </c>
      <c r="G189" s="172">
        <v>90</v>
      </c>
      <c r="H189" s="167" t="s">
        <v>752</v>
      </c>
    </row>
    <row r="190" spans="1:8" ht="63">
      <c r="A190" s="32" t="s">
        <v>258</v>
      </c>
      <c r="B190" s="16">
        <v>902</v>
      </c>
      <c r="C190" s="20" t="s">
        <v>167</v>
      </c>
      <c r="D190" s="20" t="s">
        <v>255</v>
      </c>
      <c r="E190" s="20" t="s">
        <v>259</v>
      </c>
      <c r="F190" s="20"/>
      <c r="G190" s="26">
        <f>G191+G193</f>
        <v>1281.3999999999999</v>
      </c>
      <c r="H190" s="187"/>
    </row>
    <row r="191" spans="1:8" ht="94.5">
      <c r="A191" s="25" t="s">
        <v>144</v>
      </c>
      <c r="B191" s="16">
        <v>902</v>
      </c>
      <c r="C191" s="20" t="s">
        <v>167</v>
      </c>
      <c r="D191" s="20" t="s">
        <v>255</v>
      </c>
      <c r="E191" s="20" t="s">
        <v>259</v>
      </c>
      <c r="F191" s="20" t="s">
        <v>145</v>
      </c>
      <c r="G191" s="26">
        <f>G192</f>
        <v>1116.3999999999999</v>
      </c>
      <c r="H191" s="187"/>
    </row>
    <row r="192" spans="1:9" ht="31.5">
      <c r="A192" s="25" t="s">
        <v>146</v>
      </c>
      <c r="B192" s="16">
        <v>902</v>
      </c>
      <c r="C192" s="20" t="s">
        <v>167</v>
      </c>
      <c r="D192" s="20" t="s">
        <v>255</v>
      </c>
      <c r="E192" s="20" t="s">
        <v>259</v>
      </c>
      <c r="F192" s="20" t="s">
        <v>147</v>
      </c>
      <c r="G192" s="26">
        <f>1302-123.4-62.2</f>
        <v>1116.3999999999999</v>
      </c>
      <c r="H192" s="187"/>
      <c r="I192" s="123"/>
    </row>
    <row r="193" spans="1:8" ht="31.5">
      <c r="A193" s="25" t="s">
        <v>148</v>
      </c>
      <c r="B193" s="16">
        <v>902</v>
      </c>
      <c r="C193" s="20" t="s">
        <v>167</v>
      </c>
      <c r="D193" s="20" t="s">
        <v>255</v>
      </c>
      <c r="E193" s="20" t="s">
        <v>259</v>
      </c>
      <c r="F193" s="20" t="s">
        <v>149</v>
      </c>
      <c r="G193" s="26">
        <f>G194</f>
        <v>165</v>
      </c>
      <c r="H193" s="187"/>
    </row>
    <row r="194" spans="1:8" ht="47.25">
      <c r="A194" s="25" t="s">
        <v>150</v>
      </c>
      <c r="B194" s="16">
        <v>902</v>
      </c>
      <c r="C194" s="20" t="s">
        <v>167</v>
      </c>
      <c r="D194" s="20" t="s">
        <v>255</v>
      </c>
      <c r="E194" s="20" t="s">
        <v>259</v>
      </c>
      <c r="F194" s="20" t="s">
        <v>151</v>
      </c>
      <c r="G194" s="26">
        <f>102.8+62.2</f>
        <v>165</v>
      </c>
      <c r="H194" s="187"/>
    </row>
    <row r="195" spans="1:8" ht="16.5" customHeight="1">
      <c r="A195" s="23" t="s">
        <v>260</v>
      </c>
      <c r="B195" s="19">
        <v>902</v>
      </c>
      <c r="C195" s="24" t="s">
        <v>261</v>
      </c>
      <c r="D195" s="24"/>
      <c r="E195" s="24"/>
      <c r="F195" s="24"/>
      <c r="G195" s="21">
        <f>G196+G202+G212</f>
        <v>12224.9</v>
      </c>
      <c r="H195" s="187"/>
    </row>
    <row r="196" spans="1:8" ht="15.75">
      <c r="A196" s="23" t="s">
        <v>262</v>
      </c>
      <c r="B196" s="19">
        <v>902</v>
      </c>
      <c r="C196" s="24" t="s">
        <v>261</v>
      </c>
      <c r="D196" s="24" t="s">
        <v>135</v>
      </c>
      <c r="E196" s="24"/>
      <c r="F196" s="24"/>
      <c r="G196" s="21">
        <f>G197</f>
        <v>9066.4</v>
      </c>
      <c r="H196" s="187"/>
    </row>
    <row r="197" spans="1:8" ht="15.75">
      <c r="A197" s="25" t="s">
        <v>138</v>
      </c>
      <c r="B197" s="16">
        <v>902</v>
      </c>
      <c r="C197" s="20" t="s">
        <v>261</v>
      </c>
      <c r="D197" s="20" t="s">
        <v>135</v>
      </c>
      <c r="E197" s="20" t="s">
        <v>139</v>
      </c>
      <c r="F197" s="20"/>
      <c r="G197" s="26">
        <f>G198</f>
        <v>9066.4</v>
      </c>
      <c r="H197" s="187"/>
    </row>
    <row r="198" spans="1:8" ht="15.75">
      <c r="A198" s="25" t="s">
        <v>158</v>
      </c>
      <c r="B198" s="16">
        <v>902</v>
      </c>
      <c r="C198" s="20" t="s">
        <v>261</v>
      </c>
      <c r="D198" s="20" t="s">
        <v>135</v>
      </c>
      <c r="E198" s="20" t="s">
        <v>159</v>
      </c>
      <c r="F198" s="20"/>
      <c r="G198" s="26">
        <f>G199</f>
        <v>9066.4</v>
      </c>
      <c r="H198" s="187"/>
    </row>
    <row r="199" spans="1:8" ht="15.75">
      <c r="A199" s="25" t="s">
        <v>263</v>
      </c>
      <c r="B199" s="16">
        <v>902</v>
      </c>
      <c r="C199" s="20" t="s">
        <v>261</v>
      </c>
      <c r="D199" s="20" t="s">
        <v>135</v>
      </c>
      <c r="E199" s="20" t="s">
        <v>264</v>
      </c>
      <c r="F199" s="20"/>
      <c r="G199" s="26">
        <f>G200</f>
        <v>9066.4</v>
      </c>
      <c r="H199" s="187"/>
    </row>
    <row r="200" spans="1:8" ht="31.5">
      <c r="A200" s="25" t="s">
        <v>265</v>
      </c>
      <c r="B200" s="16">
        <v>902</v>
      </c>
      <c r="C200" s="20" t="s">
        <v>261</v>
      </c>
      <c r="D200" s="20" t="s">
        <v>135</v>
      </c>
      <c r="E200" s="20" t="s">
        <v>264</v>
      </c>
      <c r="F200" s="20" t="s">
        <v>266</v>
      </c>
      <c r="G200" s="26">
        <f>G201</f>
        <v>9066.4</v>
      </c>
      <c r="H200" s="187"/>
    </row>
    <row r="201" spans="1:8" ht="31.5">
      <c r="A201" s="25" t="s">
        <v>267</v>
      </c>
      <c r="B201" s="16">
        <v>902</v>
      </c>
      <c r="C201" s="20" t="s">
        <v>261</v>
      </c>
      <c r="D201" s="20" t="s">
        <v>135</v>
      </c>
      <c r="E201" s="20" t="s">
        <v>264</v>
      </c>
      <c r="F201" s="20" t="s">
        <v>268</v>
      </c>
      <c r="G201" s="27">
        <v>9066.4</v>
      </c>
      <c r="H201" s="187"/>
    </row>
    <row r="202" spans="1:8" ht="15.75">
      <c r="A202" s="23" t="s">
        <v>269</v>
      </c>
      <c r="B202" s="19">
        <v>902</v>
      </c>
      <c r="C202" s="24" t="s">
        <v>261</v>
      </c>
      <c r="D202" s="24" t="s">
        <v>232</v>
      </c>
      <c r="E202" s="20"/>
      <c r="F202" s="20"/>
      <c r="G202" s="21">
        <f>G203+G207</f>
        <v>10</v>
      </c>
      <c r="H202" s="187"/>
    </row>
    <row r="203" spans="1:8" ht="78.75">
      <c r="A203" s="25" t="s">
        <v>270</v>
      </c>
      <c r="B203" s="16">
        <v>902</v>
      </c>
      <c r="C203" s="20" t="s">
        <v>261</v>
      </c>
      <c r="D203" s="20" t="s">
        <v>232</v>
      </c>
      <c r="E203" s="20" t="s">
        <v>271</v>
      </c>
      <c r="F203" s="20"/>
      <c r="G203" s="26">
        <f>G204</f>
        <v>10</v>
      </c>
      <c r="H203" s="187"/>
    </row>
    <row r="204" spans="1:8" ht="31.5">
      <c r="A204" s="25" t="s">
        <v>174</v>
      </c>
      <c r="B204" s="16">
        <v>902</v>
      </c>
      <c r="C204" s="20" t="s">
        <v>261</v>
      </c>
      <c r="D204" s="20" t="s">
        <v>232</v>
      </c>
      <c r="E204" s="20" t="s">
        <v>272</v>
      </c>
      <c r="F204" s="20"/>
      <c r="G204" s="26">
        <f>G205</f>
        <v>10</v>
      </c>
      <c r="H204" s="187"/>
    </row>
    <row r="205" spans="1:8" ht="31.5">
      <c r="A205" s="25" t="s">
        <v>265</v>
      </c>
      <c r="B205" s="16">
        <v>902</v>
      </c>
      <c r="C205" s="20" t="s">
        <v>261</v>
      </c>
      <c r="D205" s="20" t="s">
        <v>232</v>
      </c>
      <c r="E205" s="20" t="s">
        <v>272</v>
      </c>
      <c r="F205" s="20" t="s">
        <v>266</v>
      </c>
      <c r="G205" s="26">
        <f>G206</f>
        <v>10</v>
      </c>
      <c r="H205" s="187"/>
    </row>
    <row r="206" spans="1:8" ht="31.5">
      <c r="A206" s="25" t="s">
        <v>267</v>
      </c>
      <c r="B206" s="16">
        <v>902</v>
      </c>
      <c r="C206" s="20" t="s">
        <v>261</v>
      </c>
      <c r="D206" s="20" t="s">
        <v>232</v>
      </c>
      <c r="E206" s="20" t="s">
        <v>272</v>
      </c>
      <c r="F206" s="20" t="s">
        <v>268</v>
      </c>
      <c r="G206" s="26">
        <v>10</v>
      </c>
      <c r="H206" s="187"/>
    </row>
    <row r="207" spans="1:8" ht="15.75" hidden="1">
      <c r="A207" s="25" t="s">
        <v>138</v>
      </c>
      <c r="B207" s="16">
        <v>902</v>
      </c>
      <c r="C207" s="20" t="s">
        <v>261</v>
      </c>
      <c r="D207" s="20" t="s">
        <v>232</v>
      </c>
      <c r="E207" s="20" t="s">
        <v>139</v>
      </c>
      <c r="F207" s="20"/>
      <c r="G207" s="26">
        <f>G208</f>
        <v>0</v>
      </c>
      <c r="H207" s="187"/>
    </row>
    <row r="208" spans="1:8" ht="31.5" hidden="1">
      <c r="A208" s="25" t="s">
        <v>202</v>
      </c>
      <c r="B208" s="16">
        <v>902</v>
      </c>
      <c r="C208" s="20" t="s">
        <v>261</v>
      </c>
      <c r="D208" s="20" t="s">
        <v>232</v>
      </c>
      <c r="E208" s="20" t="s">
        <v>203</v>
      </c>
      <c r="F208" s="20"/>
      <c r="G208" s="26">
        <f>G209</f>
        <v>0</v>
      </c>
      <c r="H208" s="187"/>
    </row>
    <row r="209" spans="1:8" ht="47.25" hidden="1">
      <c r="A209" s="32" t="s">
        <v>273</v>
      </c>
      <c r="B209" s="16">
        <v>902</v>
      </c>
      <c r="C209" s="20" t="s">
        <v>261</v>
      </c>
      <c r="D209" s="20" t="s">
        <v>232</v>
      </c>
      <c r="E209" s="20" t="s">
        <v>274</v>
      </c>
      <c r="F209" s="20"/>
      <c r="G209" s="26">
        <f>G210</f>
        <v>0</v>
      </c>
      <c r="H209" s="187"/>
    </row>
    <row r="210" spans="1:8" ht="31.5" hidden="1">
      <c r="A210" s="25" t="s">
        <v>265</v>
      </c>
      <c r="B210" s="16">
        <v>902</v>
      </c>
      <c r="C210" s="20" t="s">
        <v>261</v>
      </c>
      <c r="D210" s="20" t="s">
        <v>232</v>
      </c>
      <c r="E210" s="20" t="s">
        <v>274</v>
      </c>
      <c r="F210" s="20" t="s">
        <v>266</v>
      </c>
      <c r="G210" s="26">
        <f>G211</f>
        <v>0</v>
      </c>
      <c r="H210" s="187"/>
    </row>
    <row r="211" spans="1:9" ht="31.5" hidden="1">
      <c r="A211" s="25" t="s">
        <v>267</v>
      </c>
      <c r="B211" s="16">
        <v>902</v>
      </c>
      <c r="C211" s="20" t="s">
        <v>261</v>
      </c>
      <c r="D211" s="20" t="s">
        <v>232</v>
      </c>
      <c r="E211" s="20" t="s">
        <v>274</v>
      </c>
      <c r="F211" s="20" t="s">
        <v>268</v>
      </c>
      <c r="G211" s="26">
        <f>6250-6250</f>
        <v>0</v>
      </c>
      <c r="H211" s="114"/>
      <c r="I211" s="123"/>
    </row>
    <row r="212" spans="1:8" ht="31.5">
      <c r="A212" s="23" t="s">
        <v>275</v>
      </c>
      <c r="B212" s="19">
        <v>902</v>
      </c>
      <c r="C212" s="24" t="s">
        <v>261</v>
      </c>
      <c r="D212" s="24" t="s">
        <v>137</v>
      </c>
      <c r="E212" s="24"/>
      <c r="F212" s="24"/>
      <c r="G212" s="21">
        <f>G213</f>
        <v>3148.5000000000005</v>
      </c>
      <c r="H212" s="187"/>
    </row>
    <row r="213" spans="1:8" ht="15.75">
      <c r="A213" s="25" t="s">
        <v>138</v>
      </c>
      <c r="B213" s="16">
        <v>902</v>
      </c>
      <c r="C213" s="20" t="s">
        <v>261</v>
      </c>
      <c r="D213" s="20" t="s">
        <v>137</v>
      </c>
      <c r="E213" s="20" t="s">
        <v>139</v>
      </c>
      <c r="F213" s="24"/>
      <c r="G213" s="26">
        <f>G214</f>
        <v>3148.5000000000005</v>
      </c>
      <c r="H213" s="187"/>
    </row>
    <row r="214" spans="1:8" ht="31.5">
      <c r="A214" s="25" t="s">
        <v>202</v>
      </c>
      <c r="B214" s="16">
        <v>902</v>
      </c>
      <c r="C214" s="20" t="s">
        <v>261</v>
      </c>
      <c r="D214" s="20" t="s">
        <v>137</v>
      </c>
      <c r="E214" s="20" t="s">
        <v>203</v>
      </c>
      <c r="F214" s="20"/>
      <c r="G214" s="26">
        <f>G215</f>
        <v>3148.5000000000005</v>
      </c>
      <c r="H214" s="187"/>
    </row>
    <row r="215" spans="1:8" ht="47.25">
      <c r="A215" s="32" t="s">
        <v>276</v>
      </c>
      <c r="B215" s="16">
        <v>902</v>
      </c>
      <c r="C215" s="20" t="s">
        <v>261</v>
      </c>
      <c r="D215" s="20" t="s">
        <v>137</v>
      </c>
      <c r="E215" s="20" t="s">
        <v>277</v>
      </c>
      <c r="F215" s="20"/>
      <c r="G215" s="26">
        <f>G216+G218</f>
        <v>3148.5000000000005</v>
      </c>
      <c r="H215" s="187"/>
    </row>
    <row r="216" spans="1:8" ht="94.5">
      <c r="A216" s="25" t="s">
        <v>144</v>
      </c>
      <c r="B216" s="16">
        <v>902</v>
      </c>
      <c r="C216" s="20" t="s">
        <v>261</v>
      </c>
      <c r="D216" s="20" t="s">
        <v>137</v>
      </c>
      <c r="E216" s="20" t="s">
        <v>277</v>
      </c>
      <c r="F216" s="20" t="s">
        <v>145</v>
      </c>
      <c r="G216" s="26">
        <f>G217</f>
        <v>2884.1000000000004</v>
      </c>
      <c r="H216" s="187"/>
    </row>
    <row r="217" spans="1:8" ht="31.5">
      <c r="A217" s="25" t="s">
        <v>146</v>
      </c>
      <c r="B217" s="16">
        <v>902</v>
      </c>
      <c r="C217" s="20" t="s">
        <v>261</v>
      </c>
      <c r="D217" s="20" t="s">
        <v>137</v>
      </c>
      <c r="E217" s="20" t="s">
        <v>277</v>
      </c>
      <c r="F217" s="20" t="s">
        <v>147</v>
      </c>
      <c r="G217" s="27">
        <f>2826.8+14.8+42.5</f>
        <v>2884.1000000000004</v>
      </c>
      <c r="H217" s="114"/>
    </row>
    <row r="218" spans="1:8" ht="31.5">
      <c r="A218" s="25" t="s">
        <v>148</v>
      </c>
      <c r="B218" s="16">
        <v>902</v>
      </c>
      <c r="C218" s="20" t="s">
        <v>261</v>
      </c>
      <c r="D218" s="20" t="s">
        <v>137</v>
      </c>
      <c r="E218" s="20" t="s">
        <v>277</v>
      </c>
      <c r="F218" s="20" t="s">
        <v>149</v>
      </c>
      <c r="G218" s="26">
        <f>G219</f>
        <v>264.4</v>
      </c>
      <c r="H218" s="187"/>
    </row>
    <row r="219" spans="1:9" ht="47.25">
      <c r="A219" s="25" t="s">
        <v>150</v>
      </c>
      <c r="B219" s="16">
        <v>902</v>
      </c>
      <c r="C219" s="20" t="s">
        <v>261</v>
      </c>
      <c r="D219" s="20" t="s">
        <v>137</v>
      </c>
      <c r="E219" s="20" t="s">
        <v>277</v>
      </c>
      <c r="F219" s="20" t="s">
        <v>151</v>
      </c>
      <c r="G219" s="27">
        <f>433.9-112.2-14.8-42.5</f>
        <v>264.4</v>
      </c>
      <c r="H219" s="114"/>
      <c r="I219" s="123"/>
    </row>
    <row r="220" spans="1:12" ht="47.25">
      <c r="A220" s="19" t="s">
        <v>278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87"/>
      <c r="L220" s="124"/>
    </row>
    <row r="221" spans="1:8" ht="15.75" hidden="1">
      <c r="A221" s="23" t="s">
        <v>134</v>
      </c>
      <c r="B221" s="19">
        <v>903</v>
      </c>
      <c r="C221" s="24" t="s">
        <v>135</v>
      </c>
      <c r="D221" s="24"/>
      <c r="E221" s="24"/>
      <c r="F221" s="24"/>
      <c r="G221" s="21">
        <f aca="true" t="shared" si="0" ref="G221:G226">G222</f>
        <v>0</v>
      </c>
      <c r="H221" s="187"/>
    </row>
    <row r="222" spans="1:8" ht="15.75" hidden="1">
      <c r="A222" s="35" t="s">
        <v>156</v>
      </c>
      <c r="B222" s="19">
        <v>903</v>
      </c>
      <c r="C222" s="24" t="s">
        <v>135</v>
      </c>
      <c r="D222" s="24" t="s">
        <v>157</v>
      </c>
      <c r="E222" s="24"/>
      <c r="F222" s="24"/>
      <c r="G222" s="21">
        <f t="shared" si="0"/>
        <v>0</v>
      </c>
      <c r="H222" s="187"/>
    </row>
    <row r="223" spans="1:8" ht="15.75" hidden="1">
      <c r="A223" s="32" t="s">
        <v>138</v>
      </c>
      <c r="B223" s="16">
        <v>903</v>
      </c>
      <c r="C223" s="20" t="s">
        <v>135</v>
      </c>
      <c r="D223" s="20" t="s">
        <v>157</v>
      </c>
      <c r="E223" s="20" t="s">
        <v>139</v>
      </c>
      <c r="F223" s="20"/>
      <c r="G223" s="26">
        <f t="shared" si="0"/>
        <v>0</v>
      </c>
      <c r="H223" s="187"/>
    </row>
    <row r="224" spans="1:8" ht="15.75" hidden="1">
      <c r="A224" s="32" t="s">
        <v>158</v>
      </c>
      <c r="B224" s="16">
        <v>903</v>
      </c>
      <c r="C224" s="20" t="s">
        <v>135</v>
      </c>
      <c r="D224" s="20" t="s">
        <v>157</v>
      </c>
      <c r="E224" s="20" t="s">
        <v>159</v>
      </c>
      <c r="F224" s="20"/>
      <c r="G224" s="26">
        <f t="shared" si="0"/>
        <v>0</v>
      </c>
      <c r="H224" s="187"/>
    </row>
    <row r="225" spans="1:8" ht="15.75" hidden="1">
      <c r="A225" s="25" t="s">
        <v>196</v>
      </c>
      <c r="B225" s="16">
        <v>903</v>
      </c>
      <c r="C225" s="20" t="s">
        <v>135</v>
      </c>
      <c r="D225" s="20" t="s">
        <v>157</v>
      </c>
      <c r="E225" s="20" t="s">
        <v>279</v>
      </c>
      <c r="F225" s="20"/>
      <c r="G225" s="26">
        <f t="shared" si="0"/>
        <v>0</v>
      </c>
      <c r="H225" s="187"/>
    </row>
    <row r="226" spans="1:8" ht="31.5" hidden="1">
      <c r="A226" s="25" t="s">
        <v>148</v>
      </c>
      <c r="B226" s="16">
        <v>903</v>
      </c>
      <c r="C226" s="20" t="s">
        <v>135</v>
      </c>
      <c r="D226" s="20" t="s">
        <v>157</v>
      </c>
      <c r="E226" s="20" t="s">
        <v>279</v>
      </c>
      <c r="F226" s="20" t="s">
        <v>149</v>
      </c>
      <c r="G226" s="26">
        <f t="shared" si="0"/>
        <v>0</v>
      </c>
      <c r="H226" s="187"/>
    </row>
    <row r="227" spans="1:8" ht="47.25" hidden="1">
      <c r="A227" s="25" t="s">
        <v>150</v>
      </c>
      <c r="B227" s="16">
        <v>903</v>
      </c>
      <c r="C227" s="20" t="s">
        <v>135</v>
      </c>
      <c r="D227" s="20" t="s">
        <v>157</v>
      </c>
      <c r="E227" s="20" t="s">
        <v>279</v>
      </c>
      <c r="F227" s="20" t="s">
        <v>151</v>
      </c>
      <c r="G227" s="26"/>
      <c r="H227" s="187"/>
    </row>
    <row r="228" spans="1:8" ht="15.75">
      <c r="A228" s="23" t="s">
        <v>134</v>
      </c>
      <c r="B228" s="19">
        <v>903</v>
      </c>
      <c r="C228" s="24" t="s">
        <v>135</v>
      </c>
      <c r="D228" s="20"/>
      <c r="E228" s="20"/>
      <c r="F228" s="20"/>
      <c r="G228" s="26">
        <f aca="true" t="shared" si="1" ref="G228:G233">G229</f>
        <v>88.7</v>
      </c>
      <c r="H228" s="187"/>
    </row>
    <row r="229" spans="1:8" ht="15.75">
      <c r="A229" s="23" t="s">
        <v>156</v>
      </c>
      <c r="B229" s="19">
        <v>903</v>
      </c>
      <c r="C229" s="24" t="s">
        <v>135</v>
      </c>
      <c r="D229" s="24" t="s">
        <v>157</v>
      </c>
      <c r="E229" s="20"/>
      <c r="F229" s="20"/>
      <c r="G229" s="26">
        <f t="shared" si="1"/>
        <v>88.7</v>
      </c>
      <c r="H229" s="187"/>
    </row>
    <row r="230" spans="1:8" ht="15.75">
      <c r="A230" s="25" t="s">
        <v>138</v>
      </c>
      <c r="B230" s="16">
        <v>903</v>
      </c>
      <c r="C230" s="20" t="s">
        <v>135</v>
      </c>
      <c r="D230" s="20" t="s">
        <v>157</v>
      </c>
      <c r="E230" s="20" t="s">
        <v>139</v>
      </c>
      <c r="F230" s="20"/>
      <c r="G230" s="26">
        <f t="shared" si="1"/>
        <v>88.7</v>
      </c>
      <c r="H230" s="187"/>
    </row>
    <row r="231" spans="1:8" ht="31.5">
      <c r="A231" s="25" t="s">
        <v>202</v>
      </c>
      <c r="B231" s="16">
        <v>903</v>
      </c>
      <c r="C231" s="20" t="s">
        <v>135</v>
      </c>
      <c r="D231" s="20" t="s">
        <v>157</v>
      </c>
      <c r="E231" s="20" t="s">
        <v>203</v>
      </c>
      <c r="F231" s="20"/>
      <c r="G231" s="26">
        <f t="shared" si="1"/>
        <v>88.7</v>
      </c>
      <c r="H231" s="187"/>
    </row>
    <row r="232" spans="1:8" ht="47.25">
      <c r="A232" s="36" t="s">
        <v>760</v>
      </c>
      <c r="B232" s="16">
        <v>903</v>
      </c>
      <c r="C232" s="20" t="s">
        <v>135</v>
      </c>
      <c r="D232" s="20" t="s">
        <v>157</v>
      </c>
      <c r="E232" s="20" t="s">
        <v>759</v>
      </c>
      <c r="F232" s="24"/>
      <c r="G232" s="26">
        <f t="shared" si="1"/>
        <v>88.7</v>
      </c>
      <c r="H232" s="187"/>
    </row>
    <row r="233" spans="1:8" ht="31.5">
      <c r="A233" s="25" t="s">
        <v>148</v>
      </c>
      <c r="B233" s="16">
        <v>903</v>
      </c>
      <c r="C233" s="20" t="s">
        <v>135</v>
      </c>
      <c r="D233" s="20" t="s">
        <v>157</v>
      </c>
      <c r="E233" s="20" t="s">
        <v>759</v>
      </c>
      <c r="F233" s="20" t="s">
        <v>149</v>
      </c>
      <c r="G233" s="26">
        <f t="shared" si="1"/>
        <v>88.7</v>
      </c>
      <c r="H233" s="187"/>
    </row>
    <row r="234" spans="1:8" ht="53.25" customHeight="1">
      <c r="A234" s="25" t="s">
        <v>150</v>
      </c>
      <c r="B234" s="16">
        <v>903</v>
      </c>
      <c r="C234" s="20" t="s">
        <v>135</v>
      </c>
      <c r="D234" s="20" t="s">
        <v>157</v>
      </c>
      <c r="E234" s="20" t="s">
        <v>759</v>
      </c>
      <c r="F234" s="20" t="s">
        <v>151</v>
      </c>
      <c r="G234" s="172">
        <v>88.7</v>
      </c>
      <c r="H234" s="167" t="s">
        <v>754</v>
      </c>
    </row>
    <row r="235" spans="1:8" ht="15.75">
      <c r="A235" s="23" t="s">
        <v>280</v>
      </c>
      <c r="B235" s="19">
        <v>903</v>
      </c>
      <c r="C235" s="24" t="s">
        <v>281</v>
      </c>
      <c r="D235" s="20"/>
      <c r="E235" s="20"/>
      <c r="F235" s="20"/>
      <c r="G235" s="21">
        <f>G236+G271</f>
        <v>17482.699999999997</v>
      </c>
      <c r="H235" s="187"/>
    </row>
    <row r="236" spans="1:8" ht="15.75">
      <c r="A236" s="23" t="s">
        <v>282</v>
      </c>
      <c r="B236" s="19">
        <v>903</v>
      </c>
      <c r="C236" s="24" t="s">
        <v>281</v>
      </c>
      <c r="D236" s="24" t="s">
        <v>232</v>
      </c>
      <c r="E236" s="24"/>
      <c r="F236" s="24"/>
      <c r="G236" s="21">
        <f>G237+G260</f>
        <v>17482.699999999997</v>
      </c>
      <c r="H236" s="187"/>
    </row>
    <row r="237" spans="1:8" ht="47.25">
      <c r="A237" s="25" t="s">
        <v>283</v>
      </c>
      <c r="B237" s="16">
        <v>903</v>
      </c>
      <c r="C237" s="20" t="s">
        <v>281</v>
      </c>
      <c r="D237" s="20" t="s">
        <v>232</v>
      </c>
      <c r="E237" s="20" t="s">
        <v>284</v>
      </c>
      <c r="F237" s="20"/>
      <c r="G237" s="26">
        <f>G238</f>
        <v>16445.6</v>
      </c>
      <c r="H237" s="187"/>
    </row>
    <row r="238" spans="1:8" ht="63">
      <c r="A238" s="25" t="s">
        <v>285</v>
      </c>
      <c r="B238" s="16">
        <v>903</v>
      </c>
      <c r="C238" s="20" t="s">
        <v>281</v>
      </c>
      <c r="D238" s="20" t="s">
        <v>232</v>
      </c>
      <c r="E238" s="20" t="s">
        <v>286</v>
      </c>
      <c r="F238" s="20"/>
      <c r="G238" s="26">
        <f>G239+G251</f>
        <v>16445.6</v>
      </c>
      <c r="H238" s="187"/>
    </row>
    <row r="239" spans="1:8" ht="47.25">
      <c r="A239" s="25" t="s">
        <v>287</v>
      </c>
      <c r="B239" s="16">
        <v>903</v>
      </c>
      <c r="C239" s="20" t="s">
        <v>281</v>
      </c>
      <c r="D239" s="20" t="s">
        <v>232</v>
      </c>
      <c r="E239" s="20" t="s">
        <v>288</v>
      </c>
      <c r="F239" s="20"/>
      <c r="G239" s="26">
        <f>G240</f>
        <v>16395.6</v>
      </c>
      <c r="H239" s="187"/>
    </row>
    <row r="240" spans="1:8" ht="47.25">
      <c r="A240" s="25" t="s">
        <v>289</v>
      </c>
      <c r="B240" s="16">
        <v>903</v>
      </c>
      <c r="C240" s="20" t="s">
        <v>281</v>
      </c>
      <c r="D240" s="20" t="s">
        <v>232</v>
      </c>
      <c r="E240" s="20" t="s">
        <v>288</v>
      </c>
      <c r="F240" s="20" t="s">
        <v>290</v>
      </c>
      <c r="G240" s="26">
        <f>G241</f>
        <v>16395.6</v>
      </c>
      <c r="H240" s="187"/>
    </row>
    <row r="241" spans="1:9" ht="15.75">
      <c r="A241" s="25" t="s">
        <v>291</v>
      </c>
      <c r="B241" s="16">
        <v>903</v>
      </c>
      <c r="C241" s="20" t="s">
        <v>281</v>
      </c>
      <c r="D241" s="20" t="s">
        <v>232</v>
      </c>
      <c r="E241" s="20" t="s">
        <v>288</v>
      </c>
      <c r="F241" s="20" t="s">
        <v>292</v>
      </c>
      <c r="G241" s="27">
        <f>15572+756.3+67.3</f>
        <v>16395.6</v>
      </c>
      <c r="H241" s="114"/>
      <c r="I241" s="134"/>
    </row>
    <row r="242" spans="1:8" ht="47.25" hidden="1">
      <c r="A242" s="25" t="s">
        <v>293</v>
      </c>
      <c r="B242" s="16">
        <v>903</v>
      </c>
      <c r="C242" s="20" t="s">
        <v>281</v>
      </c>
      <c r="D242" s="20" t="s">
        <v>232</v>
      </c>
      <c r="E242" s="20" t="s">
        <v>294</v>
      </c>
      <c r="F242" s="20"/>
      <c r="G242" s="26">
        <f>G243</f>
        <v>0</v>
      </c>
      <c r="H242" s="187"/>
    </row>
    <row r="243" spans="1:8" ht="47.25" hidden="1">
      <c r="A243" s="25" t="s">
        <v>289</v>
      </c>
      <c r="B243" s="16">
        <v>903</v>
      </c>
      <c r="C243" s="20" t="s">
        <v>281</v>
      </c>
      <c r="D243" s="20" t="s">
        <v>232</v>
      </c>
      <c r="E243" s="20" t="s">
        <v>294</v>
      </c>
      <c r="F243" s="20" t="s">
        <v>290</v>
      </c>
      <c r="G243" s="26">
        <f>G244</f>
        <v>0</v>
      </c>
      <c r="H243" s="187"/>
    </row>
    <row r="244" spans="1:8" ht="15.75" hidden="1">
      <c r="A244" s="25" t="s">
        <v>291</v>
      </c>
      <c r="B244" s="16">
        <v>903</v>
      </c>
      <c r="C244" s="20" t="s">
        <v>281</v>
      </c>
      <c r="D244" s="20" t="s">
        <v>232</v>
      </c>
      <c r="E244" s="20" t="s">
        <v>294</v>
      </c>
      <c r="F244" s="20" t="s">
        <v>292</v>
      </c>
      <c r="G244" s="26">
        <v>0</v>
      </c>
      <c r="H244" s="187"/>
    </row>
    <row r="245" spans="1:8" ht="47.25" hidden="1">
      <c r="A245" s="25" t="s">
        <v>295</v>
      </c>
      <c r="B245" s="16">
        <v>903</v>
      </c>
      <c r="C245" s="20" t="s">
        <v>281</v>
      </c>
      <c r="D245" s="20" t="s">
        <v>232</v>
      </c>
      <c r="E245" s="20" t="s">
        <v>296</v>
      </c>
      <c r="F245" s="20"/>
      <c r="G245" s="26">
        <f>G246</f>
        <v>0</v>
      </c>
      <c r="H245" s="187"/>
    </row>
    <row r="246" spans="1:8" ht="47.25" hidden="1">
      <c r="A246" s="25" t="s">
        <v>289</v>
      </c>
      <c r="B246" s="16">
        <v>903</v>
      </c>
      <c r="C246" s="20" t="s">
        <v>281</v>
      </c>
      <c r="D246" s="20" t="s">
        <v>232</v>
      </c>
      <c r="E246" s="20" t="s">
        <v>296</v>
      </c>
      <c r="F246" s="20" t="s">
        <v>290</v>
      </c>
      <c r="G246" s="26">
        <f>G247</f>
        <v>0</v>
      </c>
      <c r="H246" s="187"/>
    </row>
    <row r="247" spans="1:8" ht="15.75" hidden="1">
      <c r="A247" s="25" t="s">
        <v>291</v>
      </c>
      <c r="B247" s="16">
        <v>903</v>
      </c>
      <c r="C247" s="20" t="s">
        <v>281</v>
      </c>
      <c r="D247" s="20" t="s">
        <v>232</v>
      </c>
      <c r="E247" s="20" t="s">
        <v>296</v>
      </c>
      <c r="F247" s="20" t="s">
        <v>292</v>
      </c>
      <c r="G247" s="26">
        <v>0</v>
      </c>
      <c r="H247" s="187"/>
    </row>
    <row r="248" spans="1:8" ht="31.5" hidden="1">
      <c r="A248" s="25" t="s">
        <v>297</v>
      </c>
      <c r="B248" s="16">
        <v>903</v>
      </c>
      <c r="C248" s="20" t="s">
        <v>281</v>
      </c>
      <c r="D248" s="20" t="s">
        <v>232</v>
      </c>
      <c r="E248" s="20" t="s">
        <v>298</v>
      </c>
      <c r="F248" s="20"/>
      <c r="G248" s="26">
        <f>G249</f>
        <v>0</v>
      </c>
      <c r="H248" s="187"/>
    </row>
    <row r="249" spans="1:8" ht="47.25" hidden="1">
      <c r="A249" s="25" t="s">
        <v>289</v>
      </c>
      <c r="B249" s="16">
        <v>903</v>
      </c>
      <c r="C249" s="20" t="s">
        <v>281</v>
      </c>
      <c r="D249" s="20" t="s">
        <v>232</v>
      </c>
      <c r="E249" s="20" t="s">
        <v>298</v>
      </c>
      <c r="F249" s="20" t="s">
        <v>290</v>
      </c>
      <c r="G249" s="26">
        <f>G250</f>
        <v>0</v>
      </c>
      <c r="H249" s="187"/>
    </row>
    <row r="250" spans="1:8" ht="15.75" hidden="1">
      <c r="A250" s="25" t="s">
        <v>291</v>
      </c>
      <c r="B250" s="16">
        <v>903</v>
      </c>
      <c r="C250" s="20" t="s">
        <v>281</v>
      </c>
      <c r="D250" s="20" t="s">
        <v>232</v>
      </c>
      <c r="E250" s="20" t="s">
        <v>298</v>
      </c>
      <c r="F250" s="20" t="s">
        <v>292</v>
      </c>
      <c r="G250" s="26">
        <v>0</v>
      </c>
      <c r="H250" s="187"/>
    </row>
    <row r="251" spans="1:8" ht="47.25">
      <c r="A251" s="25" t="s">
        <v>299</v>
      </c>
      <c r="B251" s="16">
        <v>903</v>
      </c>
      <c r="C251" s="20" t="s">
        <v>281</v>
      </c>
      <c r="D251" s="20" t="s">
        <v>232</v>
      </c>
      <c r="E251" s="20" t="s">
        <v>300</v>
      </c>
      <c r="F251" s="20"/>
      <c r="G251" s="26">
        <f>G252</f>
        <v>50</v>
      </c>
      <c r="H251" s="187"/>
    </row>
    <row r="252" spans="1:8" ht="47.25">
      <c r="A252" s="25" t="s">
        <v>289</v>
      </c>
      <c r="B252" s="16">
        <v>903</v>
      </c>
      <c r="C252" s="20" t="s">
        <v>281</v>
      </c>
      <c r="D252" s="20" t="s">
        <v>232</v>
      </c>
      <c r="E252" s="20" t="s">
        <v>300</v>
      </c>
      <c r="F252" s="20" t="s">
        <v>290</v>
      </c>
      <c r="G252" s="26">
        <f>G253</f>
        <v>50</v>
      </c>
      <c r="H252" s="187"/>
    </row>
    <row r="253" spans="1:8" ht="15.75">
      <c r="A253" s="25" t="s">
        <v>291</v>
      </c>
      <c r="B253" s="16">
        <v>903</v>
      </c>
      <c r="C253" s="20" t="s">
        <v>281</v>
      </c>
      <c r="D253" s="20" t="s">
        <v>232</v>
      </c>
      <c r="E253" s="20" t="s">
        <v>300</v>
      </c>
      <c r="F253" s="20" t="s">
        <v>292</v>
      </c>
      <c r="G253" s="26">
        <v>50</v>
      </c>
      <c r="H253" s="187"/>
    </row>
    <row r="254" spans="1:8" ht="31.5" hidden="1">
      <c r="A254" s="25" t="s">
        <v>301</v>
      </c>
      <c r="B254" s="16">
        <v>903</v>
      </c>
      <c r="C254" s="20" t="s">
        <v>281</v>
      </c>
      <c r="D254" s="20" t="s">
        <v>232</v>
      </c>
      <c r="E254" s="20" t="s">
        <v>302</v>
      </c>
      <c r="F254" s="20"/>
      <c r="G254" s="26">
        <f>G255</f>
        <v>0</v>
      </c>
      <c r="H254" s="187"/>
    </row>
    <row r="255" spans="1:8" ht="47.25" hidden="1">
      <c r="A255" s="25" t="s">
        <v>289</v>
      </c>
      <c r="B255" s="16">
        <v>903</v>
      </c>
      <c r="C255" s="20" t="s">
        <v>281</v>
      </c>
      <c r="D255" s="20" t="s">
        <v>232</v>
      </c>
      <c r="E255" s="20" t="s">
        <v>303</v>
      </c>
      <c r="F255" s="20" t="s">
        <v>290</v>
      </c>
      <c r="G255" s="26">
        <f>G256</f>
        <v>0</v>
      </c>
      <c r="H255" s="187"/>
    </row>
    <row r="256" spans="1:8" ht="15.75" hidden="1">
      <c r="A256" s="25" t="s">
        <v>291</v>
      </c>
      <c r="B256" s="16">
        <v>903</v>
      </c>
      <c r="C256" s="20" t="s">
        <v>281</v>
      </c>
      <c r="D256" s="20" t="s">
        <v>232</v>
      </c>
      <c r="E256" s="20" t="s">
        <v>303</v>
      </c>
      <c r="F256" s="20" t="s">
        <v>292</v>
      </c>
      <c r="G256" s="26">
        <v>0</v>
      </c>
      <c r="H256" s="187"/>
    </row>
    <row r="257" spans="1:8" ht="47.25" hidden="1">
      <c r="A257" s="36" t="s">
        <v>304</v>
      </c>
      <c r="B257" s="16">
        <v>903</v>
      </c>
      <c r="C257" s="20" t="s">
        <v>281</v>
      </c>
      <c r="D257" s="20" t="s">
        <v>232</v>
      </c>
      <c r="E257" s="20" t="s">
        <v>305</v>
      </c>
      <c r="F257" s="20"/>
      <c r="G257" s="26">
        <f>G258</f>
        <v>0</v>
      </c>
      <c r="H257" s="187"/>
    </row>
    <row r="258" spans="1:8" ht="47.25" hidden="1">
      <c r="A258" s="25" t="s">
        <v>289</v>
      </c>
      <c r="B258" s="16">
        <v>903</v>
      </c>
      <c r="C258" s="20" t="s">
        <v>281</v>
      </c>
      <c r="D258" s="20" t="s">
        <v>232</v>
      </c>
      <c r="E258" s="20" t="s">
        <v>305</v>
      </c>
      <c r="F258" s="20" t="s">
        <v>290</v>
      </c>
      <c r="G258" s="26">
        <f>G259</f>
        <v>0</v>
      </c>
      <c r="H258" s="187"/>
    </row>
    <row r="259" spans="1:8" ht="15.75" hidden="1">
      <c r="A259" s="25" t="s">
        <v>291</v>
      </c>
      <c r="B259" s="16">
        <v>903</v>
      </c>
      <c r="C259" s="20" t="s">
        <v>281</v>
      </c>
      <c r="D259" s="20" t="s">
        <v>232</v>
      </c>
      <c r="E259" s="20" t="s">
        <v>305</v>
      </c>
      <c r="F259" s="20" t="s">
        <v>292</v>
      </c>
      <c r="G259" s="26">
        <v>0</v>
      </c>
      <c r="H259" s="187"/>
    </row>
    <row r="260" spans="1:8" ht="15.75">
      <c r="A260" s="25" t="s">
        <v>138</v>
      </c>
      <c r="B260" s="16">
        <v>903</v>
      </c>
      <c r="C260" s="20" t="s">
        <v>281</v>
      </c>
      <c r="D260" s="20" t="s">
        <v>232</v>
      </c>
      <c r="E260" s="20" t="s">
        <v>139</v>
      </c>
      <c r="F260" s="20"/>
      <c r="G260" s="26">
        <f>G261</f>
        <v>1037.1000000000001</v>
      </c>
      <c r="H260" s="187"/>
    </row>
    <row r="261" spans="1:8" ht="31.5">
      <c r="A261" s="25" t="s">
        <v>202</v>
      </c>
      <c r="B261" s="16">
        <v>903</v>
      </c>
      <c r="C261" s="20" t="s">
        <v>281</v>
      </c>
      <c r="D261" s="20" t="s">
        <v>232</v>
      </c>
      <c r="E261" s="20" t="s">
        <v>203</v>
      </c>
      <c r="F261" s="20"/>
      <c r="G261" s="26">
        <f>G262+G265+G268</f>
        <v>1037.1000000000001</v>
      </c>
      <c r="H261" s="187"/>
    </row>
    <row r="262" spans="1:8" ht="63">
      <c r="A262" s="32" t="s">
        <v>306</v>
      </c>
      <c r="B262" s="16">
        <v>903</v>
      </c>
      <c r="C262" s="20" t="s">
        <v>281</v>
      </c>
      <c r="D262" s="20" t="s">
        <v>232</v>
      </c>
      <c r="E262" s="20" t="s">
        <v>307</v>
      </c>
      <c r="F262" s="20"/>
      <c r="G262" s="26">
        <f>G263</f>
        <v>126.69999999999999</v>
      </c>
      <c r="H262" s="187"/>
    </row>
    <row r="263" spans="1:8" ht="47.25">
      <c r="A263" s="25" t="s">
        <v>289</v>
      </c>
      <c r="B263" s="16">
        <v>903</v>
      </c>
      <c r="C263" s="20" t="s">
        <v>281</v>
      </c>
      <c r="D263" s="20" t="s">
        <v>232</v>
      </c>
      <c r="E263" s="20" t="s">
        <v>307</v>
      </c>
      <c r="F263" s="20" t="s">
        <v>290</v>
      </c>
      <c r="G263" s="26">
        <f>G264</f>
        <v>126.69999999999999</v>
      </c>
      <c r="H263" s="187"/>
    </row>
    <row r="264" spans="1:9" ht="15.75">
      <c r="A264" s="25" t="s">
        <v>291</v>
      </c>
      <c r="B264" s="16">
        <v>903</v>
      </c>
      <c r="C264" s="20" t="s">
        <v>281</v>
      </c>
      <c r="D264" s="20" t="s">
        <v>232</v>
      </c>
      <c r="E264" s="20" t="s">
        <v>307</v>
      </c>
      <c r="F264" s="20" t="s">
        <v>292</v>
      </c>
      <c r="G264" s="26">
        <f>162.6-35.9</f>
        <v>126.69999999999999</v>
      </c>
      <c r="H264" s="187"/>
      <c r="I264" s="123"/>
    </row>
    <row r="265" spans="1:8" ht="78.75">
      <c r="A265" s="32" t="s">
        <v>308</v>
      </c>
      <c r="B265" s="16">
        <v>903</v>
      </c>
      <c r="C265" s="20" t="s">
        <v>281</v>
      </c>
      <c r="D265" s="20" t="s">
        <v>232</v>
      </c>
      <c r="E265" s="20" t="s">
        <v>309</v>
      </c>
      <c r="F265" s="20"/>
      <c r="G265" s="26">
        <f>G266</f>
        <v>310.70000000000005</v>
      </c>
      <c r="H265" s="187"/>
    </row>
    <row r="266" spans="1:8" ht="47.25">
      <c r="A266" s="25" t="s">
        <v>289</v>
      </c>
      <c r="B266" s="16">
        <v>903</v>
      </c>
      <c r="C266" s="20" t="s">
        <v>281</v>
      </c>
      <c r="D266" s="20" t="s">
        <v>232</v>
      </c>
      <c r="E266" s="20" t="s">
        <v>309</v>
      </c>
      <c r="F266" s="20" t="s">
        <v>290</v>
      </c>
      <c r="G266" s="26">
        <f>G267</f>
        <v>310.70000000000005</v>
      </c>
      <c r="H266" s="187"/>
    </row>
    <row r="267" spans="1:9" ht="15.75">
      <c r="A267" s="25" t="s">
        <v>291</v>
      </c>
      <c r="B267" s="16">
        <v>903</v>
      </c>
      <c r="C267" s="20" t="s">
        <v>281</v>
      </c>
      <c r="D267" s="20" t="s">
        <v>232</v>
      </c>
      <c r="E267" s="20" t="s">
        <v>309</v>
      </c>
      <c r="F267" s="20" t="s">
        <v>292</v>
      </c>
      <c r="G267" s="26">
        <f>393.3-82.6</f>
        <v>310.70000000000005</v>
      </c>
      <c r="H267" s="187"/>
      <c r="I267" s="123"/>
    </row>
    <row r="268" spans="1:8" ht="110.25">
      <c r="A268" s="32" t="s">
        <v>310</v>
      </c>
      <c r="B268" s="16">
        <v>903</v>
      </c>
      <c r="C268" s="20" t="s">
        <v>281</v>
      </c>
      <c r="D268" s="20" t="s">
        <v>232</v>
      </c>
      <c r="E268" s="20" t="s">
        <v>311</v>
      </c>
      <c r="F268" s="20"/>
      <c r="G268" s="26">
        <f>G269</f>
        <v>599.7</v>
      </c>
      <c r="H268" s="187"/>
    </row>
    <row r="269" spans="1:8" ht="47.25">
      <c r="A269" s="25" t="s">
        <v>289</v>
      </c>
      <c r="B269" s="16">
        <v>903</v>
      </c>
      <c r="C269" s="20" t="s">
        <v>281</v>
      </c>
      <c r="D269" s="20" t="s">
        <v>232</v>
      </c>
      <c r="E269" s="20" t="s">
        <v>311</v>
      </c>
      <c r="F269" s="20" t="s">
        <v>290</v>
      </c>
      <c r="G269" s="26">
        <f>G270</f>
        <v>599.7</v>
      </c>
      <c r="H269" s="187"/>
    </row>
    <row r="270" spans="1:9" ht="15.75">
      <c r="A270" s="25" t="s">
        <v>291</v>
      </c>
      <c r="B270" s="16">
        <v>903</v>
      </c>
      <c r="C270" s="20" t="s">
        <v>281</v>
      </c>
      <c r="D270" s="20" t="s">
        <v>232</v>
      </c>
      <c r="E270" s="20" t="s">
        <v>311</v>
      </c>
      <c r="F270" s="20" t="s">
        <v>292</v>
      </c>
      <c r="G270" s="26">
        <f>600-0.3</f>
        <v>599.7</v>
      </c>
      <c r="H270" s="187"/>
      <c r="I270" s="123"/>
    </row>
    <row r="271" spans="1:8" ht="15.75" hidden="1">
      <c r="A271" s="23" t="s">
        <v>312</v>
      </c>
      <c r="B271" s="19">
        <v>903</v>
      </c>
      <c r="C271" s="24" t="s">
        <v>281</v>
      </c>
      <c r="D271" s="24" t="s">
        <v>236</v>
      </c>
      <c r="E271" s="24"/>
      <c r="F271" s="24"/>
      <c r="G271" s="26">
        <f>G272</f>
        <v>0</v>
      </c>
      <c r="H271" s="187"/>
    </row>
    <row r="272" spans="1:8" ht="15.75" hidden="1">
      <c r="A272" s="25" t="s">
        <v>138</v>
      </c>
      <c r="B272" s="16">
        <v>903</v>
      </c>
      <c r="C272" s="20" t="s">
        <v>281</v>
      </c>
      <c r="D272" s="20" t="s">
        <v>236</v>
      </c>
      <c r="E272" s="20" t="s">
        <v>139</v>
      </c>
      <c r="F272" s="20"/>
      <c r="G272" s="26">
        <f>G273</f>
        <v>0</v>
      </c>
      <c r="H272" s="187"/>
    </row>
    <row r="273" spans="1:8" ht="31.5" hidden="1">
      <c r="A273" s="25" t="s">
        <v>202</v>
      </c>
      <c r="B273" s="16">
        <v>903</v>
      </c>
      <c r="C273" s="20" t="s">
        <v>281</v>
      </c>
      <c r="D273" s="20" t="s">
        <v>236</v>
      </c>
      <c r="E273" s="20" t="s">
        <v>203</v>
      </c>
      <c r="F273" s="20"/>
      <c r="G273" s="26">
        <f>G274</f>
        <v>0</v>
      </c>
      <c r="H273" s="187"/>
    </row>
    <row r="274" spans="1:8" ht="31.5" hidden="1">
      <c r="A274" s="37" t="s">
        <v>313</v>
      </c>
      <c r="B274" s="38">
        <v>903</v>
      </c>
      <c r="C274" s="20" t="s">
        <v>281</v>
      </c>
      <c r="D274" s="20" t="s">
        <v>236</v>
      </c>
      <c r="E274" s="20" t="s">
        <v>314</v>
      </c>
      <c r="F274" s="20"/>
      <c r="G274" s="26">
        <f>G275</f>
        <v>0</v>
      </c>
      <c r="H274" s="187"/>
    </row>
    <row r="275" spans="1:8" ht="15.75" hidden="1">
      <c r="A275" s="25" t="s">
        <v>152</v>
      </c>
      <c r="B275" s="16">
        <v>903</v>
      </c>
      <c r="C275" s="20" t="s">
        <v>281</v>
      </c>
      <c r="D275" s="20" t="s">
        <v>236</v>
      </c>
      <c r="E275" s="20" t="s">
        <v>314</v>
      </c>
      <c r="F275" s="20" t="s">
        <v>162</v>
      </c>
      <c r="G275" s="26">
        <f>G276</f>
        <v>0</v>
      </c>
      <c r="H275" s="187"/>
    </row>
    <row r="276" spans="1:8" ht="63" hidden="1">
      <c r="A276" s="25" t="s">
        <v>201</v>
      </c>
      <c r="B276" s="16">
        <v>903</v>
      </c>
      <c r="C276" s="20" t="s">
        <v>281</v>
      </c>
      <c r="D276" s="20" t="s">
        <v>236</v>
      </c>
      <c r="E276" s="20" t="s">
        <v>314</v>
      </c>
      <c r="F276" s="20" t="s">
        <v>177</v>
      </c>
      <c r="G276" s="26"/>
      <c r="H276" s="187"/>
    </row>
    <row r="277" spans="1:8" ht="15.75">
      <c r="A277" s="23" t="s">
        <v>315</v>
      </c>
      <c r="B277" s="19">
        <v>903</v>
      </c>
      <c r="C277" s="24" t="s">
        <v>316</v>
      </c>
      <c r="D277" s="24"/>
      <c r="E277" s="24"/>
      <c r="F277" s="24"/>
      <c r="G277" s="21">
        <f>G278+G358</f>
        <v>61699.8</v>
      </c>
      <c r="H277" s="187"/>
    </row>
    <row r="278" spans="1:8" ht="15.75">
      <c r="A278" s="23" t="s">
        <v>317</v>
      </c>
      <c r="B278" s="19">
        <v>903</v>
      </c>
      <c r="C278" s="24" t="s">
        <v>316</v>
      </c>
      <c r="D278" s="24" t="s">
        <v>135</v>
      </c>
      <c r="E278" s="24"/>
      <c r="F278" s="24"/>
      <c r="G278" s="21">
        <f>G279+G337+G333</f>
        <v>44421.00000000001</v>
      </c>
      <c r="H278" s="187"/>
    </row>
    <row r="279" spans="1:8" ht="47.25">
      <c r="A279" s="25" t="s">
        <v>283</v>
      </c>
      <c r="B279" s="16">
        <v>903</v>
      </c>
      <c r="C279" s="20" t="s">
        <v>316</v>
      </c>
      <c r="D279" s="20" t="s">
        <v>135</v>
      </c>
      <c r="E279" s="20" t="s">
        <v>284</v>
      </c>
      <c r="F279" s="20"/>
      <c r="G279" s="26">
        <f>G280+G306</f>
        <v>42083.100000000006</v>
      </c>
      <c r="H279" s="187"/>
    </row>
    <row r="280" spans="1:8" ht="63">
      <c r="A280" s="25" t="s">
        <v>318</v>
      </c>
      <c r="B280" s="16">
        <v>903</v>
      </c>
      <c r="C280" s="20" t="s">
        <v>316</v>
      </c>
      <c r="D280" s="20" t="s">
        <v>135</v>
      </c>
      <c r="E280" s="20" t="s">
        <v>319</v>
      </c>
      <c r="F280" s="20"/>
      <c r="G280" s="26">
        <f>G281+G299+G284+G287+G290+G293+G296</f>
        <v>25422.5</v>
      </c>
      <c r="H280" s="187"/>
    </row>
    <row r="281" spans="1:8" ht="52.5" customHeight="1">
      <c r="A281" s="25" t="s">
        <v>320</v>
      </c>
      <c r="B281" s="16">
        <v>903</v>
      </c>
      <c r="C281" s="20" t="s">
        <v>316</v>
      </c>
      <c r="D281" s="20" t="s">
        <v>135</v>
      </c>
      <c r="E281" s="20" t="s">
        <v>321</v>
      </c>
      <c r="F281" s="20"/>
      <c r="G281" s="26">
        <f>G282</f>
        <v>23654.800000000003</v>
      </c>
      <c r="H281" s="187"/>
    </row>
    <row r="282" spans="1:8" ht="47.25">
      <c r="A282" s="25" t="s">
        <v>289</v>
      </c>
      <c r="B282" s="16">
        <v>903</v>
      </c>
      <c r="C282" s="20" t="s">
        <v>316</v>
      </c>
      <c r="D282" s="20" t="s">
        <v>135</v>
      </c>
      <c r="E282" s="20" t="s">
        <v>321</v>
      </c>
      <c r="F282" s="20" t="s">
        <v>290</v>
      </c>
      <c r="G282" s="26">
        <f>G283</f>
        <v>23654.800000000003</v>
      </c>
      <c r="H282" s="187"/>
    </row>
    <row r="283" spans="1:9" ht="15.75">
      <c r="A283" s="25" t="s">
        <v>291</v>
      </c>
      <c r="B283" s="16">
        <v>903</v>
      </c>
      <c r="C283" s="20" t="s">
        <v>316</v>
      </c>
      <c r="D283" s="20" t="s">
        <v>135</v>
      </c>
      <c r="E283" s="20" t="s">
        <v>321</v>
      </c>
      <c r="F283" s="20" t="s">
        <v>292</v>
      </c>
      <c r="G283" s="27">
        <f>25081.9+2671.4-3136.8-961.7</f>
        <v>23654.800000000003</v>
      </c>
      <c r="H283" s="114"/>
      <c r="I283" s="134"/>
    </row>
    <row r="284" spans="1:12" ht="47.25">
      <c r="A284" s="25" t="s">
        <v>726</v>
      </c>
      <c r="B284" s="16">
        <v>903</v>
      </c>
      <c r="C284" s="20" t="s">
        <v>316</v>
      </c>
      <c r="D284" s="20" t="s">
        <v>135</v>
      </c>
      <c r="E284" s="20" t="s">
        <v>322</v>
      </c>
      <c r="F284" s="20"/>
      <c r="G284" s="26">
        <f>G285</f>
        <v>96.1</v>
      </c>
      <c r="H284" s="187"/>
      <c r="L284" s="125"/>
    </row>
    <row r="285" spans="1:8" ht="47.25">
      <c r="A285" s="25" t="s">
        <v>289</v>
      </c>
      <c r="B285" s="16">
        <v>903</v>
      </c>
      <c r="C285" s="20" t="s">
        <v>316</v>
      </c>
      <c r="D285" s="20" t="s">
        <v>135</v>
      </c>
      <c r="E285" s="20" t="s">
        <v>322</v>
      </c>
      <c r="F285" s="20" t="s">
        <v>290</v>
      </c>
      <c r="G285" s="26">
        <f>G286</f>
        <v>96.1</v>
      </c>
      <c r="H285" s="187"/>
    </row>
    <row r="286" spans="1:8" ht="15.75">
      <c r="A286" s="25" t="s">
        <v>291</v>
      </c>
      <c r="B286" s="16">
        <v>903</v>
      </c>
      <c r="C286" s="20" t="s">
        <v>316</v>
      </c>
      <c r="D286" s="20" t="s">
        <v>135</v>
      </c>
      <c r="E286" s="20" t="s">
        <v>322</v>
      </c>
      <c r="F286" s="20" t="s">
        <v>292</v>
      </c>
      <c r="G286" s="26">
        <v>96.1</v>
      </c>
      <c r="H286" s="114"/>
    </row>
    <row r="287" spans="1:8" ht="47.25">
      <c r="A287" s="25" t="s">
        <v>295</v>
      </c>
      <c r="B287" s="16">
        <v>903</v>
      </c>
      <c r="C287" s="20" t="s">
        <v>316</v>
      </c>
      <c r="D287" s="20" t="s">
        <v>135</v>
      </c>
      <c r="E287" s="20" t="s">
        <v>323</v>
      </c>
      <c r="F287" s="20"/>
      <c r="G287" s="26">
        <f>G288</f>
        <v>142.1</v>
      </c>
      <c r="H287" s="187"/>
    </row>
    <row r="288" spans="1:8" ht="47.25">
      <c r="A288" s="25" t="s">
        <v>289</v>
      </c>
      <c r="B288" s="16">
        <v>903</v>
      </c>
      <c r="C288" s="20" t="s">
        <v>316</v>
      </c>
      <c r="D288" s="20" t="s">
        <v>135</v>
      </c>
      <c r="E288" s="20" t="s">
        <v>323</v>
      </c>
      <c r="F288" s="20" t="s">
        <v>290</v>
      </c>
      <c r="G288" s="26">
        <f>G289</f>
        <v>142.1</v>
      </c>
      <c r="H288" s="187"/>
    </row>
    <row r="289" spans="1:9" ht="15.75">
      <c r="A289" s="25" t="s">
        <v>291</v>
      </c>
      <c r="B289" s="16">
        <v>903</v>
      </c>
      <c r="C289" s="20" t="s">
        <v>316</v>
      </c>
      <c r="D289" s="20" t="s">
        <v>135</v>
      </c>
      <c r="E289" s="20" t="s">
        <v>323</v>
      </c>
      <c r="F289" s="20" t="s">
        <v>292</v>
      </c>
      <c r="G289" s="26">
        <v>142.1</v>
      </c>
      <c r="H289" s="187"/>
      <c r="I289" s="123"/>
    </row>
    <row r="290" spans="1:8" ht="15.75">
      <c r="A290" s="25" t="s">
        <v>324</v>
      </c>
      <c r="B290" s="16">
        <v>903</v>
      </c>
      <c r="C290" s="20" t="s">
        <v>316</v>
      </c>
      <c r="D290" s="20" t="s">
        <v>135</v>
      </c>
      <c r="E290" s="20" t="s">
        <v>325</v>
      </c>
      <c r="F290" s="20"/>
      <c r="G290" s="26">
        <f>G291</f>
        <v>1529.5</v>
      </c>
      <c r="H290" s="187"/>
    </row>
    <row r="291" spans="1:8" ht="47.25">
      <c r="A291" s="25" t="s">
        <v>289</v>
      </c>
      <c r="B291" s="16">
        <v>903</v>
      </c>
      <c r="C291" s="20" t="s">
        <v>316</v>
      </c>
      <c r="D291" s="20" t="s">
        <v>135</v>
      </c>
      <c r="E291" s="20" t="s">
        <v>325</v>
      </c>
      <c r="F291" s="20" t="s">
        <v>290</v>
      </c>
      <c r="G291" s="26">
        <f>G292</f>
        <v>1529.5</v>
      </c>
      <c r="H291" s="187"/>
    </row>
    <row r="292" spans="1:10" ht="15.75">
      <c r="A292" s="25" t="s">
        <v>291</v>
      </c>
      <c r="B292" s="16">
        <v>903</v>
      </c>
      <c r="C292" s="20" t="s">
        <v>316</v>
      </c>
      <c r="D292" s="20" t="s">
        <v>135</v>
      </c>
      <c r="E292" s="20" t="s">
        <v>325</v>
      </c>
      <c r="F292" s="20" t="s">
        <v>292</v>
      </c>
      <c r="G292" s="26">
        <f>411.9+1117.6</f>
        <v>1529.5</v>
      </c>
      <c r="H292" s="114"/>
      <c r="I292" s="134"/>
      <c r="J292" s="117"/>
    </row>
    <row r="293" spans="1:8" ht="31.5" hidden="1">
      <c r="A293" s="25" t="s">
        <v>301</v>
      </c>
      <c r="B293" s="16">
        <v>903</v>
      </c>
      <c r="C293" s="20" t="s">
        <v>316</v>
      </c>
      <c r="D293" s="20" t="s">
        <v>135</v>
      </c>
      <c r="E293" s="20" t="s">
        <v>302</v>
      </c>
      <c r="F293" s="20"/>
      <c r="G293" s="26">
        <f>G294</f>
        <v>0</v>
      </c>
      <c r="H293" s="187"/>
    </row>
    <row r="294" spans="1:8" ht="47.25" hidden="1">
      <c r="A294" s="25" t="s">
        <v>289</v>
      </c>
      <c r="B294" s="16">
        <v>903</v>
      </c>
      <c r="C294" s="20" t="s">
        <v>316</v>
      </c>
      <c r="D294" s="20" t="s">
        <v>135</v>
      </c>
      <c r="E294" s="20" t="s">
        <v>302</v>
      </c>
      <c r="F294" s="20" t="s">
        <v>290</v>
      </c>
      <c r="G294" s="26">
        <f>G295</f>
        <v>0</v>
      </c>
      <c r="H294" s="187"/>
    </row>
    <row r="295" spans="1:8" ht="15.75" hidden="1">
      <c r="A295" s="25" t="s">
        <v>291</v>
      </c>
      <c r="B295" s="16">
        <v>903</v>
      </c>
      <c r="C295" s="20" t="s">
        <v>316</v>
      </c>
      <c r="D295" s="20" t="s">
        <v>135</v>
      </c>
      <c r="E295" s="20" t="s">
        <v>302</v>
      </c>
      <c r="F295" s="20" t="s">
        <v>292</v>
      </c>
      <c r="G295" s="26">
        <v>0</v>
      </c>
      <c r="H295" s="187"/>
    </row>
    <row r="296" spans="1:8" ht="47.25" hidden="1">
      <c r="A296" s="36" t="s">
        <v>304</v>
      </c>
      <c r="B296" s="16">
        <v>903</v>
      </c>
      <c r="C296" s="20" t="s">
        <v>316</v>
      </c>
      <c r="D296" s="20" t="s">
        <v>135</v>
      </c>
      <c r="E296" s="20" t="s">
        <v>326</v>
      </c>
      <c r="F296" s="20"/>
      <c r="G296" s="26">
        <f>G297</f>
        <v>0</v>
      </c>
      <c r="H296" s="187"/>
    </row>
    <row r="297" spans="1:8" ht="47.25" hidden="1">
      <c r="A297" s="25" t="s">
        <v>289</v>
      </c>
      <c r="B297" s="16">
        <v>903</v>
      </c>
      <c r="C297" s="20" t="s">
        <v>316</v>
      </c>
      <c r="D297" s="20" t="s">
        <v>135</v>
      </c>
      <c r="E297" s="20" t="s">
        <v>326</v>
      </c>
      <c r="F297" s="20" t="s">
        <v>290</v>
      </c>
      <c r="G297" s="26">
        <f>G298</f>
        <v>0</v>
      </c>
      <c r="H297" s="187"/>
    </row>
    <row r="298" spans="1:8" ht="15.75" hidden="1">
      <c r="A298" s="25" t="s">
        <v>291</v>
      </c>
      <c r="B298" s="16">
        <v>903</v>
      </c>
      <c r="C298" s="20" t="s">
        <v>316</v>
      </c>
      <c r="D298" s="20" t="s">
        <v>135</v>
      </c>
      <c r="E298" s="20" t="s">
        <v>326</v>
      </c>
      <c r="F298" s="20" t="s">
        <v>292</v>
      </c>
      <c r="G298" s="26">
        <v>0</v>
      </c>
      <c r="H298" s="187"/>
    </row>
    <row r="299" spans="1:8" ht="47.25" customHeight="1" hidden="1">
      <c r="A299" s="25" t="s">
        <v>327</v>
      </c>
      <c r="B299" s="16">
        <v>903</v>
      </c>
      <c r="C299" s="20" t="s">
        <v>316</v>
      </c>
      <c r="D299" s="20" t="s">
        <v>135</v>
      </c>
      <c r="E299" s="20" t="s">
        <v>328</v>
      </c>
      <c r="F299" s="20"/>
      <c r="G299" s="26">
        <f>G300+G302+G304</f>
        <v>0</v>
      </c>
      <c r="H299" s="187"/>
    </row>
    <row r="300" spans="1:8" ht="94.5" hidden="1">
      <c r="A300" s="25" t="s">
        <v>144</v>
      </c>
      <c r="B300" s="16">
        <v>903</v>
      </c>
      <c r="C300" s="20" t="s">
        <v>316</v>
      </c>
      <c r="D300" s="20" t="s">
        <v>135</v>
      </c>
      <c r="E300" s="20" t="s">
        <v>328</v>
      </c>
      <c r="F300" s="20" t="s">
        <v>145</v>
      </c>
      <c r="G300" s="26">
        <f>G301</f>
        <v>0</v>
      </c>
      <c r="H300" s="187"/>
    </row>
    <row r="301" spans="1:8" ht="31.5" hidden="1">
      <c r="A301" s="25" t="s">
        <v>225</v>
      </c>
      <c r="B301" s="16">
        <v>903</v>
      </c>
      <c r="C301" s="20" t="s">
        <v>316</v>
      </c>
      <c r="D301" s="20" t="s">
        <v>135</v>
      </c>
      <c r="E301" s="20" t="s">
        <v>328</v>
      </c>
      <c r="F301" s="20" t="s">
        <v>226</v>
      </c>
      <c r="G301" s="27">
        <v>0</v>
      </c>
      <c r="H301" s="187"/>
    </row>
    <row r="302" spans="1:8" ht="31.5" hidden="1">
      <c r="A302" s="25" t="s">
        <v>148</v>
      </c>
      <c r="B302" s="16">
        <v>903</v>
      </c>
      <c r="C302" s="20" t="s">
        <v>316</v>
      </c>
      <c r="D302" s="20" t="s">
        <v>135</v>
      </c>
      <c r="E302" s="20" t="s">
        <v>328</v>
      </c>
      <c r="F302" s="20" t="s">
        <v>149</v>
      </c>
      <c r="G302" s="26">
        <f>G303</f>
        <v>0</v>
      </c>
      <c r="H302" s="187"/>
    </row>
    <row r="303" spans="1:8" ht="47.25" hidden="1">
      <c r="A303" s="25" t="s">
        <v>150</v>
      </c>
      <c r="B303" s="16">
        <v>903</v>
      </c>
      <c r="C303" s="20" t="s">
        <v>316</v>
      </c>
      <c r="D303" s="20" t="s">
        <v>135</v>
      </c>
      <c r="E303" s="20" t="s">
        <v>328</v>
      </c>
      <c r="F303" s="20" t="s">
        <v>151</v>
      </c>
      <c r="G303" s="27">
        <v>0</v>
      </c>
      <c r="H303" s="187"/>
    </row>
    <row r="304" spans="1:8" ht="15.75" hidden="1">
      <c r="A304" s="25" t="s">
        <v>152</v>
      </c>
      <c r="B304" s="16">
        <v>903</v>
      </c>
      <c r="C304" s="20" t="s">
        <v>316</v>
      </c>
      <c r="D304" s="20" t="s">
        <v>135</v>
      </c>
      <c r="E304" s="20" t="s">
        <v>328</v>
      </c>
      <c r="F304" s="20" t="s">
        <v>162</v>
      </c>
      <c r="G304" s="26">
        <f>G305</f>
        <v>0</v>
      </c>
      <c r="H304" s="187"/>
    </row>
    <row r="305" spans="1:8" ht="15.75" hidden="1">
      <c r="A305" s="25" t="s">
        <v>154</v>
      </c>
      <c r="B305" s="16">
        <v>903</v>
      </c>
      <c r="C305" s="20" t="s">
        <v>316</v>
      </c>
      <c r="D305" s="20" t="s">
        <v>135</v>
      </c>
      <c r="E305" s="20" t="s">
        <v>328</v>
      </c>
      <c r="F305" s="20" t="s">
        <v>155</v>
      </c>
      <c r="G305" s="26">
        <v>0</v>
      </c>
      <c r="H305" s="187"/>
    </row>
    <row r="306" spans="1:8" ht="47.25">
      <c r="A306" s="25" t="s">
        <v>329</v>
      </c>
      <c r="B306" s="16">
        <v>903</v>
      </c>
      <c r="C306" s="20" t="s">
        <v>316</v>
      </c>
      <c r="D306" s="20" t="s">
        <v>135</v>
      </c>
      <c r="E306" s="20" t="s">
        <v>330</v>
      </c>
      <c r="F306" s="20"/>
      <c r="G306" s="26">
        <f>G307+G330+G318+G321+G324+G327+G310+G315</f>
        <v>16660.600000000002</v>
      </c>
      <c r="H306" s="187"/>
    </row>
    <row r="307" spans="1:8" ht="51" customHeight="1">
      <c r="A307" s="25" t="s">
        <v>320</v>
      </c>
      <c r="B307" s="16">
        <v>903</v>
      </c>
      <c r="C307" s="20" t="s">
        <v>316</v>
      </c>
      <c r="D307" s="20" t="s">
        <v>135</v>
      </c>
      <c r="E307" s="20" t="s">
        <v>331</v>
      </c>
      <c r="F307" s="20"/>
      <c r="G307" s="26">
        <f>G308</f>
        <v>16655.2</v>
      </c>
      <c r="H307" s="187"/>
    </row>
    <row r="308" spans="1:8" ht="47.25">
      <c r="A308" s="25" t="s">
        <v>289</v>
      </c>
      <c r="B308" s="16">
        <v>903</v>
      </c>
      <c r="C308" s="20" t="s">
        <v>316</v>
      </c>
      <c r="D308" s="20" t="s">
        <v>135</v>
      </c>
      <c r="E308" s="20" t="s">
        <v>331</v>
      </c>
      <c r="F308" s="20" t="s">
        <v>290</v>
      </c>
      <c r="G308" s="26">
        <f>G309</f>
        <v>16655.2</v>
      </c>
      <c r="H308" s="187"/>
    </row>
    <row r="309" spans="1:9" ht="15.75">
      <c r="A309" s="25" t="s">
        <v>291</v>
      </c>
      <c r="B309" s="16">
        <v>903</v>
      </c>
      <c r="C309" s="20" t="s">
        <v>316</v>
      </c>
      <c r="D309" s="20" t="s">
        <v>135</v>
      </c>
      <c r="E309" s="20" t="s">
        <v>331</v>
      </c>
      <c r="F309" s="20" t="s">
        <v>292</v>
      </c>
      <c r="G309" s="27">
        <f>18073+419.6-1705.8+78.4-210</f>
        <v>16655.2</v>
      </c>
      <c r="H309" s="114"/>
      <c r="I309" s="134"/>
    </row>
    <row r="310" spans="1:8" ht="38.25" customHeight="1">
      <c r="A310" s="25" t="s">
        <v>332</v>
      </c>
      <c r="B310" s="16">
        <v>903</v>
      </c>
      <c r="C310" s="20" t="s">
        <v>316</v>
      </c>
      <c r="D310" s="20" t="s">
        <v>135</v>
      </c>
      <c r="E310" s="20" t="s">
        <v>333</v>
      </c>
      <c r="F310" s="20"/>
      <c r="G310" s="27">
        <f>G311+G313</f>
        <v>5</v>
      </c>
      <c r="H310" s="187"/>
    </row>
    <row r="311" spans="1:8" ht="31.5" hidden="1">
      <c r="A311" s="25" t="s">
        <v>148</v>
      </c>
      <c r="B311" s="16">
        <v>903</v>
      </c>
      <c r="C311" s="20" t="s">
        <v>316</v>
      </c>
      <c r="D311" s="20" t="s">
        <v>135</v>
      </c>
      <c r="E311" s="20" t="s">
        <v>333</v>
      </c>
      <c r="F311" s="20" t="s">
        <v>149</v>
      </c>
      <c r="G311" s="27">
        <f>G312</f>
        <v>0</v>
      </c>
      <c r="H311" s="187"/>
    </row>
    <row r="312" spans="1:8" ht="47.25" hidden="1">
      <c r="A312" s="25" t="s">
        <v>150</v>
      </c>
      <c r="B312" s="16">
        <v>903</v>
      </c>
      <c r="C312" s="20" t="s">
        <v>316</v>
      </c>
      <c r="D312" s="20" t="s">
        <v>135</v>
      </c>
      <c r="E312" s="20" t="s">
        <v>333</v>
      </c>
      <c r="F312" s="20" t="s">
        <v>151</v>
      </c>
      <c r="G312" s="27">
        <v>0</v>
      </c>
      <c r="H312" s="187"/>
    </row>
    <row r="313" spans="1:8" ht="47.25">
      <c r="A313" s="25" t="s">
        <v>289</v>
      </c>
      <c r="B313" s="16">
        <v>903</v>
      </c>
      <c r="C313" s="20" t="s">
        <v>316</v>
      </c>
      <c r="D313" s="20" t="s">
        <v>135</v>
      </c>
      <c r="E313" s="20" t="s">
        <v>333</v>
      </c>
      <c r="F313" s="20" t="s">
        <v>290</v>
      </c>
      <c r="G313" s="27">
        <f>G314</f>
        <v>5</v>
      </c>
      <c r="H313" s="187"/>
    </row>
    <row r="314" spans="1:8" ht="15.75">
      <c r="A314" s="25" t="s">
        <v>291</v>
      </c>
      <c r="B314" s="16">
        <v>903</v>
      </c>
      <c r="C314" s="20" t="s">
        <v>316</v>
      </c>
      <c r="D314" s="20" t="s">
        <v>135</v>
      </c>
      <c r="E314" s="20" t="s">
        <v>333</v>
      </c>
      <c r="F314" s="20" t="s">
        <v>292</v>
      </c>
      <c r="G314" s="27">
        <v>5</v>
      </c>
      <c r="H314" s="187"/>
    </row>
    <row r="315" spans="1:8" ht="15.75">
      <c r="A315" s="25" t="s">
        <v>701</v>
      </c>
      <c r="B315" s="16">
        <v>903</v>
      </c>
      <c r="C315" s="20" t="s">
        <v>316</v>
      </c>
      <c r="D315" s="20" t="s">
        <v>135</v>
      </c>
      <c r="E315" s="20" t="s">
        <v>702</v>
      </c>
      <c r="F315" s="20"/>
      <c r="G315" s="27">
        <f>G316</f>
        <v>0.4</v>
      </c>
      <c r="H315" s="187"/>
    </row>
    <row r="316" spans="1:8" ht="47.25">
      <c r="A316" s="25" t="s">
        <v>289</v>
      </c>
      <c r="B316" s="16">
        <v>903</v>
      </c>
      <c r="C316" s="20" t="s">
        <v>316</v>
      </c>
      <c r="D316" s="20" t="s">
        <v>135</v>
      </c>
      <c r="E316" s="20" t="s">
        <v>702</v>
      </c>
      <c r="F316" s="20" t="s">
        <v>290</v>
      </c>
      <c r="G316" s="27">
        <f>G317</f>
        <v>0.4</v>
      </c>
      <c r="H316" s="187"/>
    </row>
    <row r="317" spans="1:8" ht="15.75">
      <c r="A317" s="25" t="s">
        <v>291</v>
      </c>
      <c r="B317" s="16">
        <v>903</v>
      </c>
      <c r="C317" s="20" t="s">
        <v>316</v>
      </c>
      <c r="D317" s="20" t="s">
        <v>135</v>
      </c>
      <c r="E317" s="20" t="s">
        <v>702</v>
      </c>
      <c r="F317" s="20" t="s">
        <v>292</v>
      </c>
      <c r="G317" s="27">
        <v>0.4</v>
      </c>
      <c r="H317" s="114"/>
    </row>
    <row r="318" spans="1:8" ht="47.25" hidden="1">
      <c r="A318" s="25" t="s">
        <v>293</v>
      </c>
      <c r="B318" s="16">
        <v>903</v>
      </c>
      <c r="C318" s="20" t="s">
        <v>316</v>
      </c>
      <c r="D318" s="20" t="s">
        <v>135</v>
      </c>
      <c r="E318" s="20" t="s">
        <v>334</v>
      </c>
      <c r="F318" s="20"/>
      <c r="G318" s="26">
        <f>G319</f>
        <v>0</v>
      </c>
      <c r="H318" s="187"/>
    </row>
    <row r="319" spans="1:8" ht="47.25" hidden="1">
      <c r="A319" s="25" t="s">
        <v>289</v>
      </c>
      <c r="B319" s="16">
        <v>903</v>
      </c>
      <c r="C319" s="20" t="s">
        <v>316</v>
      </c>
      <c r="D319" s="20" t="s">
        <v>135</v>
      </c>
      <c r="E319" s="20" t="s">
        <v>334</v>
      </c>
      <c r="F319" s="20" t="s">
        <v>290</v>
      </c>
      <c r="G319" s="26">
        <f>G320</f>
        <v>0</v>
      </c>
      <c r="H319" s="187"/>
    </row>
    <row r="320" spans="1:8" ht="15.75" hidden="1">
      <c r="A320" s="25" t="s">
        <v>291</v>
      </c>
      <c r="B320" s="16">
        <v>903</v>
      </c>
      <c r="C320" s="20" t="s">
        <v>316</v>
      </c>
      <c r="D320" s="20" t="s">
        <v>135</v>
      </c>
      <c r="E320" s="20" t="s">
        <v>334</v>
      </c>
      <c r="F320" s="20" t="s">
        <v>292</v>
      </c>
      <c r="G320" s="26">
        <v>0</v>
      </c>
      <c r="H320" s="187"/>
    </row>
    <row r="321" spans="1:8" ht="47.25" hidden="1">
      <c r="A321" s="25" t="s">
        <v>295</v>
      </c>
      <c r="B321" s="16">
        <v>903</v>
      </c>
      <c r="C321" s="20" t="s">
        <v>316</v>
      </c>
      <c r="D321" s="20" t="s">
        <v>135</v>
      </c>
      <c r="E321" s="20" t="s">
        <v>335</v>
      </c>
      <c r="F321" s="20"/>
      <c r="G321" s="26">
        <f>G322</f>
        <v>0</v>
      </c>
      <c r="H321" s="187"/>
    </row>
    <row r="322" spans="1:8" ht="47.25" hidden="1">
      <c r="A322" s="25" t="s">
        <v>289</v>
      </c>
      <c r="B322" s="16">
        <v>903</v>
      </c>
      <c r="C322" s="20" t="s">
        <v>316</v>
      </c>
      <c r="D322" s="20" t="s">
        <v>135</v>
      </c>
      <c r="E322" s="20" t="s">
        <v>335</v>
      </c>
      <c r="F322" s="20" t="s">
        <v>290</v>
      </c>
      <c r="G322" s="26">
        <f>G323</f>
        <v>0</v>
      </c>
      <c r="H322" s="187"/>
    </row>
    <row r="323" spans="1:8" ht="15.75" hidden="1">
      <c r="A323" s="25" t="s">
        <v>291</v>
      </c>
      <c r="B323" s="16">
        <v>903</v>
      </c>
      <c r="C323" s="20" t="s">
        <v>316</v>
      </c>
      <c r="D323" s="20" t="s">
        <v>135</v>
      </c>
      <c r="E323" s="20" t="s">
        <v>335</v>
      </c>
      <c r="F323" s="20" t="s">
        <v>292</v>
      </c>
      <c r="G323" s="26">
        <v>0</v>
      </c>
      <c r="H323" s="187"/>
    </row>
    <row r="324" spans="1:8" ht="31.5" hidden="1">
      <c r="A324" s="25" t="s">
        <v>297</v>
      </c>
      <c r="B324" s="16">
        <v>903</v>
      </c>
      <c r="C324" s="20" t="s">
        <v>316</v>
      </c>
      <c r="D324" s="20" t="s">
        <v>135</v>
      </c>
      <c r="E324" s="20" t="s">
        <v>336</v>
      </c>
      <c r="F324" s="20"/>
      <c r="G324" s="26">
        <f>G325</f>
        <v>0</v>
      </c>
      <c r="H324" s="187"/>
    </row>
    <row r="325" spans="1:8" ht="47.25" hidden="1">
      <c r="A325" s="25" t="s">
        <v>289</v>
      </c>
      <c r="B325" s="16">
        <v>903</v>
      </c>
      <c r="C325" s="20" t="s">
        <v>316</v>
      </c>
      <c r="D325" s="20" t="s">
        <v>135</v>
      </c>
      <c r="E325" s="20" t="s">
        <v>336</v>
      </c>
      <c r="F325" s="20" t="s">
        <v>290</v>
      </c>
      <c r="G325" s="26">
        <f>G326</f>
        <v>0</v>
      </c>
      <c r="H325" s="187"/>
    </row>
    <row r="326" spans="1:8" ht="15.75" hidden="1">
      <c r="A326" s="25" t="s">
        <v>291</v>
      </c>
      <c r="B326" s="16">
        <v>903</v>
      </c>
      <c r="C326" s="20" t="s">
        <v>316</v>
      </c>
      <c r="D326" s="20" t="s">
        <v>135</v>
      </c>
      <c r="E326" s="20" t="s">
        <v>336</v>
      </c>
      <c r="F326" s="20" t="s">
        <v>292</v>
      </c>
      <c r="G326" s="26">
        <v>0</v>
      </c>
      <c r="H326" s="187"/>
    </row>
    <row r="327" spans="1:8" ht="31.5" hidden="1">
      <c r="A327" s="25" t="s">
        <v>301</v>
      </c>
      <c r="B327" s="16">
        <v>903</v>
      </c>
      <c r="C327" s="20" t="s">
        <v>316</v>
      </c>
      <c r="D327" s="20" t="s">
        <v>135</v>
      </c>
      <c r="E327" s="20" t="s">
        <v>337</v>
      </c>
      <c r="F327" s="20"/>
      <c r="G327" s="26">
        <f>G328</f>
        <v>0</v>
      </c>
      <c r="H327" s="187"/>
    </row>
    <row r="328" spans="1:8" ht="47.25" hidden="1">
      <c r="A328" s="25" t="s">
        <v>289</v>
      </c>
      <c r="B328" s="16">
        <v>903</v>
      </c>
      <c r="C328" s="20" t="s">
        <v>316</v>
      </c>
      <c r="D328" s="20" t="s">
        <v>135</v>
      </c>
      <c r="E328" s="20" t="s">
        <v>337</v>
      </c>
      <c r="F328" s="20" t="s">
        <v>290</v>
      </c>
      <c r="G328" s="26">
        <f>G329</f>
        <v>0</v>
      </c>
      <c r="H328" s="187"/>
    </row>
    <row r="329" spans="1:8" ht="15.75" hidden="1">
      <c r="A329" s="25" t="s">
        <v>291</v>
      </c>
      <c r="B329" s="16">
        <v>903</v>
      </c>
      <c r="C329" s="20" t="s">
        <v>316</v>
      </c>
      <c r="D329" s="20" t="s">
        <v>135</v>
      </c>
      <c r="E329" s="20" t="s">
        <v>337</v>
      </c>
      <c r="F329" s="20" t="s">
        <v>292</v>
      </c>
      <c r="G329" s="26">
        <v>0</v>
      </c>
      <c r="H329" s="187"/>
    </row>
    <row r="330" spans="1:8" ht="47.25" hidden="1">
      <c r="A330" s="36" t="s">
        <v>338</v>
      </c>
      <c r="B330" s="16">
        <v>903</v>
      </c>
      <c r="C330" s="20" t="s">
        <v>316</v>
      </c>
      <c r="D330" s="20" t="s">
        <v>135</v>
      </c>
      <c r="E330" s="20" t="s">
        <v>339</v>
      </c>
      <c r="F330" s="20"/>
      <c r="G330" s="26">
        <f>G331</f>
        <v>0</v>
      </c>
      <c r="H330" s="187"/>
    </row>
    <row r="331" spans="1:8" ht="47.25" hidden="1">
      <c r="A331" s="25" t="s">
        <v>289</v>
      </c>
      <c r="B331" s="16">
        <v>903</v>
      </c>
      <c r="C331" s="20" t="s">
        <v>316</v>
      </c>
      <c r="D331" s="20" t="s">
        <v>135</v>
      </c>
      <c r="E331" s="20" t="s">
        <v>339</v>
      </c>
      <c r="F331" s="20" t="s">
        <v>290</v>
      </c>
      <c r="G331" s="26">
        <f>G332</f>
        <v>0</v>
      </c>
      <c r="H331" s="187"/>
    </row>
    <row r="332" spans="1:8" ht="15.75" hidden="1">
      <c r="A332" s="25" t="s">
        <v>291</v>
      </c>
      <c r="B332" s="16">
        <v>903</v>
      </c>
      <c r="C332" s="20" t="s">
        <v>316</v>
      </c>
      <c r="D332" s="20" t="s">
        <v>135</v>
      </c>
      <c r="E332" s="20" t="s">
        <v>339</v>
      </c>
      <c r="F332" s="20" t="s">
        <v>292</v>
      </c>
      <c r="G332" s="26">
        <v>0</v>
      </c>
      <c r="H332" s="187"/>
    </row>
    <row r="333" spans="1:8" ht="78.75">
      <c r="A333" s="30" t="s">
        <v>340</v>
      </c>
      <c r="B333" s="16">
        <v>903</v>
      </c>
      <c r="C333" s="20" t="s">
        <v>316</v>
      </c>
      <c r="D333" s="20" t="s">
        <v>135</v>
      </c>
      <c r="E333" s="41" t="s">
        <v>341</v>
      </c>
      <c r="F333" s="20"/>
      <c r="G333" s="26">
        <f>G334</f>
        <v>200</v>
      </c>
      <c r="H333" s="187"/>
    </row>
    <row r="334" spans="1:8" ht="47.25">
      <c r="A334" s="25" t="s">
        <v>342</v>
      </c>
      <c r="B334" s="16">
        <v>903</v>
      </c>
      <c r="C334" s="20" t="s">
        <v>316</v>
      </c>
      <c r="D334" s="20" t="s">
        <v>135</v>
      </c>
      <c r="E334" s="41" t="s">
        <v>343</v>
      </c>
      <c r="F334" s="20"/>
      <c r="G334" s="26">
        <f>G335</f>
        <v>200</v>
      </c>
      <c r="H334" s="187"/>
    </row>
    <row r="335" spans="1:8" ht="47.25">
      <c r="A335" s="25" t="s">
        <v>289</v>
      </c>
      <c r="B335" s="16">
        <v>903</v>
      </c>
      <c r="C335" s="20" t="s">
        <v>316</v>
      </c>
      <c r="D335" s="20" t="s">
        <v>135</v>
      </c>
      <c r="E335" s="41" t="s">
        <v>343</v>
      </c>
      <c r="F335" s="20" t="s">
        <v>290</v>
      </c>
      <c r="G335" s="26">
        <f>G336</f>
        <v>200</v>
      </c>
      <c r="H335" s="187"/>
    </row>
    <row r="336" spans="1:8" ht="15.75">
      <c r="A336" s="25" t="s">
        <v>291</v>
      </c>
      <c r="B336" s="16">
        <v>903</v>
      </c>
      <c r="C336" s="20" t="s">
        <v>316</v>
      </c>
      <c r="D336" s="20" t="s">
        <v>135</v>
      </c>
      <c r="E336" s="41" t="s">
        <v>343</v>
      </c>
      <c r="F336" s="20" t="s">
        <v>292</v>
      </c>
      <c r="G336" s="26">
        <v>200</v>
      </c>
      <c r="H336" s="187"/>
    </row>
    <row r="337" spans="1:8" ht="15.75">
      <c r="A337" s="25" t="s">
        <v>138</v>
      </c>
      <c r="B337" s="16">
        <v>903</v>
      </c>
      <c r="C337" s="20" t="s">
        <v>316</v>
      </c>
      <c r="D337" s="20" t="s">
        <v>135</v>
      </c>
      <c r="E337" s="20" t="s">
        <v>139</v>
      </c>
      <c r="F337" s="20"/>
      <c r="G337" s="26">
        <f>G338</f>
        <v>2137.9</v>
      </c>
      <c r="H337" s="187"/>
    </row>
    <row r="338" spans="1:8" ht="31.5">
      <c r="A338" s="25" t="s">
        <v>202</v>
      </c>
      <c r="B338" s="16">
        <v>903</v>
      </c>
      <c r="C338" s="20" t="s">
        <v>316</v>
      </c>
      <c r="D338" s="20" t="s">
        <v>135</v>
      </c>
      <c r="E338" s="20" t="s">
        <v>203</v>
      </c>
      <c r="F338" s="20"/>
      <c r="G338" s="26">
        <f>G339+G344+G349+G352+G355</f>
        <v>2137.9</v>
      </c>
      <c r="H338" s="187"/>
    </row>
    <row r="339" spans="1:8" ht="31.5" hidden="1">
      <c r="A339" s="37" t="s">
        <v>344</v>
      </c>
      <c r="B339" s="38">
        <v>903</v>
      </c>
      <c r="C339" s="20" t="s">
        <v>316</v>
      </c>
      <c r="D339" s="20" t="s">
        <v>135</v>
      </c>
      <c r="E339" s="20" t="s">
        <v>345</v>
      </c>
      <c r="F339" s="20"/>
      <c r="G339" s="26">
        <f>G340+G342</f>
        <v>0</v>
      </c>
      <c r="H339" s="187"/>
    </row>
    <row r="340" spans="1:8" ht="31.5" hidden="1">
      <c r="A340" s="25" t="s">
        <v>148</v>
      </c>
      <c r="B340" s="38">
        <v>903</v>
      </c>
      <c r="C340" s="20" t="s">
        <v>316</v>
      </c>
      <c r="D340" s="20" t="s">
        <v>135</v>
      </c>
      <c r="E340" s="20" t="s">
        <v>345</v>
      </c>
      <c r="F340" s="20" t="s">
        <v>149</v>
      </c>
      <c r="G340" s="26">
        <f>G341</f>
        <v>0</v>
      </c>
      <c r="H340" s="187"/>
    </row>
    <row r="341" spans="1:9" ht="47.25" hidden="1">
      <c r="A341" s="25" t="s">
        <v>150</v>
      </c>
      <c r="B341" s="16">
        <v>903</v>
      </c>
      <c r="C341" s="20" t="s">
        <v>316</v>
      </c>
      <c r="D341" s="20" t="s">
        <v>135</v>
      </c>
      <c r="E341" s="20" t="s">
        <v>345</v>
      </c>
      <c r="F341" s="20" t="s">
        <v>151</v>
      </c>
      <c r="G341" s="26">
        <f>1.4-1.4</f>
        <v>0</v>
      </c>
      <c r="H341" s="187"/>
      <c r="I341" s="123"/>
    </row>
    <row r="342" spans="1:8" ht="47.25" hidden="1">
      <c r="A342" s="25" t="s">
        <v>289</v>
      </c>
      <c r="B342" s="16">
        <v>903</v>
      </c>
      <c r="C342" s="20" t="s">
        <v>316</v>
      </c>
      <c r="D342" s="20" t="s">
        <v>135</v>
      </c>
      <c r="E342" s="20" t="s">
        <v>345</v>
      </c>
      <c r="F342" s="20" t="s">
        <v>290</v>
      </c>
      <c r="G342" s="26">
        <f>G343</f>
        <v>0</v>
      </c>
      <c r="H342" s="187"/>
    </row>
    <row r="343" spans="1:9" ht="15.75" hidden="1">
      <c r="A343" s="25" t="s">
        <v>291</v>
      </c>
      <c r="B343" s="16">
        <v>903</v>
      </c>
      <c r="C343" s="20" t="s">
        <v>316</v>
      </c>
      <c r="D343" s="20" t="s">
        <v>135</v>
      </c>
      <c r="E343" s="20" t="s">
        <v>345</v>
      </c>
      <c r="F343" s="20" t="s">
        <v>292</v>
      </c>
      <c r="G343" s="26">
        <f>2.9-2.9</f>
        <v>0</v>
      </c>
      <c r="H343" s="187"/>
      <c r="I343" s="123"/>
    </row>
    <row r="344" spans="1:8" ht="31.5">
      <c r="A344" s="25" t="s">
        <v>346</v>
      </c>
      <c r="B344" s="16">
        <v>903</v>
      </c>
      <c r="C344" s="20" t="s">
        <v>316</v>
      </c>
      <c r="D344" s="20" t="s">
        <v>135</v>
      </c>
      <c r="E344" s="20" t="s">
        <v>347</v>
      </c>
      <c r="F344" s="20"/>
      <c r="G344" s="26">
        <f>G345+G347</f>
        <v>177.3</v>
      </c>
      <c r="H344" s="187"/>
    </row>
    <row r="345" spans="1:8" ht="31.5" hidden="1">
      <c r="A345" s="25" t="s">
        <v>148</v>
      </c>
      <c r="B345" s="16">
        <v>903</v>
      </c>
      <c r="C345" s="20" t="s">
        <v>316</v>
      </c>
      <c r="D345" s="20" t="s">
        <v>135</v>
      </c>
      <c r="E345" s="20" t="s">
        <v>347</v>
      </c>
      <c r="F345" s="20" t="s">
        <v>149</v>
      </c>
      <c r="G345" s="26">
        <f>G346</f>
        <v>0</v>
      </c>
      <c r="H345" s="187"/>
    </row>
    <row r="346" spans="1:8" ht="47.25" hidden="1">
      <c r="A346" s="25" t="s">
        <v>150</v>
      </c>
      <c r="B346" s="16">
        <v>903</v>
      </c>
      <c r="C346" s="20" t="s">
        <v>316</v>
      </c>
      <c r="D346" s="20" t="s">
        <v>135</v>
      </c>
      <c r="E346" s="20" t="s">
        <v>347</v>
      </c>
      <c r="F346" s="39">
        <v>240</v>
      </c>
      <c r="G346" s="26">
        <v>0</v>
      </c>
      <c r="H346" s="187"/>
    </row>
    <row r="347" spans="1:8" ht="47.25">
      <c r="A347" s="25" t="s">
        <v>289</v>
      </c>
      <c r="B347" s="16">
        <v>903</v>
      </c>
      <c r="C347" s="20" t="s">
        <v>316</v>
      </c>
      <c r="D347" s="20" t="s">
        <v>135</v>
      </c>
      <c r="E347" s="20" t="s">
        <v>347</v>
      </c>
      <c r="F347" s="20" t="s">
        <v>290</v>
      </c>
      <c r="G347" s="26">
        <f>G348</f>
        <v>177.3</v>
      </c>
      <c r="H347" s="187"/>
    </row>
    <row r="348" spans="1:9" ht="15.75">
      <c r="A348" s="25" t="s">
        <v>291</v>
      </c>
      <c r="B348" s="16">
        <v>903</v>
      </c>
      <c r="C348" s="20" t="s">
        <v>316</v>
      </c>
      <c r="D348" s="20" t="s">
        <v>135</v>
      </c>
      <c r="E348" s="20" t="s">
        <v>347</v>
      </c>
      <c r="F348" s="20" t="s">
        <v>292</v>
      </c>
      <c r="G348" s="26">
        <f>274.5-97.2</f>
        <v>177.3</v>
      </c>
      <c r="H348" s="187"/>
      <c r="I348" s="123"/>
    </row>
    <row r="349" spans="1:8" ht="78.75">
      <c r="A349" s="25" t="s">
        <v>348</v>
      </c>
      <c r="B349" s="16">
        <v>903</v>
      </c>
      <c r="C349" s="20" t="s">
        <v>316</v>
      </c>
      <c r="D349" s="20" t="s">
        <v>135</v>
      </c>
      <c r="E349" s="20" t="s">
        <v>349</v>
      </c>
      <c r="F349" s="20"/>
      <c r="G349" s="26">
        <f>G350</f>
        <v>263.3</v>
      </c>
      <c r="H349" s="187"/>
    </row>
    <row r="350" spans="1:8" ht="47.25">
      <c r="A350" s="25" t="s">
        <v>289</v>
      </c>
      <c r="B350" s="16">
        <v>903</v>
      </c>
      <c r="C350" s="20" t="s">
        <v>316</v>
      </c>
      <c r="D350" s="20" t="s">
        <v>135</v>
      </c>
      <c r="E350" s="20" t="s">
        <v>349</v>
      </c>
      <c r="F350" s="20" t="s">
        <v>290</v>
      </c>
      <c r="G350" s="26">
        <f>G351</f>
        <v>263.3</v>
      </c>
      <c r="H350" s="187"/>
    </row>
    <row r="351" spans="1:9" ht="15.75">
      <c r="A351" s="25" t="s">
        <v>291</v>
      </c>
      <c r="B351" s="16">
        <v>903</v>
      </c>
      <c r="C351" s="20" t="s">
        <v>316</v>
      </c>
      <c r="D351" s="20" t="s">
        <v>135</v>
      </c>
      <c r="E351" s="20" t="s">
        <v>349</v>
      </c>
      <c r="F351" s="20" t="s">
        <v>292</v>
      </c>
      <c r="G351" s="26">
        <f>247.6+15.7</f>
        <v>263.3</v>
      </c>
      <c r="H351" s="187"/>
      <c r="I351" s="123"/>
    </row>
    <row r="352" spans="1:8" ht="110.25">
      <c r="A352" s="32" t="s">
        <v>310</v>
      </c>
      <c r="B352" s="16">
        <v>903</v>
      </c>
      <c r="C352" s="20" t="s">
        <v>316</v>
      </c>
      <c r="D352" s="20" t="s">
        <v>135</v>
      </c>
      <c r="E352" s="20" t="s">
        <v>311</v>
      </c>
      <c r="F352" s="20"/>
      <c r="G352" s="26">
        <f>G353</f>
        <v>1693.3000000000002</v>
      </c>
      <c r="H352" s="187"/>
    </row>
    <row r="353" spans="1:8" ht="47.25">
      <c r="A353" s="25" t="s">
        <v>289</v>
      </c>
      <c r="B353" s="16">
        <v>903</v>
      </c>
      <c r="C353" s="20" t="s">
        <v>316</v>
      </c>
      <c r="D353" s="20" t="s">
        <v>135</v>
      </c>
      <c r="E353" s="20" t="s">
        <v>311</v>
      </c>
      <c r="F353" s="20" t="s">
        <v>290</v>
      </c>
      <c r="G353" s="26">
        <f>G354</f>
        <v>1693.3000000000002</v>
      </c>
      <c r="H353" s="187"/>
    </row>
    <row r="354" spans="1:8" ht="15.75">
      <c r="A354" s="25" t="s">
        <v>291</v>
      </c>
      <c r="B354" s="16">
        <v>903</v>
      </c>
      <c r="C354" s="20" t="s">
        <v>316</v>
      </c>
      <c r="D354" s="20" t="s">
        <v>135</v>
      </c>
      <c r="E354" s="20" t="s">
        <v>311</v>
      </c>
      <c r="F354" s="20" t="s">
        <v>292</v>
      </c>
      <c r="G354" s="26">
        <f>1929.4-236.1</f>
        <v>1693.3000000000002</v>
      </c>
      <c r="H354" s="187"/>
    </row>
    <row r="355" spans="1:8" ht="15.75">
      <c r="A355" s="32" t="s">
        <v>703</v>
      </c>
      <c r="B355" s="16">
        <v>903</v>
      </c>
      <c r="C355" s="20" t="s">
        <v>316</v>
      </c>
      <c r="D355" s="20" t="s">
        <v>135</v>
      </c>
      <c r="E355" s="20" t="s">
        <v>704</v>
      </c>
      <c r="F355" s="20"/>
      <c r="G355" s="26">
        <f>G356</f>
        <v>4</v>
      </c>
      <c r="H355" s="187"/>
    </row>
    <row r="356" spans="1:8" ht="47.25">
      <c r="A356" s="25" t="s">
        <v>289</v>
      </c>
      <c r="B356" s="16">
        <v>903</v>
      </c>
      <c r="C356" s="20" t="s">
        <v>316</v>
      </c>
      <c r="D356" s="20" t="s">
        <v>135</v>
      </c>
      <c r="E356" s="20" t="s">
        <v>704</v>
      </c>
      <c r="F356" s="20" t="s">
        <v>290</v>
      </c>
      <c r="G356" s="26">
        <f>G357</f>
        <v>4</v>
      </c>
      <c r="H356" s="187"/>
    </row>
    <row r="357" spans="1:8" ht="15.75">
      <c r="A357" s="25" t="s">
        <v>291</v>
      </c>
      <c r="B357" s="16">
        <v>903</v>
      </c>
      <c r="C357" s="20" t="s">
        <v>316</v>
      </c>
      <c r="D357" s="20" t="s">
        <v>135</v>
      </c>
      <c r="E357" s="20" t="s">
        <v>704</v>
      </c>
      <c r="F357" s="20" t="s">
        <v>292</v>
      </c>
      <c r="G357" s="26">
        <v>4</v>
      </c>
      <c r="H357" s="114"/>
    </row>
    <row r="358" spans="1:8" ht="31.5">
      <c r="A358" s="23" t="s">
        <v>350</v>
      </c>
      <c r="B358" s="19">
        <v>903</v>
      </c>
      <c r="C358" s="24" t="s">
        <v>316</v>
      </c>
      <c r="D358" s="24" t="s">
        <v>167</v>
      </c>
      <c r="E358" s="24"/>
      <c r="F358" s="24"/>
      <c r="G358" s="21">
        <f>G359+G373+G369</f>
        <v>17278.8</v>
      </c>
      <c r="H358" s="187"/>
    </row>
    <row r="359" spans="1:9" ht="47.25">
      <c r="A359" s="25" t="s">
        <v>351</v>
      </c>
      <c r="B359" s="16">
        <v>903</v>
      </c>
      <c r="C359" s="20" t="s">
        <v>316</v>
      </c>
      <c r="D359" s="20" t="s">
        <v>167</v>
      </c>
      <c r="E359" s="20" t="s">
        <v>352</v>
      </c>
      <c r="F359" s="20"/>
      <c r="G359" s="26">
        <f>G360+G363+G366</f>
        <v>125</v>
      </c>
      <c r="H359" s="187"/>
      <c r="I359" s="123"/>
    </row>
    <row r="360" spans="1:8" ht="31.5" hidden="1">
      <c r="A360" s="25" t="s">
        <v>353</v>
      </c>
      <c r="B360" s="16">
        <v>903</v>
      </c>
      <c r="C360" s="20" t="s">
        <v>316</v>
      </c>
      <c r="D360" s="20" t="s">
        <v>167</v>
      </c>
      <c r="E360" s="20" t="s">
        <v>354</v>
      </c>
      <c r="F360" s="20"/>
      <c r="G360" s="26">
        <f>G361</f>
        <v>0</v>
      </c>
      <c r="H360" s="187"/>
    </row>
    <row r="361" spans="1:8" ht="31.5" hidden="1">
      <c r="A361" s="25" t="s">
        <v>148</v>
      </c>
      <c r="B361" s="16">
        <v>903</v>
      </c>
      <c r="C361" s="20" t="s">
        <v>316</v>
      </c>
      <c r="D361" s="20" t="s">
        <v>167</v>
      </c>
      <c r="E361" s="20" t="s">
        <v>354</v>
      </c>
      <c r="F361" s="20" t="s">
        <v>149</v>
      </c>
      <c r="G361" s="26">
        <f>G362</f>
        <v>0</v>
      </c>
      <c r="H361" s="187"/>
    </row>
    <row r="362" spans="1:8" ht="47.25" hidden="1">
      <c r="A362" s="25" t="s">
        <v>150</v>
      </c>
      <c r="B362" s="16">
        <v>903</v>
      </c>
      <c r="C362" s="20" t="s">
        <v>316</v>
      </c>
      <c r="D362" s="20" t="s">
        <v>167</v>
      </c>
      <c r="E362" s="20" t="s">
        <v>354</v>
      </c>
      <c r="F362" s="20" t="s">
        <v>151</v>
      </c>
      <c r="G362" s="26">
        <v>0</v>
      </c>
      <c r="H362" s="187"/>
    </row>
    <row r="363" spans="1:8" ht="31.5">
      <c r="A363" s="25" t="s">
        <v>355</v>
      </c>
      <c r="B363" s="16">
        <v>903</v>
      </c>
      <c r="C363" s="20" t="s">
        <v>316</v>
      </c>
      <c r="D363" s="20" t="s">
        <v>167</v>
      </c>
      <c r="E363" s="20" t="s">
        <v>356</v>
      </c>
      <c r="F363" s="20"/>
      <c r="G363" s="26">
        <f>G364</f>
        <v>20</v>
      </c>
      <c r="H363" s="187"/>
    </row>
    <row r="364" spans="1:8" ht="31.5">
      <c r="A364" s="25" t="s">
        <v>148</v>
      </c>
      <c r="B364" s="16">
        <v>903</v>
      </c>
      <c r="C364" s="20" t="s">
        <v>316</v>
      </c>
      <c r="D364" s="20" t="s">
        <v>167</v>
      </c>
      <c r="E364" s="20" t="s">
        <v>356</v>
      </c>
      <c r="F364" s="20" t="s">
        <v>149</v>
      </c>
      <c r="G364" s="26">
        <f>G365</f>
        <v>20</v>
      </c>
      <c r="H364" s="187"/>
    </row>
    <row r="365" spans="1:8" ht="47.25">
      <c r="A365" s="25" t="s">
        <v>150</v>
      </c>
      <c r="B365" s="16">
        <v>903</v>
      </c>
      <c r="C365" s="20" t="s">
        <v>316</v>
      </c>
      <c r="D365" s="20" t="s">
        <v>167</v>
      </c>
      <c r="E365" s="20" t="s">
        <v>356</v>
      </c>
      <c r="F365" s="20" t="s">
        <v>151</v>
      </c>
      <c r="G365" s="26">
        <v>20</v>
      </c>
      <c r="H365" s="187"/>
    </row>
    <row r="366" spans="1:8" ht="63">
      <c r="A366" s="25" t="s">
        <v>733</v>
      </c>
      <c r="B366" s="16">
        <v>903</v>
      </c>
      <c r="C366" s="20" t="s">
        <v>316</v>
      </c>
      <c r="D366" s="20" t="s">
        <v>167</v>
      </c>
      <c r="E366" s="20" t="s">
        <v>698</v>
      </c>
      <c r="F366" s="20"/>
      <c r="G366" s="26">
        <f>G367</f>
        <v>105</v>
      </c>
      <c r="H366" s="187"/>
    </row>
    <row r="367" spans="1:8" ht="39.75" customHeight="1">
      <c r="A367" s="25" t="s">
        <v>148</v>
      </c>
      <c r="B367" s="16">
        <v>903</v>
      </c>
      <c r="C367" s="20" t="s">
        <v>316</v>
      </c>
      <c r="D367" s="20" t="s">
        <v>167</v>
      </c>
      <c r="E367" s="20" t="s">
        <v>698</v>
      </c>
      <c r="F367" s="20" t="s">
        <v>149</v>
      </c>
      <c r="G367" s="26">
        <f>G368</f>
        <v>105</v>
      </c>
      <c r="H367" s="187"/>
    </row>
    <row r="368" spans="1:9" ht="47.25">
      <c r="A368" s="25" t="s">
        <v>150</v>
      </c>
      <c r="B368" s="16">
        <v>903</v>
      </c>
      <c r="C368" s="20" t="s">
        <v>316</v>
      </c>
      <c r="D368" s="20" t="s">
        <v>167</v>
      </c>
      <c r="E368" s="20" t="s">
        <v>698</v>
      </c>
      <c r="F368" s="20" t="s">
        <v>151</v>
      </c>
      <c r="G368" s="26">
        <f>55+50</f>
        <v>105</v>
      </c>
      <c r="H368" s="114"/>
      <c r="I368" s="133"/>
    </row>
    <row r="369" spans="1:8" ht="63">
      <c r="A369" s="30" t="s">
        <v>732</v>
      </c>
      <c r="B369" s="16">
        <v>903</v>
      </c>
      <c r="C369" s="20" t="s">
        <v>316</v>
      </c>
      <c r="D369" s="20" t="s">
        <v>167</v>
      </c>
      <c r="E369" s="20" t="s">
        <v>730</v>
      </c>
      <c r="F369" s="20"/>
      <c r="G369" s="26">
        <f>G370</f>
        <v>5</v>
      </c>
      <c r="H369" s="187"/>
    </row>
    <row r="370" spans="1:8" ht="31.5">
      <c r="A370" s="25" t="s">
        <v>386</v>
      </c>
      <c r="B370" s="16">
        <v>903</v>
      </c>
      <c r="C370" s="20" t="s">
        <v>316</v>
      </c>
      <c r="D370" s="20" t="s">
        <v>167</v>
      </c>
      <c r="E370" s="20" t="s">
        <v>738</v>
      </c>
      <c r="F370" s="20"/>
      <c r="G370" s="26">
        <f>G371</f>
        <v>5</v>
      </c>
      <c r="H370" s="187"/>
    </row>
    <row r="371" spans="1:8" ht="31.5">
      <c r="A371" s="25" t="s">
        <v>148</v>
      </c>
      <c r="B371" s="16">
        <v>903</v>
      </c>
      <c r="C371" s="20" t="s">
        <v>316</v>
      </c>
      <c r="D371" s="20" t="s">
        <v>167</v>
      </c>
      <c r="E371" s="20" t="s">
        <v>738</v>
      </c>
      <c r="F371" s="20" t="s">
        <v>149</v>
      </c>
      <c r="G371" s="26">
        <f>G372</f>
        <v>5</v>
      </c>
      <c r="H371" s="187"/>
    </row>
    <row r="372" spans="1:9" ht="47.25">
      <c r="A372" s="25" t="s">
        <v>150</v>
      </c>
      <c r="B372" s="16">
        <v>903</v>
      </c>
      <c r="C372" s="20" t="s">
        <v>316</v>
      </c>
      <c r="D372" s="20" t="s">
        <v>167</v>
      </c>
      <c r="E372" s="20" t="s">
        <v>738</v>
      </c>
      <c r="F372" s="20" t="s">
        <v>151</v>
      </c>
      <c r="G372" s="26">
        <v>5</v>
      </c>
      <c r="H372" s="114"/>
      <c r="I372" s="133"/>
    </row>
    <row r="373" spans="1:8" ht="15.75">
      <c r="A373" s="25" t="s">
        <v>138</v>
      </c>
      <c r="B373" s="16">
        <v>903</v>
      </c>
      <c r="C373" s="20" t="s">
        <v>316</v>
      </c>
      <c r="D373" s="20" t="s">
        <v>167</v>
      </c>
      <c r="E373" s="20" t="s">
        <v>139</v>
      </c>
      <c r="F373" s="20"/>
      <c r="G373" s="26">
        <f>G374+G380</f>
        <v>17148.8</v>
      </c>
      <c r="H373" s="187"/>
    </row>
    <row r="374" spans="1:8" ht="31.5">
      <c r="A374" s="25" t="s">
        <v>140</v>
      </c>
      <c r="B374" s="16">
        <v>903</v>
      </c>
      <c r="C374" s="20" t="s">
        <v>316</v>
      </c>
      <c r="D374" s="20" t="s">
        <v>167</v>
      </c>
      <c r="E374" s="20" t="s">
        <v>141</v>
      </c>
      <c r="F374" s="20"/>
      <c r="G374" s="26">
        <f>G375</f>
        <v>6754.9</v>
      </c>
      <c r="H374" s="187"/>
    </row>
    <row r="375" spans="1:8" ht="47.25">
      <c r="A375" s="25" t="s">
        <v>142</v>
      </c>
      <c r="B375" s="16">
        <v>903</v>
      </c>
      <c r="C375" s="20" t="s">
        <v>316</v>
      </c>
      <c r="D375" s="20" t="s">
        <v>167</v>
      </c>
      <c r="E375" s="20" t="s">
        <v>143</v>
      </c>
      <c r="F375" s="20"/>
      <c r="G375" s="26">
        <f>G376+G378</f>
        <v>6754.9</v>
      </c>
      <c r="H375" s="187"/>
    </row>
    <row r="376" spans="1:8" ht="94.5">
      <c r="A376" s="25" t="s">
        <v>144</v>
      </c>
      <c r="B376" s="16">
        <v>903</v>
      </c>
      <c r="C376" s="20" t="s">
        <v>316</v>
      </c>
      <c r="D376" s="20" t="s">
        <v>167</v>
      </c>
      <c r="E376" s="20" t="s">
        <v>143</v>
      </c>
      <c r="F376" s="20" t="s">
        <v>145</v>
      </c>
      <c r="G376" s="26">
        <f>G377</f>
        <v>6754.9</v>
      </c>
      <c r="H376" s="187"/>
    </row>
    <row r="377" spans="1:8" ht="31.5">
      <c r="A377" s="25" t="s">
        <v>146</v>
      </c>
      <c r="B377" s="16">
        <v>903</v>
      </c>
      <c r="C377" s="20" t="s">
        <v>316</v>
      </c>
      <c r="D377" s="20" t="s">
        <v>167</v>
      </c>
      <c r="E377" s="20" t="s">
        <v>143</v>
      </c>
      <c r="F377" s="20" t="s">
        <v>147</v>
      </c>
      <c r="G377" s="27">
        <v>6754.9</v>
      </c>
      <c r="H377" s="187"/>
    </row>
    <row r="378" spans="1:8" ht="31.5" hidden="1">
      <c r="A378" s="25" t="s">
        <v>148</v>
      </c>
      <c r="B378" s="16">
        <v>903</v>
      </c>
      <c r="C378" s="20" t="s">
        <v>316</v>
      </c>
      <c r="D378" s="20" t="s">
        <v>167</v>
      </c>
      <c r="E378" s="20" t="s">
        <v>143</v>
      </c>
      <c r="F378" s="20" t="s">
        <v>149</v>
      </c>
      <c r="G378" s="26">
        <f>G379</f>
        <v>0</v>
      </c>
      <c r="H378" s="187"/>
    </row>
    <row r="379" spans="1:8" ht="47.25" hidden="1">
      <c r="A379" s="25" t="s">
        <v>150</v>
      </c>
      <c r="B379" s="16">
        <v>903</v>
      </c>
      <c r="C379" s="20" t="s">
        <v>316</v>
      </c>
      <c r="D379" s="20" t="s">
        <v>167</v>
      </c>
      <c r="E379" s="20" t="s">
        <v>143</v>
      </c>
      <c r="F379" s="20" t="s">
        <v>151</v>
      </c>
      <c r="G379" s="26"/>
      <c r="H379" s="187"/>
    </row>
    <row r="380" spans="1:8" ht="15.75">
      <c r="A380" s="25" t="s">
        <v>158</v>
      </c>
      <c r="B380" s="16">
        <v>903</v>
      </c>
      <c r="C380" s="20" t="s">
        <v>316</v>
      </c>
      <c r="D380" s="20" t="s">
        <v>167</v>
      </c>
      <c r="E380" s="20" t="s">
        <v>159</v>
      </c>
      <c r="F380" s="20"/>
      <c r="G380" s="26">
        <f>G381</f>
        <v>10393.9</v>
      </c>
      <c r="H380" s="187"/>
    </row>
    <row r="381" spans="1:11" ht="31.5">
      <c r="A381" s="25" t="s">
        <v>357</v>
      </c>
      <c r="B381" s="16">
        <v>903</v>
      </c>
      <c r="C381" s="20" t="s">
        <v>316</v>
      </c>
      <c r="D381" s="20" t="s">
        <v>167</v>
      </c>
      <c r="E381" s="20" t="s">
        <v>358</v>
      </c>
      <c r="F381" s="20"/>
      <c r="G381" s="26">
        <f>G382+G384+G386</f>
        <v>10393.9</v>
      </c>
      <c r="H381" s="187"/>
      <c r="J381" s="412"/>
      <c r="K381" s="412"/>
    </row>
    <row r="382" spans="1:11" ht="94.5">
      <c r="A382" s="25" t="s">
        <v>144</v>
      </c>
      <c r="B382" s="16">
        <v>903</v>
      </c>
      <c r="C382" s="20" t="s">
        <v>316</v>
      </c>
      <c r="D382" s="20" t="s">
        <v>167</v>
      </c>
      <c r="E382" s="20" t="s">
        <v>358</v>
      </c>
      <c r="F382" s="20" t="s">
        <v>145</v>
      </c>
      <c r="G382" s="26">
        <f>G383</f>
        <v>8721.4</v>
      </c>
      <c r="H382" s="187"/>
      <c r="J382" s="412"/>
      <c r="K382" s="412"/>
    </row>
    <row r="383" spans="1:11" ht="31.5">
      <c r="A383" s="25" t="s">
        <v>359</v>
      </c>
      <c r="B383" s="16">
        <v>903</v>
      </c>
      <c r="C383" s="20" t="s">
        <v>316</v>
      </c>
      <c r="D383" s="20" t="s">
        <v>167</v>
      </c>
      <c r="E383" s="20" t="s">
        <v>358</v>
      </c>
      <c r="F383" s="20" t="s">
        <v>226</v>
      </c>
      <c r="G383" s="27">
        <f>8596.3-84.9+210</f>
        <v>8721.4</v>
      </c>
      <c r="H383" s="114"/>
      <c r="I383" s="133"/>
      <c r="J383" s="412"/>
      <c r="K383" s="412"/>
    </row>
    <row r="384" spans="1:11" ht="31.5">
      <c r="A384" s="25" t="s">
        <v>148</v>
      </c>
      <c r="B384" s="16">
        <v>903</v>
      </c>
      <c r="C384" s="20" t="s">
        <v>316</v>
      </c>
      <c r="D384" s="20" t="s">
        <v>167</v>
      </c>
      <c r="E384" s="20" t="s">
        <v>358</v>
      </c>
      <c r="F384" s="20" t="s">
        <v>149</v>
      </c>
      <c r="G384" s="26">
        <f>G385</f>
        <v>1652.5</v>
      </c>
      <c r="H384" s="187"/>
      <c r="J384" s="412"/>
      <c r="K384" s="412"/>
    </row>
    <row r="385" spans="1:11" ht="47.25">
      <c r="A385" s="25" t="s">
        <v>150</v>
      </c>
      <c r="B385" s="16">
        <v>903</v>
      </c>
      <c r="C385" s="20" t="s">
        <v>316</v>
      </c>
      <c r="D385" s="20" t="s">
        <v>167</v>
      </c>
      <c r="E385" s="20" t="s">
        <v>358</v>
      </c>
      <c r="F385" s="20" t="s">
        <v>151</v>
      </c>
      <c r="G385" s="27">
        <f>1663.9+135.6-147</f>
        <v>1652.5</v>
      </c>
      <c r="H385" s="114"/>
      <c r="I385" s="134"/>
      <c r="J385" s="412"/>
      <c r="K385" s="412"/>
    </row>
    <row r="386" spans="1:11" ht="15.75">
      <c r="A386" s="25" t="s">
        <v>152</v>
      </c>
      <c r="B386" s="16">
        <v>903</v>
      </c>
      <c r="C386" s="20" t="s">
        <v>316</v>
      </c>
      <c r="D386" s="20" t="s">
        <v>167</v>
      </c>
      <c r="E386" s="20" t="s">
        <v>358</v>
      </c>
      <c r="F386" s="20" t="s">
        <v>162</v>
      </c>
      <c r="G386" s="26">
        <f>G387</f>
        <v>20</v>
      </c>
      <c r="H386" s="187"/>
      <c r="J386" s="412"/>
      <c r="K386" s="412"/>
    </row>
    <row r="387" spans="1:11" ht="15.75">
      <c r="A387" s="25" t="s">
        <v>585</v>
      </c>
      <c r="B387" s="16">
        <v>903</v>
      </c>
      <c r="C387" s="20" t="s">
        <v>316</v>
      </c>
      <c r="D387" s="20" t="s">
        <v>167</v>
      </c>
      <c r="E387" s="20" t="s">
        <v>358</v>
      </c>
      <c r="F387" s="20" t="s">
        <v>155</v>
      </c>
      <c r="G387" s="26">
        <v>20</v>
      </c>
      <c r="H387" s="187"/>
      <c r="J387" s="412"/>
      <c r="K387" s="412"/>
    </row>
    <row r="388" spans="1:8" ht="15.75">
      <c r="A388" s="23" t="s">
        <v>260</v>
      </c>
      <c r="B388" s="19">
        <v>903</v>
      </c>
      <c r="C388" s="24" t="s">
        <v>261</v>
      </c>
      <c r="D388" s="24"/>
      <c r="E388" s="24"/>
      <c r="F388" s="24"/>
      <c r="G388" s="21">
        <f>G389</f>
        <v>4625</v>
      </c>
      <c r="H388" s="187"/>
    </row>
    <row r="389" spans="1:8" ht="15.75">
      <c r="A389" s="23" t="s">
        <v>269</v>
      </c>
      <c r="B389" s="19">
        <v>903</v>
      </c>
      <c r="C389" s="24" t="s">
        <v>261</v>
      </c>
      <c r="D389" s="24" t="s">
        <v>232</v>
      </c>
      <c r="E389" s="24"/>
      <c r="F389" s="24"/>
      <c r="G389" s="21">
        <f>G390+G443</f>
        <v>4625</v>
      </c>
      <c r="H389" s="187"/>
    </row>
    <row r="390" spans="1:8" ht="47.25">
      <c r="A390" s="25" t="s">
        <v>360</v>
      </c>
      <c r="B390" s="16">
        <v>903</v>
      </c>
      <c r="C390" s="20" t="s">
        <v>261</v>
      </c>
      <c r="D390" s="20" t="s">
        <v>232</v>
      </c>
      <c r="E390" s="20" t="s">
        <v>361</v>
      </c>
      <c r="F390" s="20"/>
      <c r="G390" s="26">
        <f>G391+G399+G403+G407+G413+G417+G421+G439</f>
        <v>3693</v>
      </c>
      <c r="H390" s="187"/>
    </row>
    <row r="391" spans="1:8" ht="31.5">
      <c r="A391" s="25" t="s">
        <v>362</v>
      </c>
      <c r="B391" s="16">
        <v>903</v>
      </c>
      <c r="C391" s="20" t="s">
        <v>261</v>
      </c>
      <c r="D391" s="20" t="s">
        <v>232</v>
      </c>
      <c r="E391" s="20" t="s">
        <v>363</v>
      </c>
      <c r="F391" s="20"/>
      <c r="G391" s="26">
        <f>G392+G396</f>
        <v>935</v>
      </c>
      <c r="H391" s="187"/>
    </row>
    <row r="392" spans="1:8" ht="31.5">
      <c r="A392" s="25" t="s">
        <v>148</v>
      </c>
      <c r="B392" s="16">
        <v>903</v>
      </c>
      <c r="C392" s="20" t="s">
        <v>261</v>
      </c>
      <c r="D392" s="20" t="s">
        <v>232</v>
      </c>
      <c r="E392" s="20" t="s">
        <v>364</v>
      </c>
      <c r="F392" s="20" t="s">
        <v>149</v>
      </c>
      <c r="G392" s="26">
        <f>G393</f>
        <v>666.4</v>
      </c>
      <c r="H392" s="187"/>
    </row>
    <row r="393" spans="1:8" ht="47.25">
      <c r="A393" s="25" t="s">
        <v>150</v>
      </c>
      <c r="B393" s="16">
        <v>903</v>
      </c>
      <c r="C393" s="20" t="s">
        <v>261</v>
      </c>
      <c r="D393" s="20" t="s">
        <v>232</v>
      </c>
      <c r="E393" s="20" t="s">
        <v>364</v>
      </c>
      <c r="F393" s="20" t="s">
        <v>151</v>
      </c>
      <c r="G393" s="26">
        <f>669.4-3</f>
        <v>666.4</v>
      </c>
      <c r="H393" s="187"/>
    </row>
    <row r="394" spans="1:8" ht="31.5" hidden="1">
      <c r="A394" s="25" t="s">
        <v>265</v>
      </c>
      <c r="B394" s="16">
        <v>903</v>
      </c>
      <c r="C394" s="20" t="s">
        <v>261</v>
      </c>
      <c r="D394" s="20" t="s">
        <v>232</v>
      </c>
      <c r="E394" s="20" t="s">
        <v>364</v>
      </c>
      <c r="F394" s="20" t="s">
        <v>266</v>
      </c>
      <c r="G394" s="26">
        <f>G395</f>
        <v>0</v>
      </c>
      <c r="H394" s="187"/>
    </row>
    <row r="395" spans="1:8" ht="31.5" hidden="1">
      <c r="A395" s="25" t="s">
        <v>365</v>
      </c>
      <c r="B395" s="16">
        <v>903</v>
      </c>
      <c r="C395" s="20" t="s">
        <v>261</v>
      </c>
      <c r="D395" s="20" t="s">
        <v>232</v>
      </c>
      <c r="E395" s="20" t="s">
        <v>364</v>
      </c>
      <c r="F395" s="20" t="s">
        <v>366</v>
      </c>
      <c r="G395" s="26">
        <v>0</v>
      </c>
      <c r="H395" s="187"/>
    </row>
    <row r="396" spans="1:8" ht="31.5">
      <c r="A396" s="25" t="s">
        <v>367</v>
      </c>
      <c r="B396" s="16">
        <v>903</v>
      </c>
      <c r="C396" s="20" t="s">
        <v>261</v>
      </c>
      <c r="D396" s="20" t="s">
        <v>232</v>
      </c>
      <c r="E396" s="20" t="s">
        <v>368</v>
      </c>
      <c r="F396" s="20"/>
      <c r="G396" s="26">
        <f>G397</f>
        <v>268.6</v>
      </c>
      <c r="H396" s="187"/>
    </row>
    <row r="397" spans="1:8" ht="47.25">
      <c r="A397" s="25" t="s">
        <v>289</v>
      </c>
      <c r="B397" s="16">
        <v>903</v>
      </c>
      <c r="C397" s="20" t="s">
        <v>261</v>
      </c>
      <c r="D397" s="20" t="s">
        <v>232</v>
      </c>
      <c r="E397" s="20" t="s">
        <v>368</v>
      </c>
      <c r="F397" s="20" t="s">
        <v>290</v>
      </c>
      <c r="G397" s="26">
        <f>G398</f>
        <v>268.6</v>
      </c>
      <c r="H397" s="187"/>
    </row>
    <row r="398" spans="1:8" ht="15.75">
      <c r="A398" s="25" t="s">
        <v>291</v>
      </c>
      <c r="B398" s="16">
        <v>903</v>
      </c>
      <c r="C398" s="20" t="s">
        <v>261</v>
      </c>
      <c r="D398" s="20" t="s">
        <v>232</v>
      </c>
      <c r="E398" s="20" t="s">
        <v>368</v>
      </c>
      <c r="F398" s="20" t="s">
        <v>292</v>
      </c>
      <c r="G398" s="26">
        <f>160.5+108.1</f>
        <v>268.6</v>
      </c>
      <c r="H398" s="114"/>
    </row>
    <row r="399" spans="1:8" ht="31.5">
      <c r="A399" s="25" t="s">
        <v>369</v>
      </c>
      <c r="B399" s="16">
        <v>903</v>
      </c>
      <c r="C399" s="20" t="s">
        <v>261</v>
      </c>
      <c r="D399" s="20" t="s">
        <v>232</v>
      </c>
      <c r="E399" s="20" t="s">
        <v>370</v>
      </c>
      <c r="F399" s="20"/>
      <c r="G399" s="26">
        <f>G400</f>
        <v>63</v>
      </c>
      <c r="H399" s="187"/>
    </row>
    <row r="400" spans="1:8" ht="31.5">
      <c r="A400" s="25" t="s">
        <v>174</v>
      </c>
      <c r="B400" s="16">
        <v>903</v>
      </c>
      <c r="C400" s="20" t="s">
        <v>261</v>
      </c>
      <c r="D400" s="20" t="s">
        <v>232</v>
      </c>
      <c r="E400" s="20" t="s">
        <v>371</v>
      </c>
      <c r="F400" s="20"/>
      <c r="G400" s="26">
        <f>G401</f>
        <v>63</v>
      </c>
      <c r="H400" s="187"/>
    </row>
    <row r="401" spans="1:8" ht="31.5">
      <c r="A401" s="25" t="s">
        <v>265</v>
      </c>
      <c r="B401" s="16">
        <v>903</v>
      </c>
      <c r="C401" s="20" t="s">
        <v>261</v>
      </c>
      <c r="D401" s="20" t="s">
        <v>232</v>
      </c>
      <c r="E401" s="20" t="s">
        <v>371</v>
      </c>
      <c r="F401" s="20" t="s">
        <v>266</v>
      </c>
      <c r="G401" s="26">
        <f>G402</f>
        <v>63</v>
      </c>
      <c r="H401" s="187"/>
    </row>
    <row r="402" spans="1:8" ht="31.5">
      <c r="A402" s="25" t="s">
        <v>267</v>
      </c>
      <c r="B402" s="16">
        <v>903</v>
      </c>
      <c r="C402" s="20" t="s">
        <v>261</v>
      </c>
      <c r="D402" s="20" t="s">
        <v>232</v>
      </c>
      <c r="E402" s="20" t="s">
        <v>371</v>
      </c>
      <c r="F402" s="20" t="s">
        <v>268</v>
      </c>
      <c r="G402" s="26">
        <f>60+3</f>
        <v>63</v>
      </c>
      <c r="H402" s="187"/>
    </row>
    <row r="403" spans="1:8" ht="31.5">
      <c r="A403" s="25" t="s">
        <v>372</v>
      </c>
      <c r="B403" s="16">
        <v>903</v>
      </c>
      <c r="C403" s="16">
        <v>10</v>
      </c>
      <c r="D403" s="20" t="s">
        <v>232</v>
      </c>
      <c r="E403" s="20" t="s">
        <v>373</v>
      </c>
      <c r="F403" s="20"/>
      <c r="G403" s="26">
        <f>G404</f>
        <v>420</v>
      </c>
      <c r="H403" s="187"/>
    </row>
    <row r="404" spans="1:8" ht="31.5">
      <c r="A404" s="25" t="s">
        <v>174</v>
      </c>
      <c r="B404" s="16">
        <v>903</v>
      </c>
      <c r="C404" s="20" t="s">
        <v>261</v>
      </c>
      <c r="D404" s="20" t="s">
        <v>232</v>
      </c>
      <c r="E404" s="20" t="s">
        <v>374</v>
      </c>
      <c r="F404" s="20"/>
      <c r="G404" s="26">
        <f>G405</f>
        <v>420</v>
      </c>
      <c r="H404" s="187"/>
    </row>
    <row r="405" spans="1:8" ht="31.5">
      <c r="A405" s="25" t="s">
        <v>265</v>
      </c>
      <c r="B405" s="16">
        <v>903</v>
      </c>
      <c r="C405" s="20" t="s">
        <v>261</v>
      </c>
      <c r="D405" s="20" t="s">
        <v>232</v>
      </c>
      <c r="E405" s="20" t="s">
        <v>374</v>
      </c>
      <c r="F405" s="20" t="s">
        <v>266</v>
      </c>
      <c r="G405" s="26">
        <f>G406</f>
        <v>420</v>
      </c>
      <c r="H405" s="187"/>
    </row>
    <row r="406" spans="1:8" ht="31.5">
      <c r="A406" s="25" t="s">
        <v>365</v>
      </c>
      <c r="B406" s="16">
        <v>903</v>
      </c>
      <c r="C406" s="20" t="s">
        <v>261</v>
      </c>
      <c r="D406" s="20" t="s">
        <v>232</v>
      </c>
      <c r="E406" s="20" t="s">
        <v>374</v>
      </c>
      <c r="F406" s="20" t="s">
        <v>366</v>
      </c>
      <c r="G406" s="26">
        <v>420</v>
      </c>
      <c r="H406" s="187"/>
    </row>
    <row r="407" spans="1:8" ht="15.75">
      <c r="A407" s="25" t="s">
        <v>375</v>
      </c>
      <c r="B407" s="16">
        <v>903</v>
      </c>
      <c r="C407" s="16">
        <v>10</v>
      </c>
      <c r="D407" s="20" t="s">
        <v>232</v>
      </c>
      <c r="E407" s="20" t="s">
        <v>376</v>
      </c>
      <c r="F407" s="20"/>
      <c r="G407" s="26">
        <f>G408</f>
        <v>1595</v>
      </c>
      <c r="H407" s="187"/>
    </row>
    <row r="408" spans="1:8" ht="31.5">
      <c r="A408" s="25" t="s">
        <v>174</v>
      </c>
      <c r="B408" s="16">
        <v>903</v>
      </c>
      <c r="C408" s="20" t="s">
        <v>261</v>
      </c>
      <c r="D408" s="20" t="s">
        <v>232</v>
      </c>
      <c r="E408" s="20" t="s">
        <v>377</v>
      </c>
      <c r="F408" s="20"/>
      <c r="G408" s="26">
        <f>G409+G411</f>
        <v>1595</v>
      </c>
      <c r="H408" s="187"/>
    </row>
    <row r="409" spans="1:8" ht="31.5">
      <c r="A409" s="25" t="s">
        <v>148</v>
      </c>
      <c r="B409" s="16">
        <v>903</v>
      </c>
      <c r="C409" s="20" t="s">
        <v>261</v>
      </c>
      <c r="D409" s="20" t="s">
        <v>232</v>
      </c>
      <c r="E409" s="20" t="s">
        <v>377</v>
      </c>
      <c r="F409" s="20" t="s">
        <v>149</v>
      </c>
      <c r="G409" s="26">
        <f>G410</f>
        <v>547</v>
      </c>
      <c r="H409" s="187"/>
    </row>
    <row r="410" spans="1:8" ht="47.25">
      <c r="A410" s="25" t="s">
        <v>150</v>
      </c>
      <c r="B410" s="16">
        <v>903</v>
      </c>
      <c r="C410" s="20" t="s">
        <v>261</v>
      </c>
      <c r="D410" s="20" t="s">
        <v>232</v>
      </c>
      <c r="E410" s="20" t="s">
        <v>377</v>
      </c>
      <c r="F410" s="20" t="s">
        <v>151</v>
      </c>
      <c r="G410" s="172">
        <f>552-50+45</f>
        <v>547</v>
      </c>
      <c r="H410" s="167" t="s">
        <v>773</v>
      </c>
    </row>
    <row r="411" spans="1:8" ht="31.5">
      <c r="A411" s="25" t="s">
        <v>265</v>
      </c>
      <c r="B411" s="16">
        <v>903</v>
      </c>
      <c r="C411" s="20" t="s">
        <v>261</v>
      </c>
      <c r="D411" s="20" t="s">
        <v>232</v>
      </c>
      <c r="E411" s="20" t="s">
        <v>377</v>
      </c>
      <c r="F411" s="20" t="s">
        <v>266</v>
      </c>
      <c r="G411" s="26">
        <f>G412</f>
        <v>1048</v>
      </c>
      <c r="H411" s="187"/>
    </row>
    <row r="412" spans="1:8" ht="31.5">
      <c r="A412" s="25" t="s">
        <v>365</v>
      </c>
      <c r="B412" s="16">
        <v>903</v>
      </c>
      <c r="C412" s="20" t="s">
        <v>261</v>
      </c>
      <c r="D412" s="20" t="s">
        <v>232</v>
      </c>
      <c r="E412" s="20" t="s">
        <v>377</v>
      </c>
      <c r="F412" s="20" t="s">
        <v>366</v>
      </c>
      <c r="G412" s="26">
        <v>1048</v>
      </c>
      <c r="H412" s="187"/>
    </row>
    <row r="413" spans="1:8" ht="47.25">
      <c r="A413" s="25" t="s">
        <v>378</v>
      </c>
      <c r="B413" s="16">
        <v>903</v>
      </c>
      <c r="C413" s="20" t="s">
        <v>261</v>
      </c>
      <c r="D413" s="20" t="s">
        <v>232</v>
      </c>
      <c r="E413" s="20" t="s">
        <v>379</v>
      </c>
      <c r="F413" s="20"/>
      <c r="G413" s="26">
        <f>G414</f>
        <v>335</v>
      </c>
      <c r="H413" s="187"/>
    </row>
    <row r="414" spans="1:8" ht="31.5">
      <c r="A414" s="25" t="s">
        <v>174</v>
      </c>
      <c r="B414" s="16">
        <v>903</v>
      </c>
      <c r="C414" s="20" t="s">
        <v>261</v>
      </c>
      <c r="D414" s="20" t="s">
        <v>232</v>
      </c>
      <c r="E414" s="20" t="s">
        <v>380</v>
      </c>
      <c r="F414" s="20"/>
      <c r="G414" s="26">
        <f>G415</f>
        <v>335</v>
      </c>
      <c r="H414" s="187"/>
    </row>
    <row r="415" spans="1:8" ht="31.5">
      <c r="A415" s="25" t="s">
        <v>265</v>
      </c>
      <c r="B415" s="16">
        <v>903</v>
      </c>
      <c r="C415" s="20" t="s">
        <v>261</v>
      </c>
      <c r="D415" s="20" t="s">
        <v>232</v>
      </c>
      <c r="E415" s="20" t="s">
        <v>380</v>
      </c>
      <c r="F415" s="20" t="s">
        <v>266</v>
      </c>
      <c r="G415" s="26">
        <f>G416</f>
        <v>335</v>
      </c>
      <c r="H415" s="187"/>
    </row>
    <row r="416" spans="1:8" ht="31.5">
      <c r="A416" s="25" t="s">
        <v>365</v>
      </c>
      <c r="B416" s="16">
        <v>903</v>
      </c>
      <c r="C416" s="20" t="s">
        <v>261</v>
      </c>
      <c r="D416" s="20" t="s">
        <v>232</v>
      </c>
      <c r="E416" s="20" t="s">
        <v>380</v>
      </c>
      <c r="F416" s="20" t="s">
        <v>366</v>
      </c>
      <c r="G416" s="26">
        <f>400-65</f>
        <v>335</v>
      </c>
      <c r="H416" s="187"/>
    </row>
    <row r="417" spans="1:8" ht="63">
      <c r="A417" s="25" t="s">
        <v>381</v>
      </c>
      <c r="B417" s="16">
        <v>903</v>
      </c>
      <c r="C417" s="20" t="s">
        <v>261</v>
      </c>
      <c r="D417" s="20" t="s">
        <v>232</v>
      </c>
      <c r="E417" s="20" t="s">
        <v>382</v>
      </c>
      <c r="F417" s="20"/>
      <c r="G417" s="26">
        <f>G418</f>
        <v>210</v>
      </c>
      <c r="H417" s="187"/>
    </row>
    <row r="418" spans="1:8" ht="31.5">
      <c r="A418" s="25" t="s">
        <v>174</v>
      </c>
      <c r="B418" s="16">
        <v>903</v>
      </c>
      <c r="C418" s="20" t="s">
        <v>261</v>
      </c>
      <c r="D418" s="20" t="s">
        <v>232</v>
      </c>
      <c r="E418" s="20" t="s">
        <v>383</v>
      </c>
      <c r="F418" s="20"/>
      <c r="G418" s="26">
        <f>G419</f>
        <v>210</v>
      </c>
      <c r="H418" s="187"/>
    </row>
    <row r="419" spans="1:8" ht="31.5">
      <c r="A419" s="25" t="s">
        <v>148</v>
      </c>
      <c r="B419" s="16">
        <v>903</v>
      </c>
      <c r="C419" s="20" t="s">
        <v>261</v>
      </c>
      <c r="D419" s="20" t="s">
        <v>232</v>
      </c>
      <c r="E419" s="20" t="s">
        <v>383</v>
      </c>
      <c r="F419" s="20" t="s">
        <v>149</v>
      </c>
      <c r="G419" s="26">
        <f>G420</f>
        <v>210</v>
      </c>
      <c r="H419" s="187"/>
    </row>
    <row r="420" spans="1:8" ht="47.25">
      <c r="A420" s="25" t="s">
        <v>150</v>
      </c>
      <c r="B420" s="16">
        <v>903</v>
      </c>
      <c r="C420" s="20" t="s">
        <v>261</v>
      </c>
      <c r="D420" s="20" t="s">
        <v>232</v>
      </c>
      <c r="E420" s="20" t="s">
        <v>383</v>
      </c>
      <c r="F420" s="20" t="s">
        <v>151</v>
      </c>
      <c r="G420" s="26">
        <f>150+60</f>
        <v>210</v>
      </c>
      <c r="H420" s="187"/>
    </row>
    <row r="421" spans="1:8" ht="63">
      <c r="A421" s="25" t="s">
        <v>384</v>
      </c>
      <c r="B421" s="16">
        <v>903</v>
      </c>
      <c r="C421" s="20" t="s">
        <v>261</v>
      </c>
      <c r="D421" s="20" t="s">
        <v>232</v>
      </c>
      <c r="E421" s="20" t="s">
        <v>385</v>
      </c>
      <c r="F421" s="20"/>
      <c r="G421" s="26">
        <f>G422+G434+G428+G431</f>
        <v>30</v>
      </c>
      <c r="H421" s="187"/>
    </row>
    <row r="422" spans="1:8" ht="47.25" customHeight="1">
      <c r="A422" s="25" t="s">
        <v>386</v>
      </c>
      <c r="B422" s="16">
        <v>903</v>
      </c>
      <c r="C422" s="20" t="s">
        <v>261</v>
      </c>
      <c r="D422" s="20" t="s">
        <v>232</v>
      </c>
      <c r="E422" s="20" t="s">
        <v>387</v>
      </c>
      <c r="F422" s="20"/>
      <c r="G422" s="26">
        <f>G423</f>
        <v>20</v>
      </c>
      <c r="H422" s="187"/>
    </row>
    <row r="423" spans="1:8" ht="47.25">
      <c r="A423" s="25" t="s">
        <v>289</v>
      </c>
      <c r="B423" s="16">
        <v>903</v>
      </c>
      <c r="C423" s="20" t="s">
        <v>261</v>
      </c>
      <c r="D423" s="20" t="s">
        <v>232</v>
      </c>
      <c r="E423" s="20" t="s">
        <v>387</v>
      </c>
      <c r="F423" s="20" t="s">
        <v>290</v>
      </c>
      <c r="G423" s="26">
        <f>G424</f>
        <v>20</v>
      </c>
      <c r="H423" s="187"/>
    </row>
    <row r="424" spans="1:8" ht="63">
      <c r="A424" s="40" t="s">
        <v>388</v>
      </c>
      <c r="B424" s="16">
        <v>903</v>
      </c>
      <c r="C424" s="20" t="s">
        <v>261</v>
      </c>
      <c r="D424" s="20" t="s">
        <v>232</v>
      </c>
      <c r="E424" s="20" t="s">
        <v>387</v>
      </c>
      <c r="F424" s="20" t="s">
        <v>389</v>
      </c>
      <c r="G424" s="26">
        <f>30-10</f>
        <v>20</v>
      </c>
      <c r="H424" s="114"/>
    </row>
    <row r="425" spans="1:8" ht="15.75" hidden="1">
      <c r="A425" s="40"/>
      <c r="B425" s="16"/>
      <c r="C425" s="20"/>
      <c r="D425" s="20"/>
      <c r="E425" s="20"/>
      <c r="F425" s="20"/>
      <c r="G425" s="26"/>
      <c r="H425" s="116"/>
    </row>
    <row r="426" spans="1:8" ht="15.75" hidden="1">
      <c r="A426" s="40"/>
      <c r="B426" s="16"/>
      <c r="C426" s="20"/>
      <c r="D426" s="20"/>
      <c r="E426" s="20"/>
      <c r="F426" s="20"/>
      <c r="G426" s="26"/>
      <c r="H426" s="116"/>
    </row>
    <row r="427" spans="1:8" ht="15.75" hidden="1">
      <c r="A427" s="40"/>
      <c r="B427" s="16"/>
      <c r="C427" s="20"/>
      <c r="D427" s="20"/>
      <c r="E427" s="20"/>
      <c r="F427" s="20"/>
      <c r="G427" s="26"/>
      <c r="H427" s="116"/>
    </row>
    <row r="428" spans="1:8" ht="126" hidden="1">
      <c r="A428" s="25" t="s">
        <v>390</v>
      </c>
      <c r="B428" s="16">
        <v>903</v>
      </c>
      <c r="C428" s="20" t="s">
        <v>261</v>
      </c>
      <c r="D428" s="20" t="s">
        <v>232</v>
      </c>
      <c r="E428" s="20" t="s">
        <v>391</v>
      </c>
      <c r="F428" s="20"/>
      <c r="G428" s="26">
        <f>G429</f>
        <v>0</v>
      </c>
      <c r="H428" s="187"/>
    </row>
    <row r="429" spans="1:8" ht="15.75" hidden="1">
      <c r="A429" s="25" t="s">
        <v>152</v>
      </c>
      <c r="B429" s="16">
        <v>903</v>
      </c>
      <c r="C429" s="20" t="s">
        <v>261</v>
      </c>
      <c r="D429" s="20" t="s">
        <v>232</v>
      </c>
      <c r="E429" s="20" t="s">
        <v>391</v>
      </c>
      <c r="F429" s="20" t="s">
        <v>162</v>
      </c>
      <c r="G429" s="26">
        <f>G430</f>
        <v>0</v>
      </c>
      <c r="H429" s="187"/>
    </row>
    <row r="430" spans="1:8" ht="63" hidden="1">
      <c r="A430" s="25" t="s">
        <v>201</v>
      </c>
      <c r="B430" s="16">
        <v>903</v>
      </c>
      <c r="C430" s="20" t="s">
        <v>261</v>
      </c>
      <c r="D430" s="20" t="s">
        <v>232</v>
      </c>
      <c r="E430" s="20" t="s">
        <v>391</v>
      </c>
      <c r="F430" s="20" t="s">
        <v>177</v>
      </c>
      <c r="G430" s="26">
        <v>0</v>
      </c>
      <c r="H430" s="187"/>
    </row>
    <row r="431" spans="1:8" ht="63">
      <c r="A431" s="25" t="s">
        <v>392</v>
      </c>
      <c r="B431" s="16">
        <v>903</v>
      </c>
      <c r="C431" s="20" t="s">
        <v>261</v>
      </c>
      <c r="D431" s="20" t="s">
        <v>232</v>
      </c>
      <c r="E431" s="20" t="s">
        <v>393</v>
      </c>
      <c r="F431" s="20"/>
      <c r="G431" s="26">
        <f>G432</f>
        <v>10</v>
      </c>
      <c r="H431" s="187"/>
    </row>
    <row r="432" spans="1:8" ht="31.5">
      <c r="A432" s="25" t="s">
        <v>265</v>
      </c>
      <c r="B432" s="16">
        <v>903</v>
      </c>
      <c r="C432" s="20" t="s">
        <v>261</v>
      </c>
      <c r="D432" s="20" t="s">
        <v>232</v>
      </c>
      <c r="E432" s="20" t="s">
        <v>393</v>
      </c>
      <c r="F432" s="20" t="s">
        <v>266</v>
      </c>
      <c r="G432" s="26">
        <f>G433</f>
        <v>10</v>
      </c>
      <c r="H432" s="187"/>
    </row>
    <row r="433" spans="1:8" ht="31.5">
      <c r="A433" s="25" t="s">
        <v>267</v>
      </c>
      <c r="B433" s="16">
        <v>903</v>
      </c>
      <c r="C433" s="20" t="s">
        <v>261</v>
      </c>
      <c r="D433" s="20" t="s">
        <v>232</v>
      </c>
      <c r="E433" s="20" t="s">
        <v>393</v>
      </c>
      <c r="F433" s="20" t="s">
        <v>268</v>
      </c>
      <c r="G433" s="26">
        <v>10</v>
      </c>
      <c r="H433" s="114"/>
    </row>
    <row r="434" spans="1:8" ht="31.5" hidden="1">
      <c r="A434" s="25" t="s">
        <v>394</v>
      </c>
      <c r="B434" s="16">
        <v>903</v>
      </c>
      <c r="C434" s="20" t="s">
        <v>261</v>
      </c>
      <c r="D434" s="20" t="s">
        <v>232</v>
      </c>
      <c r="E434" s="20" t="s">
        <v>395</v>
      </c>
      <c r="F434" s="20"/>
      <c r="G434" s="26">
        <f>G435+G437</f>
        <v>0</v>
      </c>
      <c r="H434" s="187"/>
    </row>
    <row r="435" spans="1:8" ht="31.5" hidden="1">
      <c r="A435" s="25" t="s">
        <v>148</v>
      </c>
      <c r="B435" s="16">
        <v>903</v>
      </c>
      <c r="C435" s="20" t="s">
        <v>261</v>
      </c>
      <c r="D435" s="20" t="s">
        <v>232</v>
      </c>
      <c r="E435" s="20" t="s">
        <v>395</v>
      </c>
      <c r="F435" s="20" t="s">
        <v>149</v>
      </c>
      <c r="G435" s="26">
        <f>G436</f>
        <v>0</v>
      </c>
      <c r="H435" s="187"/>
    </row>
    <row r="436" spans="1:8" ht="47.25" hidden="1">
      <c r="A436" s="25" t="s">
        <v>150</v>
      </c>
      <c r="B436" s="16">
        <v>903</v>
      </c>
      <c r="C436" s="20" t="s">
        <v>261</v>
      </c>
      <c r="D436" s="20" t="s">
        <v>232</v>
      </c>
      <c r="E436" s="20" t="s">
        <v>395</v>
      </c>
      <c r="F436" s="20" t="s">
        <v>151</v>
      </c>
      <c r="G436" s="26">
        <v>0</v>
      </c>
      <c r="H436" s="187"/>
    </row>
    <row r="437" spans="1:8" ht="15.75" hidden="1">
      <c r="A437" s="25" t="s">
        <v>152</v>
      </c>
      <c r="B437" s="16">
        <v>903</v>
      </c>
      <c r="C437" s="20" t="s">
        <v>261</v>
      </c>
      <c r="D437" s="20" t="s">
        <v>232</v>
      </c>
      <c r="E437" s="20" t="s">
        <v>396</v>
      </c>
      <c r="F437" s="20" t="s">
        <v>162</v>
      </c>
      <c r="G437" s="26">
        <f>G438</f>
        <v>0</v>
      </c>
      <c r="H437" s="187"/>
    </row>
    <row r="438" spans="1:8" ht="63" hidden="1">
      <c r="A438" s="25" t="s">
        <v>201</v>
      </c>
      <c r="B438" s="16">
        <v>903</v>
      </c>
      <c r="C438" s="20" t="s">
        <v>261</v>
      </c>
      <c r="D438" s="20" t="s">
        <v>232</v>
      </c>
      <c r="E438" s="20" t="s">
        <v>396</v>
      </c>
      <c r="F438" s="20" t="s">
        <v>177</v>
      </c>
      <c r="G438" s="26">
        <v>0</v>
      </c>
      <c r="H438" s="187"/>
    </row>
    <row r="439" spans="1:8" ht="94.5">
      <c r="A439" s="30" t="s">
        <v>397</v>
      </c>
      <c r="B439" s="16">
        <v>903</v>
      </c>
      <c r="C439" s="41" t="s">
        <v>261</v>
      </c>
      <c r="D439" s="41" t="s">
        <v>232</v>
      </c>
      <c r="E439" s="41" t="s">
        <v>398</v>
      </c>
      <c r="F439" s="41"/>
      <c r="G439" s="26">
        <f>G440</f>
        <v>105</v>
      </c>
      <c r="H439" s="187"/>
    </row>
    <row r="440" spans="1:8" ht="31.5">
      <c r="A440" s="30" t="s">
        <v>174</v>
      </c>
      <c r="B440" s="16">
        <v>903</v>
      </c>
      <c r="C440" s="41" t="s">
        <v>261</v>
      </c>
      <c r="D440" s="41" t="s">
        <v>232</v>
      </c>
      <c r="E440" s="41" t="s">
        <v>399</v>
      </c>
      <c r="F440" s="41"/>
      <c r="G440" s="26">
        <f>G441</f>
        <v>105</v>
      </c>
      <c r="H440" s="187"/>
    </row>
    <row r="441" spans="1:8" ht="31.5">
      <c r="A441" s="30" t="s">
        <v>148</v>
      </c>
      <c r="B441" s="16">
        <v>903</v>
      </c>
      <c r="C441" s="41" t="s">
        <v>261</v>
      </c>
      <c r="D441" s="41" t="s">
        <v>232</v>
      </c>
      <c r="E441" s="41" t="s">
        <v>399</v>
      </c>
      <c r="F441" s="41" t="s">
        <v>149</v>
      </c>
      <c r="G441" s="26">
        <f>G442</f>
        <v>105</v>
      </c>
      <c r="H441" s="187"/>
    </row>
    <row r="442" spans="1:8" ht="47.25">
      <c r="A442" s="30" t="s">
        <v>150</v>
      </c>
      <c r="B442" s="16">
        <v>903</v>
      </c>
      <c r="C442" s="41" t="s">
        <v>261</v>
      </c>
      <c r="D442" s="41" t="s">
        <v>232</v>
      </c>
      <c r="E442" s="41" t="s">
        <v>399</v>
      </c>
      <c r="F442" s="41" t="s">
        <v>151</v>
      </c>
      <c r="G442" s="26">
        <f>50+55</f>
        <v>105</v>
      </c>
      <c r="H442" s="187"/>
    </row>
    <row r="443" spans="1:8" ht="15.75">
      <c r="A443" s="25" t="s">
        <v>138</v>
      </c>
      <c r="B443" s="16">
        <v>903</v>
      </c>
      <c r="C443" s="20" t="s">
        <v>261</v>
      </c>
      <c r="D443" s="20" t="s">
        <v>232</v>
      </c>
      <c r="E443" s="20" t="s">
        <v>139</v>
      </c>
      <c r="F443" s="20"/>
      <c r="G443" s="26">
        <f>G444+G455</f>
        <v>932</v>
      </c>
      <c r="H443" s="187"/>
    </row>
    <row r="444" spans="1:8" ht="31.5">
      <c r="A444" s="25" t="s">
        <v>202</v>
      </c>
      <c r="B444" s="16">
        <v>903</v>
      </c>
      <c r="C444" s="20" t="s">
        <v>261</v>
      </c>
      <c r="D444" s="20" t="s">
        <v>232</v>
      </c>
      <c r="E444" s="20" t="s">
        <v>203</v>
      </c>
      <c r="F444" s="20"/>
      <c r="G444" s="26">
        <f>G451+G445+G448</f>
        <v>932</v>
      </c>
      <c r="H444" s="187"/>
    </row>
    <row r="445" spans="1:8" ht="15.75">
      <c r="A445" s="25" t="s">
        <v>400</v>
      </c>
      <c r="B445" s="16">
        <v>903</v>
      </c>
      <c r="C445" s="20" t="s">
        <v>261</v>
      </c>
      <c r="D445" s="20" t="s">
        <v>232</v>
      </c>
      <c r="E445" s="20" t="s">
        <v>401</v>
      </c>
      <c r="F445" s="20"/>
      <c r="G445" s="26">
        <f>G446</f>
        <v>372.6</v>
      </c>
      <c r="H445" s="187"/>
    </row>
    <row r="446" spans="1:8" ht="31.5">
      <c r="A446" s="25" t="s">
        <v>265</v>
      </c>
      <c r="B446" s="16">
        <v>903</v>
      </c>
      <c r="C446" s="20" t="s">
        <v>261</v>
      </c>
      <c r="D446" s="20" t="s">
        <v>232</v>
      </c>
      <c r="E446" s="20" t="s">
        <v>401</v>
      </c>
      <c r="F446" s="20" t="s">
        <v>266</v>
      </c>
      <c r="G446" s="26">
        <f>G447</f>
        <v>372.6</v>
      </c>
      <c r="H446" s="187"/>
    </row>
    <row r="447" spans="1:9" ht="31.5">
      <c r="A447" s="25" t="s">
        <v>267</v>
      </c>
      <c r="B447" s="16">
        <v>903</v>
      </c>
      <c r="C447" s="20" t="s">
        <v>261</v>
      </c>
      <c r="D447" s="20" t="s">
        <v>232</v>
      </c>
      <c r="E447" s="20" t="s">
        <v>401</v>
      </c>
      <c r="F447" s="20" t="s">
        <v>268</v>
      </c>
      <c r="G447" s="26">
        <v>372.6</v>
      </c>
      <c r="H447" s="114"/>
      <c r="I447" s="133"/>
    </row>
    <row r="448" spans="1:10" ht="63">
      <c r="A448" s="25" t="s">
        <v>392</v>
      </c>
      <c r="B448" s="16">
        <v>903</v>
      </c>
      <c r="C448" s="20" t="s">
        <v>261</v>
      </c>
      <c r="D448" s="20" t="s">
        <v>232</v>
      </c>
      <c r="E448" s="20" t="s">
        <v>402</v>
      </c>
      <c r="F448" s="20"/>
      <c r="G448" s="26">
        <f>G449</f>
        <v>500</v>
      </c>
      <c r="H448" s="187"/>
      <c r="J448" s="117"/>
    </row>
    <row r="449" spans="1:10" ht="31.5">
      <c r="A449" s="25" t="s">
        <v>265</v>
      </c>
      <c r="B449" s="16">
        <v>903</v>
      </c>
      <c r="C449" s="20" t="s">
        <v>261</v>
      </c>
      <c r="D449" s="20" t="s">
        <v>232</v>
      </c>
      <c r="E449" s="20" t="s">
        <v>402</v>
      </c>
      <c r="F449" s="20" t="s">
        <v>266</v>
      </c>
      <c r="G449" s="26">
        <f>G450</f>
        <v>500</v>
      </c>
      <c r="H449" s="187"/>
      <c r="J449" s="117"/>
    </row>
    <row r="450" spans="1:10" ht="31.5">
      <c r="A450" s="25" t="s">
        <v>267</v>
      </c>
      <c r="B450" s="16">
        <v>903</v>
      </c>
      <c r="C450" s="20" t="s">
        <v>261</v>
      </c>
      <c r="D450" s="20" t="s">
        <v>232</v>
      </c>
      <c r="E450" s="20" t="s">
        <v>402</v>
      </c>
      <c r="F450" s="20" t="s">
        <v>268</v>
      </c>
      <c r="G450" s="26">
        <v>500</v>
      </c>
      <c r="H450" s="114"/>
      <c r="J450" s="117"/>
    </row>
    <row r="451" spans="1:10" ht="54" customHeight="1">
      <c r="A451" s="174" t="s">
        <v>761</v>
      </c>
      <c r="B451" s="16">
        <v>903</v>
      </c>
      <c r="C451" s="20" t="s">
        <v>261</v>
      </c>
      <c r="D451" s="20" t="s">
        <v>232</v>
      </c>
      <c r="E451" s="20" t="s">
        <v>403</v>
      </c>
      <c r="F451" s="20"/>
      <c r="G451" s="26">
        <f>G452</f>
        <v>59.4</v>
      </c>
      <c r="H451" s="187"/>
      <c r="J451" s="117"/>
    </row>
    <row r="452" spans="1:10" ht="31.5">
      <c r="A452" s="25" t="s">
        <v>265</v>
      </c>
      <c r="B452" s="16">
        <v>903</v>
      </c>
      <c r="C452" s="20" t="s">
        <v>261</v>
      </c>
      <c r="D452" s="20" t="s">
        <v>232</v>
      </c>
      <c r="E452" s="20" t="s">
        <v>403</v>
      </c>
      <c r="F452" s="20" t="s">
        <v>266</v>
      </c>
      <c r="G452" s="26">
        <f>G453+G454</f>
        <v>59.4</v>
      </c>
      <c r="H452" s="187"/>
      <c r="J452" s="117"/>
    </row>
    <row r="453" spans="1:10" ht="31.5">
      <c r="A453" s="25" t="s">
        <v>365</v>
      </c>
      <c r="B453" s="16">
        <v>903</v>
      </c>
      <c r="C453" s="20" t="s">
        <v>261</v>
      </c>
      <c r="D453" s="20" t="s">
        <v>232</v>
      </c>
      <c r="E453" s="20" t="s">
        <v>403</v>
      </c>
      <c r="F453" s="20" t="s">
        <v>366</v>
      </c>
      <c r="G453" s="172">
        <v>59.4</v>
      </c>
      <c r="H453" s="167" t="s">
        <v>751</v>
      </c>
      <c r="J453" s="117"/>
    </row>
    <row r="454" spans="1:8" ht="31.5">
      <c r="A454" s="25" t="s">
        <v>267</v>
      </c>
      <c r="B454" s="16">
        <v>903</v>
      </c>
      <c r="C454" s="20" t="s">
        <v>261</v>
      </c>
      <c r="D454" s="20" t="s">
        <v>232</v>
      </c>
      <c r="E454" s="20" t="s">
        <v>403</v>
      </c>
      <c r="F454" s="20" t="s">
        <v>268</v>
      </c>
      <c r="G454" s="26"/>
      <c r="H454" s="187"/>
    </row>
    <row r="455" spans="1:8" ht="15.75">
      <c r="A455" s="25" t="s">
        <v>158</v>
      </c>
      <c r="B455" s="16">
        <v>903</v>
      </c>
      <c r="C455" s="20" t="s">
        <v>261</v>
      </c>
      <c r="D455" s="20" t="s">
        <v>232</v>
      </c>
      <c r="E455" s="20" t="s">
        <v>159</v>
      </c>
      <c r="F455" s="20"/>
      <c r="G455" s="26">
        <f>G456</f>
        <v>0</v>
      </c>
      <c r="H455" s="187"/>
    </row>
    <row r="456" spans="1:8" ht="15.75">
      <c r="A456" s="25" t="s">
        <v>218</v>
      </c>
      <c r="B456" s="16">
        <v>903</v>
      </c>
      <c r="C456" s="20" t="s">
        <v>261</v>
      </c>
      <c r="D456" s="20" t="s">
        <v>232</v>
      </c>
      <c r="E456" s="20" t="s">
        <v>219</v>
      </c>
      <c r="F456" s="20"/>
      <c r="G456" s="26">
        <f>G457</f>
        <v>0</v>
      </c>
      <c r="H456" s="187"/>
    </row>
    <row r="457" spans="1:8" ht="31.5">
      <c r="A457" s="25" t="s">
        <v>265</v>
      </c>
      <c r="B457" s="16">
        <v>903</v>
      </c>
      <c r="C457" s="20" t="s">
        <v>261</v>
      </c>
      <c r="D457" s="20" t="s">
        <v>232</v>
      </c>
      <c r="E457" s="20" t="s">
        <v>219</v>
      </c>
      <c r="F457" s="20" t="s">
        <v>266</v>
      </c>
      <c r="G457" s="26">
        <f>G458</f>
        <v>0</v>
      </c>
      <c r="H457" s="187"/>
    </row>
    <row r="458" spans="1:8" ht="31.5">
      <c r="A458" s="25" t="s">
        <v>365</v>
      </c>
      <c r="B458" s="16">
        <v>903</v>
      </c>
      <c r="C458" s="20" t="s">
        <v>261</v>
      </c>
      <c r="D458" s="20" t="s">
        <v>232</v>
      </c>
      <c r="E458" s="20" t="s">
        <v>219</v>
      </c>
      <c r="F458" s="20" t="s">
        <v>366</v>
      </c>
      <c r="G458" s="26">
        <v>0</v>
      </c>
      <c r="H458" s="187"/>
    </row>
    <row r="459" spans="1:8" ht="47.25">
      <c r="A459" s="19" t="s">
        <v>404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87"/>
    </row>
    <row r="460" spans="1:8" ht="15.75">
      <c r="A460" s="23" t="s">
        <v>134</v>
      </c>
      <c r="B460" s="19">
        <v>905</v>
      </c>
      <c r="C460" s="24" t="s">
        <v>135</v>
      </c>
      <c r="D460" s="20"/>
      <c r="E460" s="20"/>
      <c r="F460" s="20"/>
      <c r="G460" s="21">
        <f>G461+G471</f>
        <v>14701.94</v>
      </c>
      <c r="H460" s="187"/>
    </row>
    <row r="461" spans="1:8" ht="78.75">
      <c r="A461" s="23" t="s">
        <v>166</v>
      </c>
      <c r="B461" s="19">
        <v>905</v>
      </c>
      <c r="C461" s="24" t="s">
        <v>135</v>
      </c>
      <c r="D461" s="24" t="s">
        <v>167</v>
      </c>
      <c r="E461" s="24"/>
      <c r="F461" s="24"/>
      <c r="G461" s="21">
        <f>G462</f>
        <v>11089</v>
      </c>
      <c r="H461" s="187"/>
    </row>
    <row r="462" spans="1:8" ht="15.75">
      <c r="A462" s="25" t="s">
        <v>138</v>
      </c>
      <c r="B462" s="16">
        <v>905</v>
      </c>
      <c r="C462" s="20" t="s">
        <v>135</v>
      </c>
      <c r="D462" s="20" t="s">
        <v>167</v>
      </c>
      <c r="E462" s="20" t="s">
        <v>139</v>
      </c>
      <c r="F462" s="20"/>
      <c r="G462" s="26">
        <f>G463</f>
        <v>11089</v>
      </c>
      <c r="H462" s="187"/>
    </row>
    <row r="463" spans="1:8" ht="31.5">
      <c r="A463" s="25" t="s">
        <v>140</v>
      </c>
      <c r="B463" s="16">
        <v>905</v>
      </c>
      <c r="C463" s="20" t="s">
        <v>135</v>
      </c>
      <c r="D463" s="20" t="s">
        <v>167</v>
      </c>
      <c r="E463" s="20" t="s">
        <v>141</v>
      </c>
      <c r="F463" s="20"/>
      <c r="G463" s="26">
        <f>G464</f>
        <v>11089</v>
      </c>
      <c r="H463" s="187"/>
    </row>
    <row r="464" spans="1:8" ht="47.25">
      <c r="A464" s="25" t="s">
        <v>142</v>
      </c>
      <c r="B464" s="16">
        <v>905</v>
      </c>
      <c r="C464" s="20" t="s">
        <v>135</v>
      </c>
      <c r="D464" s="20" t="s">
        <v>167</v>
      </c>
      <c r="E464" s="20" t="s">
        <v>143</v>
      </c>
      <c r="F464" s="20"/>
      <c r="G464" s="26">
        <f>G465+G467+G469</f>
        <v>11089</v>
      </c>
      <c r="H464" s="187"/>
    </row>
    <row r="465" spans="1:8" ht="94.5">
      <c r="A465" s="25" t="s">
        <v>144</v>
      </c>
      <c r="B465" s="16">
        <v>905</v>
      </c>
      <c r="C465" s="20" t="s">
        <v>135</v>
      </c>
      <c r="D465" s="20" t="s">
        <v>167</v>
      </c>
      <c r="E465" s="20" t="s">
        <v>143</v>
      </c>
      <c r="F465" s="20" t="s">
        <v>145</v>
      </c>
      <c r="G465" s="26">
        <f>G466</f>
        <v>10200.7</v>
      </c>
      <c r="H465" s="187"/>
    </row>
    <row r="466" spans="1:8" ht="31.5">
      <c r="A466" s="25" t="s">
        <v>146</v>
      </c>
      <c r="B466" s="16">
        <v>905</v>
      </c>
      <c r="C466" s="20" t="s">
        <v>135</v>
      </c>
      <c r="D466" s="20" t="s">
        <v>167</v>
      </c>
      <c r="E466" s="20" t="s">
        <v>143</v>
      </c>
      <c r="F466" s="20" t="s">
        <v>147</v>
      </c>
      <c r="G466" s="27">
        <v>10200.7</v>
      </c>
      <c r="H466" s="187"/>
    </row>
    <row r="467" spans="1:8" ht="31.5">
      <c r="A467" s="25" t="s">
        <v>148</v>
      </c>
      <c r="B467" s="16">
        <v>905</v>
      </c>
      <c r="C467" s="20" t="s">
        <v>135</v>
      </c>
      <c r="D467" s="20" t="s">
        <v>167</v>
      </c>
      <c r="E467" s="20" t="s">
        <v>143</v>
      </c>
      <c r="F467" s="20" t="s">
        <v>149</v>
      </c>
      <c r="G467" s="26">
        <f>G468</f>
        <v>811.8</v>
      </c>
      <c r="H467" s="187"/>
    </row>
    <row r="468" spans="1:8" ht="47.25">
      <c r="A468" s="25" t="s">
        <v>150</v>
      </c>
      <c r="B468" s="16">
        <v>905</v>
      </c>
      <c r="C468" s="20" t="s">
        <v>135</v>
      </c>
      <c r="D468" s="20" t="s">
        <v>167</v>
      </c>
      <c r="E468" s="20" t="s">
        <v>143</v>
      </c>
      <c r="F468" s="20" t="s">
        <v>151</v>
      </c>
      <c r="G468" s="166">
        <f>885.8-74</f>
        <v>811.8</v>
      </c>
      <c r="H468" s="167" t="s">
        <v>746</v>
      </c>
    </row>
    <row r="469" spans="1:8" ht="15.75">
      <c r="A469" s="25" t="s">
        <v>152</v>
      </c>
      <c r="B469" s="16">
        <v>905</v>
      </c>
      <c r="C469" s="20" t="s">
        <v>135</v>
      </c>
      <c r="D469" s="20" t="s">
        <v>167</v>
      </c>
      <c r="E469" s="20" t="s">
        <v>143</v>
      </c>
      <c r="F469" s="20" t="s">
        <v>162</v>
      </c>
      <c r="G469" s="26">
        <f>G470</f>
        <v>76.5</v>
      </c>
      <c r="H469" s="187"/>
    </row>
    <row r="470" spans="1:8" ht="15.75">
      <c r="A470" s="25" t="s">
        <v>585</v>
      </c>
      <c r="B470" s="16">
        <v>905</v>
      </c>
      <c r="C470" s="20" t="s">
        <v>135</v>
      </c>
      <c r="D470" s="20" t="s">
        <v>167</v>
      </c>
      <c r="E470" s="20" t="s">
        <v>143</v>
      </c>
      <c r="F470" s="20" t="s">
        <v>155</v>
      </c>
      <c r="G470" s="168">
        <f>2.5+74</f>
        <v>76.5</v>
      </c>
      <c r="H470" s="167" t="s">
        <v>747</v>
      </c>
    </row>
    <row r="471" spans="1:8" ht="15.75">
      <c r="A471" s="23" t="s">
        <v>156</v>
      </c>
      <c r="B471" s="19">
        <v>905</v>
      </c>
      <c r="C471" s="24" t="s">
        <v>135</v>
      </c>
      <c r="D471" s="24" t="s">
        <v>157</v>
      </c>
      <c r="E471" s="24"/>
      <c r="F471" s="24"/>
      <c r="G471" s="21">
        <f>G472</f>
        <v>3612.94</v>
      </c>
      <c r="H471" s="187"/>
    </row>
    <row r="472" spans="1:8" ht="15.75">
      <c r="A472" s="25" t="s">
        <v>138</v>
      </c>
      <c r="B472" s="16">
        <v>905</v>
      </c>
      <c r="C472" s="20" t="s">
        <v>135</v>
      </c>
      <c r="D472" s="20" t="s">
        <v>157</v>
      </c>
      <c r="E472" s="20" t="s">
        <v>139</v>
      </c>
      <c r="F472" s="20"/>
      <c r="G472" s="26">
        <f>G473</f>
        <v>3612.94</v>
      </c>
      <c r="H472" s="187"/>
    </row>
    <row r="473" spans="1:8" ht="15.75">
      <c r="A473" s="25" t="s">
        <v>158</v>
      </c>
      <c r="B473" s="16">
        <v>905</v>
      </c>
      <c r="C473" s="20" t="s">
        <v>135</v>
      </c>
      <c r="D473" s="20" t="s">
        <v>157</v>
      </c>
      <c r="E473" s="20" t="s">
        <v>159</v>
      </c>
      <c r="F473" s="20"/>
      <c r="G473" s="26">
        <f>G474</f>
        <v>3612.94</v>
      </c>
      <c r="H473" s="187"/>
    </row>
    <row r="474" spans="1:8" ht="47.25">
      <c r="A474" s="25" t="s">
        <v>405</v>
      </c>
      <c r="B474" s="16">
        <v>905</v>
      </c>
      <c r="C474" s="20" t="s">
        <v>135</v>
      </c>
      <c r="D474" s="20" t="s">
        <v>157</v>
      </c>
      <c r="E474" s="20" t="s">
        <v>406</v>
      </c>
      <c r="F474" s="20"/>
      <c r="G474" s="26">
        <f>G475</f>
        <v>3612.94</v>
      </c>
      <c r="H474" s="187"/>
    </row>
    <row r="475" spans="1:8" ht="31.5">
      <c r="A475" s="25" t="s">
        <v>148</v>
      </c>
      <c r="B475" s="16">
        <v>905</v>
      </c>
      <c r="C475" s="20" t="s">
        <v>135</v>
      </c>
      <c r="D475" s="20" t="s">
        <v>157</v>
      </c>
      <c r="E475" s="20" t="s">
        <v>406</v>
      </c>
      <c r="F475" s="20" t="s">
        <v>149</v>
      </c>
      <c r="G475" s="26">
        <f>G476</f>
        <v>3612.94</v>
      </c>
      <c r="H475" s="187"/>
    </row>
    <row r="476" spans="1:9" ht="47.25">
      <c r="A476" s="25" t="s">
        <v>150</v>
      </c>
      <c r="B476" s="16">
        <v>905</v>
      </c>
      <c r="C476" s="20" t="s">
        <v>135</v>
      </c>
      <c r="D476" s="20" t="s">
        <v>157</v>
      </c>
      <c r="E476" s="20" t="s">
        <v>406</v>
      </c>
      <c r="F476" s="20" t="s">
        <v>151</v>
      </c>
      <c r="G476" s="172">
        <f>1961.14+1251.8+400</f>
        <v>3612.94</v>
      </c>
      <c r="H476" s="114" t="s">
        <v>764</v>
      </c>
      <c r="I476" s="133"/>
    </row>
    <row r="477" spans="1:8" ht="15.75">
      <c r="A477" s="42" t="s">
        <v>407</v>
      </c>
      <c r="B477" s="19">
        <v>905</v>
      </c>
      <c r="C477" s="24" t="s">
        <v>251</v>
      </c>
      <c r="D477" s="24"/>
      <c r="E477" s="24"/>
      <c r="F477" s="24"/>
      <c r="G477" s="21">
        <f>G478</f>
        <v>1099.8</v>
      </c>
      <c r="H477" s="187"/>
    </row>
    <row r="478" spans="1:8" ht="15.75">
      <c r="A478" s="42" t="s">
        <v>408</v>
      </c>
      <c r="B478" s="19">
        <v>905</v>
      </c>
      <c r="C478" s="24" t="s">
        <v>251</v>
      </c>
      <c r="D478" s="24" t="s">
        <v>135</v>
      </c>
      <c r="E478" s="24"/>
      <c r="F478" s="24"/>
      <c r="G478" s="26">
        <f>G479</f>
        <v>1099.8</v>
      </c>
      <c r="H478" s="187"/>
    </row>
    <row r="479" spans="1:8" ht="15.75">
      <c r="A479" s="30" t="s">
        <v>138</v>
      </c>
      <c r="B479" s="16">
        <v>905</v>
      </c>
      <c r="C479" s="20" t="s">
        <v>251</v>
      </c>
      <c r="D479" s="20" t="s">
        <v>135</v>
      </c>
      <c r="E479" s="20" t="s">
        <v>139</v>
      </c>
      <c r="F479" s="20"/>
      <c r="G479" s="26">
        <f>G485+G480</f>
        <v>1099.8</v>
      </c>
      <c r="H479" s="187"/>
    </row>
    <row r="480" spans="1:8" ht="31.5" hidden="1">
      <c r="A480" s="25" t="s">
        <v>202</v>
      </c>
      <c r="B480" s="38">
        <v>905</v>
      </c>
      <c r="C480" s="20" t="s">
        <v>251</v>
      </c>
      <c r="D480" s="20" t="s">
        <v>135</v>
      </c>
      <c r="E480" s="20" t="s">
        <v>203</v>
      </c>
      <c r="F480" s="20"/>
      <c r="G480" s="26">
        <f>G481</f>
        <v>0</v>
      </c>
      <c r="H480" s="187"/>
    </row>
    <row r="481" spans="1:8" ht="47.25" hidden="1">
      <c r="A481" s="37" t="s">
        <v>409</v>
      </c>
      <c r="B481" s="38">
        <v>905</v>
      </c>
      <c r="C481" s="20" t="s">
        <v>251</v>
      </c>
      <c r="D481" s="20" t="s">
        <v>135</v>
      </c>
      <c r="E481" s="20" t="s">
        <v>410</v>
      </c>
      <c r="F481" s="20"/>
      <c r="G481" s="26">
        <f>G482</f>
        <v>0</v>
      </c>
      <c r="H481" s="187"/>
    </row>
    <row r="482" spans="1:8" ht="31.5" hidden="1">
      <c r="A482" s="43" t="s">
        <v>411</v>
      </c>
      <c r="B482" s="38">
        <v>905</v>
      </c>
      <c r="C482" s="20" t="s">
        <v>251</v>
      </c>
      <c r="D482" s="20" t="s">
        <v>135</v>
      </c>
      <c r="E482" s="20" t="s">
        <v>412</v>
      </c>
      <c r="F482" s="20"/>
      <c r="G482" s="26">
        <f>G483</f>
        <v>0</v>
      </c>
      <c r="H482" s="187"/>
    </row>
    <row r="483" spans="1:8" ht="31.5" hidden="1">
      <c r="A483" s="25" t="s">
        <v>148</v>
      </c>
      <c r="B483" s="16">
        <v>905</v>
      </c>
      <c r="C483" s="20" t="s">
        <v>251</v>
      </c>
      <c r="D483" s="20" t="s">
        <v>135</v>
      </c>
      <c r="E483" s="20" t="s">
        <v>412</v>
      </c>
      <c r="F483" s="20" t="s">
        <v>149</v>
      </c>
      <c r="G483" s="26">
        <f>G484</f>
        <v>0</v>
      </c>
      <c r="H483" s="187"/>
    </row>
    <row r="484" spans="1:8" ht="47.25" hidden="1">
      <c r="A484" s="25" t="s">
        <v>150</v>
      </c>
      <c r="B484" s="16">
        <v>905</v>
      </c>
      <c r="C484" s="20" t="s">
        <v>251</v>
      </c>
      <c r="D484" s="20" t="s">
        <v>135</v>
      </c>
      <c r="E484" s="20" t="s">
        <v>412</v>
      </c>
      <c r="F484" s="20" t="s">
        <v>151</v>
      </c>
      <c r="G484" s="26"/>
      <c r="H484" s="187"/>
    </row>
    <row r="485" spans="1:8" ht="15.75">
      <c r="A485" s="30" t="s">
        <v>158</v>
      </c>
      <c r="B485" s="16">
        <v>905</v>
      </c>
      <c r="C485" s="20" t="s">
        <v>251</v>
      </c>
      <c r="D485" s="20" t="s">
        <v>135</v>
      </c>
      <c r="E485" s="20" t="s">
        <v>159</v>
      </c>
      <c r="F485" s="20"/>
      <c r="G485" s="26">
        <f>G486+G489</f>
        <v>1099.8</v>
      </c>
      <c r="H485" s="187"/>
    </row>
    <row r="486" spans="1:8" ht="31.5">
      <c r="A486" s="30" t="s">
        <v>415</v>
      </c>
      <c r="B486" s="16">
        <v>905</v>
      </c>
      <c r="C486" s="20" t="s">
        <v>251</v>
      </c>
      <c r="D486" s="20" t="s">
        <v>135</v>
      </c>
      <c r="E486" s="20" t="s">
        <v>416</v>
      </c>
      <c r="F486" s="20"/>
      <c r="G486" s="26">
        <f>G487</f>
        <v>260.8</v>
      </c>
      <c r="H486" s="187"/>
    </row>
    <row r="487" spans="1:8" ht="31.5">
      <c r="A487" s="25" t="s">
        <v>148</v>
      </c>
      <c r="B487" s="16">
        <v>905</v>
      </c>
      <c r="C487" s="20" t="s">
        <v>251</v>
      </c>
      <c r="D487" s="20" t="s">
        <v>135</v>
      </c>
      <c r="E487" s="20" t="s">
        <v>416</v>
      </c>
      <c r="F487" s="20" t="s">
        <v>149</v>
      </c>
      <c r="G487" s="26">
        <f>G488</f>
        <v>260.8</v>
      </c>
      <c r="H487" s="187"/>
    </row>
    <row r="488" spans="1:8" ht="47.25">
      <c r="A488" s="25" t="s">
        <v>150</v>
      </c>
      <c r="B488" s="16">
        <v>905</v>
      </c>
      <c r="C488" s="20" t="s">
        <v>251</v>
      </c>
      <c r="D488" s="20" t="s">
        <v>135</v>
      </c>
      <c r="E488" s="20" t="s">
        <v>416</v>
      </c>
      <c r="F488" s="20" t="s">
        <v>151</v>
      </c>
      <c r="G488" s="26">
        <v>260.8</v>
      </c>
      <c r="H488" s="187"/>
    </row>
    <row r="489" spans="1:8" ht="15.75">
      <c r="A489" s="30" t="s">
        <v>413</v>
      </c>
      <c r="B489" s="16">
        <v>905</v>
      </c>
      <c r="C489" s="20" t="s">
        <v>251</v>
      </c>
      <c r="D489" s="20" t="s">
        <v>135</v>
      </c>
      <c r="E489" s="20" t="s">
        <v>414</v>
      </c>
      <c r="F489" s="20"/>
      <c r="G489" s="26">
        <f>G490</f>
        <v>839</v>
      </c>
      <c r="H489" s="187"/>
    </row>
    <row r="490" spans="1:8" ht="31.5">
      <c r="A490" s="25" t="s">
        <v>148</v>
      </c>
      <c r="B490" s="16">
        <v>905</v>
      </c>
      <c r="C490" s="20" t="s">
        <v>251</v>
      </c>
      <c r="D490" s="20" t="s">
        <v>135</v>
      </c>
      <c r="E490" s="20" t="s">
        <v>414</v>
      </c>
      <c r="F490" s="20" t="s">
        <v>149</v>
      </c>
      <c r="G490" s="26">
        <f>G491</f>
        <v>839</v>
      </c>
      <c r="H490" s="187"/>
    </row>
    <row r="491" spans="1:9" ht="47.25">
      <c r="A491" s="25" t="s">
        <v>150</v>
      </c>
      <c r="B491" s="16">
        <v>905</v>
      </c>
      <c r="C491" s="20" t="s">
        <v>251</v>
      </c>
      <c r="D491" s="20" t="s">
        <v>135</v>
      </c>
      <c r="E491" s="20" t="s">
        <v>414</v>
      </c>
      <c r="F491" s="20" t="s">
        <v>151</v>
      </c>
      <c r="G491" s="26">
        <v>839</v>
      </c>
      <c r="H491" s="187"/>
      <c r="I491" s="123"/>
    </row>
    <row r="492" spans="1:8" ht="15.75" hidden="1">
      <c r="A492" s="44" t="s">
        <v>260</v>
      </c>
      <c r="B492" s="19">
        <v>905</v>
      </c>
      <c r="C492" s="24" t="s">
        <v>261</v>
      </c>
      <c r="D492" s="24"/>
      <c r="E492" s="24"/>
      <c r="F492" s="24"/>
      <c r="G492" s="21">
        <f>G493</f>
        <v>0</v>
      </c>
      <c r="H492" s="187"/>
    </row>
    <row r="493" spans="1:8" ht="15.75" hidden="1">
      <c r="A493" s="23" t="s">
        <v>417</v>
      </c>
      <c r="B493" s="19">
        <v>905</v>
      </c>
      <c r="C493" s="24" t="s">
        <v>261</v>
      </c>
      <c r="D493" s="24" t="s">
        <v>167</v>
      </c>
      <c r="E493" s="24"/>
      <c r="F493" s="24"/>
      <c r="G493" s="21">
        <f>G494</f>
        <v>0</v>
      </c>
      <c r="H493" s="187"/>
    </row>
    <row r="494" spans="1:8" ht="31.5" hidden="1">
      <c r="A494" s="25" t="s">
        <v>202</v>
      </c>
      <c r="B494" s="16">
        <v>905</v>
      </c>
      <c r="C494" s="20" t="s">
        <v>261</v>
      </c>
      <c r="D494" s="20" t="s">
        <v>167</v>
      </c>
      <c r="E494" s="20" t="s">
        <v>203</v>
      </c>
      <c r="F494" s="20"/>
      <c r="G494" s="26">
        <f>G495</f>
        <v>0</v>
      </c>
      <c r="H494" s="187"/>
    </row>
    <row r="495" spans="1:8" ht="47.25" hidden="1">
      <c r="A495" s="32" t="s">
        <v>418</v>
      </c>
      <c r="B495" s="16">
        <v>905</v>
      </c>
      <c r="C495" s="20" t="s">
        <v>261</v>
      </c>
      <c r="D495" s="20" t="s">
        <v>167</v>
      </c>
      <c r="E495" s="20" t="s">
        <v>419</v>
      </c>
      <c r="F495" s="20"/>
      <c r="G495" s="26">
        <f>G496</f>
        <v>0</v>
      </c>
      <c r="H495" s="187"/>
    </row>
    <row r="496" spans="1:8" ht="31.5" hidden="1">
      <c r="A496" s="25" t="s">
        <v>148</v>
      </c>
      <c r="B496" s="16">
        <v>905</v>
      </c>
      <c r="C496" s="20" t="s">
        <v>261</v>
      </c>
      <c r="D496" s="20" t="s">
        <v>167</v>
      </c>
      <c r="E496" s="20" t="s">
        <v>419</v>
      </c>
      <c r="F496" s="20" t="s">
        <v>149</v>
      </c>
      <c r="G496" s="26">
        <f>G497</f>
        <v>0</v>
      </c>
      <c r="H496" s="187"/>
    </row>
    <row r="497" spans="1:9" ht="47.25" hidden="1">
      <c r="A497" s="25" t="s">
        <v>150</v>
      </c>
      <c r="B497" s="16">
        <v>905</v>
      </c>
      <c r="C497" s="20" t="s">
        <v>261</v>
      </c>
      <c r="D497" s="20" t="s">
        <v>167</v>
      </c>
      <c r="E497" s="20" t="s">
        <v>419</v>
      </c>
      <c r="F497" s="20" t="s">
        <v>151</v>
      </c>
      <c r="G497" s="26">
        <f>1330-1330</f>
        <v>0</v>
      </c>
      <c r="H497" s="187"/>
      <c r="I497" s="123"/>
    </row>
    <row r="498" spans="1:12" ht="31.5">
      <c r="A498" s="19" t="s">
        <v>420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87"/>
      <c r="L498" s="124"/>
    </row>
    <row r="499" spans="1:8" ht="15.75">
      <c r="A499" s="23" t="s">
        <v>134</v>
      </c>
      <c r="B499" s="19">
        <v>906</v>
      </c>
      <c r="C499" s="24" t="s">
        <v>135</v>
      </c>
      <c r="D499" s="24"/>
      <c r="E499" s="24"/>
      <c r="F499" s="24"/>
      <c r="G499" s="21">
        <f aca="true" t="shared" si="2" ref="G499:G504">G500</f>
        <v>5</v>
      </c>
      <c r="H499" s="187"/>
    </row>
    <row r="500" spans="1:8" ht="15.75">
      <c r="A500" s="35" t="s">
        <v>156</v>
      </c>
      <c r="B500" s="19">
        <v>906</v>
      </c>
      <c r="C500" s="24" t="s">
        <v>135</v>
      </c>
      <c r="D500" s="24" t="s">
        <v>157</v>
      </c>
      <c r="E500" s="24"/>
      <c r="F500" s="24"/>
      <c r="G500" s="21">
        <f t="shared" si="2"/>
        <v>5</v>
      </c>
      <c r="H500" s="187"/>
    </row>
    <row r="501" spans="1:8" ht="18" customHeight="1">
      <c r="A501" s="32" t="s">
        <v>138</v>
      </c>
      <c r="B501" s="16">
        <v>906</v>
      </c>
      <c r="C501" s="20" t="s">
        <v>135</v>
      </c>
      <c r="D501" s="20" t="s">
        <v>157</v>
      </c>
      <c r="E501" s="20" t="s">
        <v>139</v>
      </c>
      <c r="F501" s="20"/>
      <c r="G501" s="26">
        <f t="shared" si="2"/>
        <v>5</v>
      </c>
      <c r="H501" s="187"/>
    </row>
    <row r="502" spans="1:8" ht="15.75">
      <c r="A502" s="32" t="s">
        <v>158</v>
      </c>
      <c r="B502" s="16">
        <v>906</v>
      </c>
      <c r="C502" s="20" t="s">
        <v>135</v>
      </c>
      <c r="D502" s="20" t="s">
        <v>157</v>
      </c>
      <c r="E502" s="20" t="s">
        <v>159</v>
      </c>
      <c r="F502" s="20"/>
      <c r="G502" s="26">
        <f t="shared" si="2"/>
        <v>5</v>
      </c>
      <c r="H502" s="187"/>
    </row>
    <row r="503" spans="1:8" ht="15.75">
      <c r="A503" s="25" t="s">
        <v>196</v>
      </c>
      <c r="B503" s="16">
        <v>906</v>
      </c>
      <c r="C503" s="20" t="s">
        <v>135</v>
      </c>
      <c r="D503" s="20" t="s">
        <v>157</v>
      </c>
      <c r="E503" s="20" t="s">
        <v>222</v>
      </c>
      <c r="F503" s="20"/>
      <c r="G503" s="26">
        <f t="shared" si="2"/>
        <v>5</v>
      </c>
      <c r="H503" s="187"/>
    </row>
    <row r="504" spans="1:8" ht="31.5">
      <c r="A504" s="25" t="s">
        <v>148</v>
      </c>
      <c r="B504" s="16">
        <v>906</v>
      </c>
      <c r="C504" s="20" t="s">
        <v>135</v>
      </c>
      <c r="D504" s="20" t="s">
        <v>157</v>
      </c>
      <c r="E504" s="20" t="s">
        <v>222</v>
      </c>
      <c r="F504" s="20" t="s">
        <v>149</v>
      </c>
      <c r="G504" s="26">
        <f t="shared" si="2"/>
        <v>5</v>
      </c>
      <c r="H504" s="187"/>
    </row>
    <row r="505" spans="1:8" ht="47.25">
      <c r="A505" s="25" t="s">
        <v>150</v>
      </c>
      <c r="B505" s="16">
        <v>906</v>
      </c>
      <c r="C505" s="20" t="s">
        <v>135</v>
      </c>
      <c r="D505" s="20" t="s">
        <v>157</v>
      </c>
      <c r="E505" s="20" t="s">
        <v>222</v>
      </c>
      <c r="F505" s="20" t="s">
        <v>151</v>
      </c>
      <c r="G505" s="26">
        <v>5</v>
      </c>
      <c r="H505" s="187"/>
    </row>
    <row r="506" spans="1:8" ht="15.75">
      <c r="A506" s="23" t="s">
        <v>280</v>
      </c>
      <c r="B506" s="19">
        <v>906</v>
      </c>
      <c r="C506" s="24" t="s">
        <v>281</v>
      </c>
      <c r="D506" s="24"/>
      <c r="E506" s="24"/>
      <c r="F506" s="24"/>
      <c r="G506" s="21">
        <f>G507+G546+G633+G645+G612</f>
        <v>261516.80000000002</v>
      </c>
      <c r="H506" s="187"/>
    </row>
    <row r="507" spans="1:8" ht="15.75">
      <c r="A507" s="23" t="s">
        <v>421</v>
      </c>
      <c r="B507" s="19">
        <v>906</v>
      </c>
      <c r="C507" s="24" t="s">
        <v>281</v>
      </c>
      <c r="D507" s="24" t="s">
        <v>135</v>
      </c>
      <c r="E507" s="24"/>
      <c r="F507" s="24"/>
      <c r="G507" s="21">
        <f>G508+G526</f>
        <v>84659.4</v>
      </c>
      <c r="H507" s="187"/>
    </row>
    <row r="508" spans="1:8" ht="47.25">
      <c r="A508" s="25" t="s">
        <v>422</v>
      </c>
      <c r="B508" s="16">
        <v>906</v>
      </c>
      <c r="C508" s="20" t="s">
        <v>281</v>
      </c>
      <c r="D508" s="20" t="s">
        <v>135</v>
      </c>
      <c r="E508" s="20" t="s">
        <v>423</v>
      </c>
      <c r="F508" s="20"/>
      <c r="G508" s="26">
        <f>G509+G513</f>
        <v>23453.4</v>
      </c>
      <c r="H508" s="187"/>
    </row>
    <row r="509" spans="1:8" ht="47.25">
      <c r="A509" s="25" t="s">
        <v>424</v>
      </c>
      <c r="B509" s="16">
        <v>906</v>
      </c>
      <c r="C509" s="20" t="s">
        <v>281</v>
      </c>
      <c r="D509" s="20" t="s">
        <v>135</v>
      </c>
      <c r="E509" s="20" t="s">
        <v>425</v>
      </c>
      <c r="F509" s="20"/>
      <c r="G509" s="26">
        <f>G510</f>
        <v>15578.400000000001</v>
      </c>
      <c r="H509" s="187"/>
    </row>
    <row r="510" spans="1:8" ht="47.25">
      <c r="A510" s="25" t="s">
        <v>426</v>
      </c>
      <c r="B510" s="16">
        <v>906</v>
      </c>
      <c r="C510" s="20" t="s">
        <v>281</v>
      </c>
      <c r="D510" s="20" t="s">
        <v>135</v>
      </c>
      <c r="E510" s="20" t="s">
        <v>427</v>
      </c>
      <c r="F510" s="20"/>
      <c r="G510" s="26">
        <f>G511</f>
        <v>15578.400000000001</v>
      </c>
      <c r="H510" s="187"/>
    </row>
    <row r="511" spans="1:8" ht="47.25">
      <c r="A511" s="25" t="s">
        <v>289</v>
      </c>
      <c r="B511" s="16">
        <v>906</v>
      </c>
      <c r="C511" s="20" t="s">
        <v>281</v>
      </c>
      <c r="D511" s="20" t="s">
        <v>135</v>
      </c>
      <c r="E511" s="20" t="s">
        <v>427</v>
      </c>
      <c r="F511" s="20" t="s">
        <v>290</v>
      </c>
      <c r="G511" s="26">
        <f>G512</f>
        <v>15578.400000000001</v>
      </c>
      <c r="H511" s="187"/>
    </row>
    <row r="512" spans="1:9" ht="15.75">
      <c r="A512" s="25" t="s">
        <v>291</v>
      </c>
      <c r="B512" s="16">
        <v>906</v>
      </c>
      <c r="C512" s="20" t="s">
        <v>281</v>
      </c>
      <c r="D512" s="20" t="s">
        <v>135</v>
      </c>
      <c r="E512" s="20" t="s">
        <v>427</v>
      </c>
      <c r="F512" s="20" t="s">
        <v>292</v>
      </c>
      <c r="G512" s="27">
        <f>17368.2+6858.7-6314-1360.2-974.3</f>
        <v>15578.400000000001</v>
      </c>
      <c r="H512" s="189"/>
      <c r="I512" s="134"/>
    </row>
    <row r="513" spans="1:8" ht="47.25">
      <c r="A513" s="25" t="s">
        <v>428</v>
      </c>
      <c r="B513" s="16">
        <v>906</v>
      </c>
      <c r="C513" s="20" t="s">
        <v>281</v>
      </c>
      <c r="D513" s="20" t="s">
        <v>135</v>
      </c>
      <c r="E513" s="20" t="s">
        <v>429</v>
      </c>
      <c r="F513" s="20"/>
      <c r="G513" s="26">
        <f>G514+G517+G520+G523</f>
        <v>7875</v>
      </c>
      <c r="H513" s="187"/>
    </row>
    <row r="514" spans="1:8" ht="47.25" hidden="1">
      <c r="A514" s="25" t="s">
        <v>295</v>
      </c>
      <c r="B514" s="16">
        <v>906</v>
      </c>
      <c r="C514" s="20" t="s">
        <v>281</v>
      </c>
      <c r="D514" s="20" t="s">
        <v>135</v>
      </c>
      <c r="E514" s="20" t="s">
        <v>430</v>
      </c>
      <c r="F514" s="20"/>
      <c r="G514" s="26">
        <f>G515</f>
        <v>0</v>
      </c>
      <c r="H514" s="187"/>
    </row>
    <row r="515" spans="1:8" ht="47.25" hidden="1">
      <c r="A515" s="25" t="s">
        <v>289</v>
      </c>
      <c r="B515" s="16">
        <v>906</v>
      </c>
      <c r="C515" s="20" t="s">
        <v>281</v>
      </c>
      <c r="D515" s="20" t="s">
        <v>135</v>
      </c>
      <c r="E515" s="20" t="s">
        <v>430</v>
      </c>
      <c r="F515" s="20" t="s">
        <v>290</v>
      </c>
      <c r="G515" s="26">
        <f>G516</f>
        <v>0</v>
      </c>
      <c r="H515" s="187"/>
    </row>
    <row r="516" spans="1:8" ht="15.75" hidden="1">
      <c r="A516" s="25" t="s">
        <v>291</v>
      </c>
      <c r="B516" s="16">
        <v>906</v>
      </c>
      <c r="C516" s="20" t="s">
        <v>281</v>
      </c>
      <c r="D516" s="20" t="s">
        <v>135</v>
      </c>
      <c r="E516" s="20" t="s">
        <v>430</v>
      </c>
      <c r="F516" s="20" t="s">
        <v>292</v>
      </c>
      <c r="G516" s="26">
        <v>0</v>
      </c>
      <c r="H516" s="187"/>
    </row>
    <row r="517" spans="1:8" ht="31.5">
      <c r="A517" s="25" t="s">
        <v>297</v>
      </c>
      <c r="B517" s="16">
        <v>906</v>
      </c>
      <c r="C517" s="20" t="s">
        <v>281</v>
      </c>
      <c r="D517" s="20" t="s">
        <v>135</v>
      </c>
      <c r="E517" s="20" t="s">
        <v>431</v>
      </c>
      <c r="F517" s="20"/>
      <c r="G517" s="26">
        <f>G518</f>
        <v>1145</v>
      </c>
      <c r="H517" s="187"/>
    </row>
    <row r="518" spans="1:8" ht="47.25">
      <c r="A518" s="25" t="s">
        <v>289</v>
      </c>
      <c r="B518" s="16">
        <v>906</v>
      </c>
      <c r="C518" s="20" t="s">
        <v>281</v>
      </c>
      <c r="D518" s="20" t="s">
        <v>135</v>
      </c>
      <c r="E518" s="20" t="s">
        <v>431</v>
      </c>
      <c r="F518" s="20" t="s">
        <v>290</v>
      </c>
      <c r="G518" s="26">
        <f>G519</f>
        <v>1145</v>
      </c>
      <c r="H518" s="187"/>
    </row>
    <row r="519" spans="1:8" ht="15.75">
      <c r="A519" s="25" t="s">
        <v>291</v>
      </c>
      <c r="B519" s="16">
        <v>906</v>
      </c>
      <c r="C519" s="20" t="s">
        <v>281</v>
      </c>
      <c r="D519" s="20" t="s">
        <v>135</v>
      </c>
      <c r="E519" s="20" t="s">
        <v>431</v>
      </c>
      <c r="F519" s="20" t="s">
        <v>292</v>
      </c>
      <c r="G519" s="168">
        <f>800+300+45</f>
        <v>1145</v>
      </c>
      <c r="H519" s="175" t="s">
        <v>766</v>
      </c>
    </row>
    <row r="520" spans="1:8" ht="47.25">
      <c r="A520" s="25" t="s">
        <v>432</v>
      </c>
      <c r="B520" s="16">
        <v>906</v>
      </c>
      <c r="C520" s="20" t="s">
        <v>281</v>
      </c>
      <c r="D520" s="20" t="s">
        <v>135</v>
      </c>
      <c r="E520" s="20" t="s">
        <v>433</v>
      </c>
      <c r="F520" s="20"/>
      <c r="G520" s="26">
        <f>G521</f>
        <v>6730</v>
      </c>
      <c r="H520" s="187"/>
    </row>
    <row r="521" spans="1:8" ht="47.25">
      <c r="A521" s="25" t="s">
        <v>289</v>
      </c>
      <c r="B521" s="16">
        <v>906</v>
      </c>
      <c r="C521" s="20" t="s">
        <v>281</v>
      </c>
      <c r="D521" s="20" t="s">
        <v>135</v>
      </c>
      <c r="E521" s="20" t="s">
        <v>433</v>
      </c>
      <c r="F521" s="20" t="s">
        <v>290</v>
      </c>
      <c r="G521" s="26">
        <f>G522</f>
        <v>6730</v>
      </c>
      <c r="H521" s="187"/>
    </row>
    <row r="522" spans="1:8" ht="15.75">
      <c r="A522" s="25" t="s">
        <v>291</v>
      </c>
      <c r="B522" s="16">
        <v>906</v>
      </c>
      <c r="C522" s="20" t="s">
        <v>281</v>
      </c>
      <c r="D522" s="20" t="s">
        <v>135</v>
      </c>
      <c r="E522" s="20" t="s">
        <v>433</v>
      </c>
      <c r="F522" s="20" t="s">
        <v>292</v>
      </c>
      <c r="G522" s="27">
        <v>6730</v>
      </c>
      <c r="H522" s="187"/>
    </row>
    <row r="523" spans="1:8" ht="31.5" hidden="1">
      <c r="A523" s="25" t="s">
        <v>301</v>
      </c>
      <c r="B523" s="16">
        <v>906</v>
      </c>
      <c r="C523" s="20" t="s">
        <v>281</v>
      </c>
      <c r="D523" s="20" t="s">
        <v>135</v>
      </c>
      <c r="E523" s="20" t="s">
        <v>434</v>
      </c>
      <c r="F523" s="20"/>
      <c r="G523" s="26">
        <f>G524</f>
        <v>0</v>
      </c>
      <c r="H523" s="187"/>
    </row>
    <row r="524" spans="1:8" ht="47.25" hidden="1">
      <c r="A524" s="25" t="s">
        <v>289</v>
      </c>
      <c r="B524" s="16">
        <v>906</v>
      </c>
      <c r="C524" s="20" t="s">
        <v>281</v>
      </c>
      <c r="D524" s="20" t="s">
        <v>135</v>
      </c>
      <c r="E524" s="20" t="s">
        <v>434</v>
      </c>
      <c r="F524" s="20" t="s">
        <v>290</v>
      </c>
      <c r="G524" s="26">
        <f>G525</f>
        <v>0</v>
      </c>
      <c r="H524" s="187"/>
    </row>
    <row r="525" spans="1:8" ht="15.75" hidden="1">
      <c r="A525" s="25" t="s">
        <v>291</v>
      </c>
      <c r="B525" s="16">
        <v>906</v>
      </c>
      <c r="C525" s="20" t="s">
        <v>281</v>
      </c>
      <c r="D525" s="20" t="s">
        <v>135</v>
      </c>
      <c r="E525" s="20" t="s">
        <v>434</v>
      </c>
      <c r="F525" s="20" t="s">
        <v>292</v>
      </c>
      <c r="G525" s="26">
        <v>0</v>
      </c>
      <c r="H525" s="187"/>
    </row>
    <row r="526" spans="1:8" ht="15.75">
      <c r="A526" s="25" t="s">
        <v>138</v>
      </c>
      <c r="B526" s="16">
        <v>906</v>
      </c>
      <c r="C526" s="20" t="s">
        <v>281</v>
      </c>
      <c r="D526" s="20" t="s">
        <v>135</v>
      </c>
      <c r="E526" s="20" t="s">
        <v>139</v>
      </c>
      <c r="F526" s="20"/>
      <c r="G526" s="26">
        <f>G527</f>
        <v>61206</v>
      </c>
      <c r="H526" s="187"/>
    </row>
    <row r="527" spans="1:8" ht="31.5">
      <c r="A527" s="25" t="s">
        <v>202</v>
      </c>
      <c r="B527" s="16">
        <v>906</v>
      </c>
      <c r="C527" s="20" t="s">
        <v>281</v>
      </c>
      <c r="D527" s="20" t="s">
        <v>135</v>
      </c>
      <c r="E527" s="20" t="s">
        <v>203</v>
      </c>
      <c r="F527" s="20"/>
      <c r="G527" s="26">
        <f>G528+G531+G534+G537+G540+G543</f>
        <v>61206</v>
      </c>
      <c r="H527" s="187"/>
    </row>
    <row r="528" spans="1:8" ht="31.5" hidden="1">
      <c r="A528" s="25" t="s">
        <v>435</v>
      </c>
      <c r="B528" s="16">
        <v>906</v>
      </c>
      <c r="C528" s="20" t="s">
        <v>281</v>
      </c>
      <c r="D528" s="20" t="s">
        <v>135</v>
      </c>
      <c r="E528" s="20" t="s">
        <v>436</v>
      </c>
      <c r="F528" s="20"/>
      <c r="G528" s="26">
        <f>G529</f>
        <v>0</v>
      </c>
      <c r="H528" s="187"/>
    </row>
    <row r="529" spans="1:8" ht="47.25" hidden="1">
      <c r="A529" s="25" t="s">
        <v>289</v>
      </c>
      <c r="B529" s="16">
        <v>906</v>
      </c>
      <c r="C529" s="20" t="s">
        <v>281</v>
      </c>
      <c r="D529" s="20" t="s">
        <v>135</v>
      </c>
      <c r="E529" s="20" t="s">
        <v>436</v>
      </c>
      <c r="F529" s="20" t="s">
        <v>290</v>
      </c>
      <c r="G529" s="26">
        <f>G530</f>
        <v>0</v>
      </c>
      <c r="H529" s="187"/>
    </row>
    <row r="530" spans="1:8" ht="15.75" hidden="1">
      <c r="A530" s="25" t="s">
        <v>291</v>
      </c>
      <c r="B530" s="16">
        <v>906</v>
      </c>
      <c r="C530" s="20" t="s">
        <v>281</v>
      </c>
      <c r="D530" s="20" t="s">
        <v>135</v>
      </c>
      <c r="E530" s="20" t="s">
        <v>436</v>
      </c>
      <c r="F530" s="20" t="s">
        <v>292</v>
      </c>
      <c r="G530" s="26"/>
      <c r="H530" s="187"/>
    </row>
    <row r="531" spans="1:8" ht="63">
      <c r="A531" s="32" t="s">
        <v>306</v>
      </c>
      <c r="B531" s="16">
        <v>906</v>
      </c>
      <c r="C531" s="20" t="s">
        <v>281</v>
      </c>
      <c r="D531" s="20" t="s">
        <v>135</v>
      </c>
      <c r="E531" s="20" t="s">
        <v>307</v>
      </c>
      <c r="F531" s="20"/>
      <c r="G531" s="26">
        <f>G532</f>
        <v>310.2</v>
      </c>
      <c r="H531" s="187"/>
    </row>
    <row r="532" spans="1:8" ht="47.25">
      <c r="A532" s="25" t="s">
        <v>289</v>
      </c>
      <c r="B532" s="16">
        <v>906</v>
      </c>
      <c r="C532" s="20" t="s">
        <v>281</v>
      </c>
      <c r="D532" s="20" t="s">
        <v>135</v>
      </c>
      <c r="E532" s="20" t="s">
        <v>307</v>
      </c>
      <c r="F532" s="20" t="s">
        <v>290</v>
      </c>
      <c r="G532" s="26">
        <f>G533</f>
        <v>310.2</v>
      </c>
      <c r="H532" s="187"/>
    </row>
    <row r="533" spans="1:9" ht="15.75">
      <c r="A533" s="25" t="s">
        <v>291</v>
      </c>
      <c r="B533" s="16">
        <v>906</v>
      </c>
      <c r="C533" s="20" t="s">
        <v>281</v>
      </c>
      <c r="D533" s="20" t="s">
        <v>135</v>
      </c>
      <c r="E533" s="20" t="s">
        <v>307</v>
      </c>
      <c r="F533" s="20" t="s">
        <v>292</v>
      </c>
      <c r="G533" s="26">
        <f>416.2-106</f>
        <v>310.2</v>
      </c>
      <c r="H533" s="187"/>
      <c r="I533" s="123"/>
    </row>
    <row r="534" spans="1:8" ht="78.75">
      <c r="A534" s="32" t="s">
        <v>437</v>
      </c>
      <c r="B534" s="16">
        <v>906</v>
      </c>
      <c r="C534" s="20" t="s">
        <v>281</v>
      </c>
      <c r="D534" s="20" t="s">
        <v>135</v>
      </c>
      <c r="E534" s="20" t="s">
        <v>309</v>
      </c>
      <c r="F534" s="20"/>
      <c r="G534" s="26">
        <f>G535</f>
        <v>1696.8</v>
      </c>
      <c r="H534" s="187"/>
    </row>
    <row r="535" spans="1:8" ht="47.25">
      <c r="A535" s="25" t="s">
        <v>289</v>
      </c>
      <c r="B535" s="16">
        <v>906</v>
      </c>
      <c r="C535" s="20" t="s">
        <v>281</v>
      </c>
      <c r="D535" s="20" t="s">
        <v>135</v>
      </c>
      <c r="E535" s="20" t="s">
        <v>309</v>
      </c>
      <c r="F535" s="20" t="s">
        <v>290</v>
      </c>
      <c r="G535" s="26">
        <f>G536</f>
        <v>1696.8</v>
      </c>
      <c r="H535" s="187"/>
    </row>
    <row r="536" spans="1:9" ht="15.75">
      <c r="A536" s="25" t="s">
        <v>291</v>
      </c>
      <c r="B536" s="16">
        <v>906</v>
      </c>
      <c r="C536" s="20" t="s">
        <v>281</v>
      </c>
      <c r="D536" s="20" t="s">
        <v>135</v>
      </c>
      <c r="E536" s="20" t="s">
        <v>309</v>
      </c>
      <c r="F536" s="20" t="s">
        <v>292</v>
      </c>
      <c r="G536" s="26">
        <f>1900-203.2</f>
        <v>1696.8</v>
      </c>
      <c r="H536" s="187"/>
      <c r="I536" s="123"/>
    </row>
    <row r="537" spans="1:8" ht="94.5">
      <c r="A537" s="32" t="s">
        <v>438</v>
      </c>
      <c r="B537" s="16">
        <v>906</v>
      </c>
      <c r="C537" s="20" t="s">
        <v>281</v>
      </c>
      <c r="D537" s="20" t="s">
        <v>135</v>
      </c>
      <c r="E537" s="20" t="s">
        <v>439</v>
      </c>
      <c r="F537" s="20"/>
      <c r="G537" s="26">
        <f>G538</f>
        <v>56320</v>
      </c>
      <c r="H537" s="187"/>
    </row>
    <row r="538" spans="1:8" ht="47.25">
      <c r="A538" s="25" t="s">
        <v>289</v>
      </c>
      <c r="B538" s="16">
        <v>906</v>
      </c>
      <c r="C538" s="20" t="s">
        <v>281</v>
      </c>
      <c r="D538" s="20" t="s">
        <v>135</v>
      </c>
      <c r="E538" s="20" t="s">
        <v>439</v>
      </c>
      <c r="F538" s="20" t="s">
        <v>290</v>
      </c>
      <c r="G538" s="26">
        <f>G539</f>
        <v>56320</v>
      </c>
      <c r="H538" s="187"/>
    </row>
    <row r="539" spans="1:9" ht="15.75">
      <c r="A539" s="25" t="s">
        <v>291</v>
      </c>
      <c r="B539" s="16">
        <v>906</v>
      </c>
      <c r="C539" s="20" t="s">
        <v>281</v>
      </c>
      <c r="D539" s="20" t="s">
        <v>135</v>
      </c>
      <c r="E539" s="20" t="s">
        <v>439</v>
      </c>
      <c r="F539" s="20" t="s">
        <v>292</v>
      </c>
      <c r="G539" s="27">
        <f>66162.2-7643.6-2198.6</f>
        <v>56320</v>
      </c>
      <c r="H539" s="114"/>
      <c r="I539" s="123"/>
    </row>
    <row r="540" spans="1:8" ht="110.25">
      <c r="A540" s="32" t="s">
        <v>310</v>
      </c>
      <c r="B540" s="16">
        <v>906</v>
      </c>
      <c r="C540" s="20" t="s">
        <v>281</v>
      </c>
      <c r="D540" s="20" t="s">
        <v>135</v>
      </c>
      <c r="E540" s="20" t="s">
        <v>311</v>
      </c>
      <c r="F540" s="20"/>
      <c r="G540" s="26">
        <f>G541</f>
        <v>2879</v>
      </c>
      <c r="H540" s="187"/>
    </row>
    <row r="541" spans="1:8" ht="47.25">
      <c r="A541" s="25" t="s">
        <v>289</v>
      </c>
      <c r="B541" s="16">
        <v>906</v>
      </c>
      <c r="C541" s="20" t="s">
        <v>281</v>
      </c>
      <c r="D541" s="20" t="s">
        <v>135</v>
      </c>
      <c r="E541" s="20" t="s">
        <v>311</v>
      </c>
      <c r="F541" s="20" t="s">
        <v>290</v>
      </c>
      <c r="G541" s="26">
        <f>G542</f>
        <v>2879</v>
      </c>
      <c r="H541" s="187"/>
    </row>
    <row r="542" spans="1:9" ht="15.75">
      <c r="A542" s="25" t="s">
        <v>291</v>
      </c>
      <c r="B542" s="16">
        <v>906</v>
      </c>
      <c r="C542" s="20" t="s">
        <v>281</v>
      </c>
      <c r="D542" s="20" t="s">
        <v>135</v>
      </c>
      <c r="E542" s="20" t="s">
        <v>311</v>
      </c>
      <c r="F542" s="20" t="s">
        <v>292</v>
      </c>
      <c r="G542" s="27">
        <f>2937.2-58.2</f>
        <v>2879</v>
      </c>
      <c r="H542" s="187"/>
      <c r="I542" s="123"/>
    </row>
    <row r="543" spans="1:8" ht="157.5" hidden="1">
      <c r="A543" s="25" t="s">
        <v>440</v>
      </c>
      <c r="B543" s="16">
        <v>906</v>
      </c>
      <c r="C543" s="20" t="s">
        <v>281</v>
      </c>
      <c r="D543" s="20" t="s">
        <v>135</v>
      </c>
      <c r="E543" s="20" t="s">
        <v>441</v>
      </c>
      <c r="F543" s="20"/>
      <c r="G543" s="27">
        <f>G544</f>
        <v>0</v>
      </c>
      <c r="H543" s="187"/>
    </row>
    <row r="544" spans="1:8" ht="47.25" hidden="1">
      <c r="A544" s="25" t="s">
        <v>289</v>
      </c>
      <c r="B544" s="16">
        <v>906</v>
      </c>
      <c r="C544" s="20" t="s">
        <v>281</v>
      </c>
      <c r="D544" s="20" t="s">
        <v>135</v>
      </c>
      <c r="E544" s="20" t="s">
        <v>441</v>
      </c>
      <c r="F544" s="20" t="s">
        <v>290</v>
      </c>
      <c r="G544" s="27">
        <f>G545</f>
        <v>0</v>
      </c>
      <c r="H544" s="187"/>
    </row>
    <row r="545" spans="1:9" ht="15.75" hidden="1">
      <c r="A545" s="25" t="s">
        <v>291</v>
      </c>
      <c r="B545" s="16">
        <v>906</v>
      </c>
      <c r="C545" s="20" t="s">
        <v>281</v>
      </c>
      <c r="D545" s="20" t="s">
        <v>135</v>
      </c>
      <c r="E545" s="20" t="s">
        <v>441</v>
      </c>
      <c r="F545" s="20" t="s">
        <v>292</v>
      </c>
      <c r="G545" s="27">
        <f>276.5-276.5</f>
        <v>0</v>
      </c>
      <c r="H545" s="187"/>
      <c r="I545" s="123"/>
    </row>
    <row r="546" spans="1:8" ht="15.75">
      <c r="A546" s="23" t="s">
        <v>442</v>
      </c>
      <c r="B546" s="19">
        <v>906</v>
      </c>
      <c r="C546" s="24" t="s">
        <v>281</v>
      </c>
      <c r="D546" s="24" t="s">
        <v>230</v>
      </c>
      <c r="E546" s="24"/>
      <c r="F546" s="24"/>
      <c r="G546" s="21">
        <f>G547+G580</f>
        <v>130684.4</v>
      </c>
      <c r="H546" s="187"/>
    </row>
    <row r="547" spans="1:8" ht="47.25">
      <c r="A547" s="25" t="s">
        <v>443</v>
      </c>
      <c r="B547" s="16">
        <v>906</v>
      </c>
      <c r="C547" s="20" t="s">
        <v>281</v>
      </c>
      <c r="D547" s="20" t="s">
        <v>230</v>
      </c>
      <c r="E547" s="20" t="s">
        <v>423</v>
      </c>
      <c r="F547" s="20"/>
      <c r="G547" s="26">
        <f>G548+G552</f>
        <v>40826.6</v>
      </c>
      <c r="H547" s="187"/>
    </row>
    <row r="548" spans="1:8" ht="47.25">
      <c r="A548" s="25" t="s">
        <v>424</v>
      </c>
      <c r="B548" s="16">
        <v>906</v>
      </c>
      <c r="C548" s="20" t="s">
        <v>281</v>
      </c>
      <c r="D548" s="20" t="s">
        <v>230</v>
      </c>
      <c r="E548" s="20" t="s">
        <v>425</v>
      </c>
      <c r="F548" s="20"/>
      <c r="G548" s="26">
        <f>G549</f>
        <v>34151.2</v>
      </c>
      <c r="H548" s="187"/>
    </row>
    <row r="549" spans="1:8" ht="47.25">
      <c r="A549" s="25" t="s">
        <v>444</v>
      </c>
      <c r="B549" s="16">
        <v>906</v>
      </c>
      <c r="C549" s="20" t="s">
        <v>281</v>
      </c>
      <c r="D549" s="20" t="s">
        <v>230</v>
      </c>
      <c r="E549" s="20" t="s">
        <v>445</v>
      </c>
      <c r="F549" s="20"/>
      <c r="G549" s="26">
        <f>G550</f>
        <v>34151.2</v>
      </c>
      <c r="H549" s="187"/>
    </row>
    <row r="550" spans="1:8" ht="47.25">
      <c r="A550" s="25" t="s">
        <v>289</v>
      </c>
      <c r="B550" s="16">
        <v>906</v>
      </c>
      <c r="C550" s="20" t="s">
        <v>281</v>
      </c>
      <c r="D550" s="20" t="s">
        <v>230</v>
      </c>
      <c r="E550" s="20" t="s">
        <v>445</v>
      </c>
      <c r="F550" s="20" t="s">
        <v>290</v>
      </c>
      <c r="G550" s="26">
        <f>G551</f>
        <v>34151.2</v>
      </c>
      <c r="H550" s="187"/>
    </row>
    <row r="551" spans="1:9" ht="15.75">
      <c r="A551" s="25" t="s">
        <v>291</v>
      </c>
      <c r="B551" s="16">
        <v>906</v>
      </c>
      <c r="C551" s="20" t="s">
        <v>281</v>
      </c>
      <c r="D551" s="20" t="s">
        <v>230</v>
      </c>
      <c r="E551" s="20" t="s">
        <v>445</v>
      </c>
      <c r="F551" s="20" t="s">
        <v>292</v>
      </c>
      <c r="G551" s="27">
        <f>21817.5+13206.2-481.7+562.6-953.4</f>
        <v>34151.2</v>
      </c>
      <c r="H551" s="189"/>
      <c r="I551" s="134"/>
    </row>
    <row r="552" spans="1:8" ht="31.5">
      <c r="A552" s="25" t="s">
        <v>447</v>
      </c>
      <c r="B552" s="16">
        <v>906</v>
      </c>
      <c r="C552" s="20" t="s">
        <v>281</v>
      </c>
      <c r="D552" s="20" t="s">
        <v>230</v>
      </c>
      <c r="E552" s="20" t="s">
        <v>448</v>
      </c>
      <c r="F552" s="20"/>
      <c r="G552" s="26">
        <f>G558+G574+G571+G577+G568+G553+G559+G562+G565</f>
        <v>6675.4</v>
      </c>
      <c r="H552" s="187"/>
    </row>
    <row r="553" spans="1:8" ht="63" hidden="1">
      <c r="A553" s="25" t="s">
        <v>449</v>
      </c>
      <c r="B553" s="16">
        <v>906</v>
      </c>
      <c r="C553" s="20" t="s">
        <v>281</v>
      </c>
      <c r="D553" s="20" t="s">
        <v>230</v>
      </c>
      <c r="E553" s="20" t="s">
        <v>450</v>
      </c>
      <c r="F553" s="20"/>
      <c r="G553" s="26">
        <f>G554</f>
        <v>0</v>
      </c>
      <c r="H553" s="187"/>
    </row>
    <row r="554" spans="1:8" ht="47.25" hidden="1">
      <c r="A554" s="25" t="s">
        <v>289</v>
      </c>
      <c r="B554" s="16">
        <v>906</v>
      </c>
      <c r="C554" s="20" t="s">
        <v>281</v>
      </c>
      <c r="D554" s="20" t="s">
        <v>230</v>
      </c>
      <c r="E554" s="20" t="s">
        <v>450</v>
      </c>
      <c r="F554" s="20" t="s">
        <v>290</v>
      </c>
      <c r="G554" s="26">
        <f>G555</f>
        <v>0</v>
      </c>
      <c r="H554" s="187"/>
    </row>
    <row r="555" spans="1:8" ht="15.75" hidden="1">
      <c r="A555" s="25" t="s">
        <v>291</v>
      </c>
      <c r="B555" s="16">
        <v>906</v>
      </c>
      <c r="C555" s="20" t="s">
        <v>281</v>
      </c>
      <c r="D555" s="20" t="s">
        <v>230</v>
      </c>
      <c r="E555" s="20" t="s">
        <v>450</v>
      </c>
      <c r="F555" s="20" t="s">
        <v>292</v>
      </c>
      <c r="G555" s="26">
        <v>0</v>
      </c>
      <c r="H555" s="187"/>
    </row>
    <row r="556" spans="1:8" ht="48.75" customHeight="1" hidden="1">
      <c r="A556" s="25" t="s">
        <v>451</v>
      </c>
      <c r="B556" s="16">
        <v>906</v>
      </c>
      <c r="C556" s="20" t="s">
        <v>281</v>
      </c>
      <c r="D556" s="20" t="s">
        <v>230</v>
      </c>
      <c r="E556" s="20" t="s">
        <v>452</v>
      </c>
      <c r="F556" s="20"/>
      <c r="G556" s="26">
        <f>G557</f>
        <v>0</v>
      </c>
      <c r="H556" s="187"/>
    </row>
    <row r="557" spans="1:8" ht="47.25" hidden="1">
      <c r="A557" s="25" t="s">
        <v>289</v>
      </c>
      <c r="B557" s="16">
        <v>906</v>
      </c>
      <c r="C557" s="20" t="s">
        <v>281</v>
      </c>
      <c r="D557" s="20" t="s">
        <v>230</v>
      </c>
      <c r="E557" s="20" t="s">
        <v>452</v>
      </c>
      <c r="F557" s="20" t="s">
        <v>290</v>
      </c>
      <c r="G557" s="26">
        <f>G558</f>
        <v>0</v>
      </c>
      <c r="H557" s="187"/>
    </row>
    <row r="558" spans="1:8" ht="15.75" hidden="1">
      <c r="A558" s="25" t="s">
        <v>291</v>
      </c>
      <c r="B558" s="16">
        <v>906</v>
      </c>
      <c r="C558" s="20" t="s">
        <v>281</v>
      </c>
      <c r="D558" s="20" t="s">
        <v>230</v>
      </c>
      <c r="E558" s="20" t="s">
        <v>452</v>
      </c>
      <c r="F558" s="20" t="s">
        <v>292</v>
      </c>
      <c r="G558" s="26">
        <v>0</v>
      </c>
      <c r="H558" s="187"/>
    </row>
    <row r="559" spans="1:8" ht="63">
      <c r="A559" s="25" t="s">
        <v>453</v>
      </c>
      <c r="B559" s="16">
        <v>906</v>
      </c>
      <c r="C559" s="20" t="s">
        <v>281</v>
      </c>
      <c r="D559" s="20" t="s">
        <v>230</v>
      </c>
      <c r="E559" s="20" t="s">
        <v>454</v>
      </c>
      <c r="F559" s="20"/>
      <c r="G559" s="26">
        <f>G560</f>
        <v>2690</v>
      </c>
      <c r="H559" s="187"/>
    </row>
    <row r="560" spans="1:8" ht="47.25">
      <c r="A560" s="25" t="s">
        <v>289</v>
      </c>
      <c r="B560" s="16">
        <v>906</v>
      </c>
      <c r="C560" s="20" t="s">
        <v>281</v>
      </c>
      <c r="D560" s="20" t="s">
        <v>230</v>
      </c>
      <c r="E560" s="20" t="s">
        <v>454</v>
      </c>
      <c r="F560" s="20" t="s">
        <v>290</v>
      </c>
      <c r="G560" s="26">
        <f>G561</f>
        <v>2690</v>
      </c>
      <c r="H560" s="187"/>
    </row>
    <row r="561" spans="1:8" ht="15.75">
      <c r="A561" s="25" t="s">
        <v>291</v>
      </c>
      <c r="B561" s="16">
        <v>906</v>
      </c>
      <c r="C561" s="20" t="s">
        <v>281</v>
      </c>
      <c r="D561" s="20" t="s">
        <v>230</v>
      </c>
      <c r="E561" s="20" t="s">
        <v>454</v>
      </c>
      <c r="F561" s="20" t="s">
        <v>292</v>
      </c>
      <c r="G561" s="27">
        <f>3010-320</f>
        <v>2690</v>
      </c>
      <c r="H561" s="187"/>
    </row>
    <row r="562" spans="1:8" ht="63">
      <c r="A562" s="25" t="s">
        <v>455</v>
      </c>
      <c r="B562" s="16">
        <v>906</v>
      </c>
      <c r="C562" s="20" t="s">
        <v>281</v>
      </c>
      <c r="D562" s="20" t="s">
        <v>230</v>
      </c>
      <c r="E562" s="20" t="s">
        <v>456</v>
      </c>
      <c r="F562" s="20"/>
      <c r="G562" s="26">
        <f>G563</f>
        <v>320</v>
      </c>
      <c r="H562" s="187"/>
    </row>
    <row r="563" spans="1:8" ht="47.25">
      <c r="A563" s="25" t="s">
        <v>289</v>
      </c>
      <c r="B563" s="16">
        <v>906</v>
      </c>
      <c r="C563" s="20" t="s">
        <v>281</v>
      </c>
      <c r="D563" s="20" t="s">
        <v>230</v>
      </c>
      <c r="E563" s="20" t="s">
        <v>456</v>
      </c>
      <c r="F563" s="20" t="s">
        <v>290</v>
      </c>
      <c r="G563" s="26">
        <f>G564</f>
        <v>320</v>
      </c>
      <c r="H563" s="187"/>
    </row>
    <row r="564" spans="1:8" ht="15.75">
      <c r="A564" s="25" t="s">
        <v>291</v>
      </c>
      <c r="B564" s="16">
        <v>906</v>
      </c>
      <c r="C564" s="20" t="s">
        <v>281</v>
      </c>
      <c r="D564" s="20" t="s">
        <v>230</v>
      </c>
      <c r="E564" s="20" t="s">
        <v>456</v>
      </c>
      <c r="F564" s="20" t="s">
        <v>292</v>
      </c>
      <c r="G564" s="26">
        <v>320</v>
      </c>
      <c r="H564" s="187"/>
    </row>
    <row r="565" spans="1:8" ht="47.25" hidden="1">
      <c r="A565" s="25" t="s">
        <v>457</v>
      </c>
      <c r="B565" s="16">
        <v>906</v>
      </c>
      <c r="C565" s="20" t="s">
        <v>281</v>
      </c>
      <c r="D565" s="20" t="s">
        <v>230</v>
      </c>
      <c r="E565" s="20" t="s">
        <v>458</v>
      </c>
      <c r="F565" s="20"/>
      <c r="G565" s="26">
        <f>G566</f>
        <v>0</v>
      </c>
      <c r="H565" s="187"/>
    </row>
    <row r="566" spans="1:8" ht="47.25" hidden="1">
      <c r="A566" s="25" t="s">
        <v>289</v>
      </c>
      <c r="B566" s="16">
        <v>906</v>
      </c>
      <c r="C566" s="20" t="s">
        <v>281</v>
      </c>
      <c r="D566" s="20" t="s">
        <v>230</v>
      </c>
      <c r="E566" s="20" t="s">
        <v>458</v>
      </c>
      <c r="F566" s="20" t="s">
        <v>290</v>
      </c>
      <c r="G566" s="26">
        <f>G567</f>
        <v>0</v>
      </c>
      <c r="H566" s="187"/>
    </row>
    <row r="567" spans="1:8" ht="15.75" hidden="1">
      <c r="A567" s="25" t="s">
        <v>291</v>
      </c>
      <c r="B567" s="16">
        <v>906</v>
      </c>
      <c r="C567" s="20" t="s">
        <v>281</v>
      </c>
      <c r="D567" s="20" t="s">
        <v>230</v>
      </c>
      <c r="E567" s="20" t="s">
        <v>458</v>
      </c>
      <c r="F567" s="20" t="s">
        <v>292</v>
      </c>
      <c r="G567" s="26">
        <v>0</v>
      </c>
      <c r="H567" s="187"/>
    </row>
    <row r="568" spans="1:8" ht="47.25">
      <c r="A568" s="25" t="s">
        <v>295</v>
      </c>
      <c r="B568" s="16">
        <v>906</v>
      </c>
      <c r="C568" s="20" t="s">
        <v>281</v>
      </c>
      <c r="D568" s="20" t="s">
        <v>230</v>
      </c>
      <c r="E568" s="20" t="s">
        <v>459</v>
      </c>
      <c r="F568" s="20"/>
      <c r="G568" s="26">
        <f>G569</f>
        <v>3309</v>
      </c>
      <c r="H568" s="187"/>
    </row>
    <row r="569" spans="1:8" ht="47.25">
      <c r="A569" s="25" t="s">
        <v>289</v>
      </c>
      <c r="B569" s="16">
        <v>906</v>
      </c>
      <c r="C569" s="20" t="s">
        <v>281</v>
      </c>
      <c r="D569" s="20" t="s">
        <v>230</v>
      </c>
      <c r="E569" s="20" t="s">
        <v>459</v>
      </c>
      <c r="F569" s="20" t="s">
        <v>290</v>
      </c>
      <c r="G569" s="26">
        <f>G570</f>
        <v>3309</v>
      </c>
      <c r="H569" s="187"/>
    </row>
    <row r="570" spans="1:8" ht="15.75">
      <c r="A570" s="25" t="s">
        <v>291</v>
      </c>
      <c r="B570" s="16">
        <v>906</v>
      </c>
      <c r="C570" s="20" t="s">
        <v>281</v>
      </c>
      <c r="D570" s="20" t="s">
        <v>230</v>
      </c>
      <c r="E570" s="20" t="s">
        <v>459</v>
      </c>
      <c r="F570" s="20" t="s">
        <v>292</v>
      </c>
      <c r="G570" s="26">
        <f>341+2968</f>
        <v>3309</v>
      </c>
      <c r="H570" s="128"/>
    </row>
    <row r="571" spans="1:8" ht="31.5" hidden="1">
      <c r="A571" s="25" t="s">
        <v>297</v>
      </c>
      <c r="B571" s="16">
        <v>906</v>
      </c>
      <c r="C571" s="20" t="s">
        <v>281</v>
      </c>
      <c r="D571" s="20" t="s">
        <v>230</v>
      </c>
      <c r="E571" s="20" t="s">
        <v>460</v>
      </c>
      <c r="F571" s="20"/>
      <c r="G571" s="26">
        <f>G572</f>
        <v>0</v>
      </c>
      <c r="H571" s="187"/>
    </row>
    <row r="572" spans="1:8" ht="47.25" hidden="1">
      <c r="A572" s="25" t="s">
        <v>289</v>
      </c>
      <c r="B572" s="16">
        <v>906</v>
      </c>
      <c r="C572" s="20" t="s">
        <v>281</v>
      </c>
      <c r="D572" s="20" t="s">
        <v>230</v>
      </c>
      <c r="E572" s="20" t="s">
        <v>460</v>
      </c>
      <c r="F572" s="20" t="s">
        <v>290</v>
      </c>
      <c r="G572" s="26">
        <f>G573</f>
        <v>0</v>
      </c>
      <c r="H572" s="187"/>
    </row>
    <row r="573" spans="1:8" ht="15.75" hidden="1">
      <c r="A573" s="25" t="s">
        <v>291</v>
      </c>
      <c r="B573" s="16">
        <v>906</v>
      </c>
      <c r="C573" s="20" t="s">
        <v>281</v>
      </c>
      <c r="D573" s="20" t="s">
        <v>230</v>
      </c>
      <c r="E573" s="20" t="s">
        <v>460</v>
      </c>
      <c r="F573" s="20" t="s">
        <v>292</v>
      </c>
      <c r="G573" s="26">
        <v>0</v>
      </c>
      <c r="H573" s="187"/>
    </row>
    <row r="574" spans="1:8" ht="47.25">
      <c r="A574" s="25" t="s">
        <v>299</v>
      </c>
      <c r="B574" s="16">
        <v>906</v>
      </c>
      <c r="C574" s="20" t="s">
        <v>281</v>
      </c>
      <c r="D574" s="20" t="s">
        <v>230</v>
      </c>
      <c r="E574" s="20" t="s">
        <v>461</v>
      </c>
      <c r="F574" s="20"/>
      <c r="G574" s="26">
        <f>G575</f>
        <v>127</v>
      </c>
      <c r="H574" s="187"/>
    </row>
    <row r="575" spans="1:8" ht="47.25">
      <c r="A575" s="25" t="s">
        <v>289</v>
      </c>
      <c r="B575" s="16">
        <v>906</v>
      </c>
      <c r="C575" s="20" t="s">
        <v>281</v>
      </c>
      <c r="D575" s="20" t="s">
        <v>230</v>
      </c>
      <c r="E575" s="20" t="s">
        <v>461</v>
      </c>
      <c r="F575" s="20" t="s">
        <v>290</v>
      </c>
      <c r="G575" s="26">
        <f>G576</f>
        <v>127</v>
      </c>
      <c r="H575" s="187"/>
    </row>
    <row r="576" spans="1:8" ht="15.75">
      <c r="A576" s="25" t="s">
        <v>291</v>
      </c>
      <c r="B576" s="16">
        <v>906</v>
      </c>
      <c r="C576" s="20" t="s">
        <v>281</v>
      </c>
      <c r="D576" s="20" t="s">
        <v>230</v>
      </c>
      <c r="E576" s="20" t="s">
        <v>461</v>
      </c>
      <c r="F576" s="20" t="s">
        <v>292</v>
      </c>
      <c r="G576" s="26">
        <v>127</v>
      </c>
      <c r="H576" s="187"/>
    </row>
    <row r="577" spans="1:8" ht="31.5">
      <c r="A577" s="25" t="s">
        <v>301</v>
      </c>
      <c r="B577" s="16">
        <v>906</v>
      </c>
      <c r="C577" s="20" t="s">
        <v>281</v>
      </c>
      <c r="D577" s="20" t="s">
        <v>230</v>
      </c>
      <c r="E577" s="20" t="s">
        <v>462</v>
      </c>
      <c r="F577" s="20"/>
      <c r="G577" s="26">
        <f>G578</f>
        <v>229.4</v>
      </c>
      <c r="H577" s="187"/>
    </row>
    <row r="578" spans="1:8" ht="47.25">
      <c r="A578" s="25" t="s">
        <v>289</v>
      </c>
      <c r="B578" s="16">
        <v>906</v>
      </c>
      <c r="C578" s="20" t="s">
        <v>281</v>
      </c>
      <c r="D578" s="20" t="s">
        <v>230</v>
      </c>
      <c r="E578" s="20" t="s">
        <v>462</v>
      </c>
      <c r="F578" s="20" t="s">
        <v>290</v>
      </c>
      <c r="G578" s="26">
        <f>G579</f>
        <v>229.4</v>
      </c>
      <c r="H578" s="187"/>
    </row>
    <row r="579" spans="1:9" ht="15.75">
      <c r="A579" s="25" t="s">
        <v>291</v>
      </c>
      <c r="B579" s="16">
        <v>906</v>
      </c>
      <c r="C579" s="20" t="s">
        <v>281</v>
      </c>
      <c r="D579" s="20" t="s">
        <v>230</v>
      </c>
      <c r="E579" s="20" t="s">
        <v>462</v>
      </c>
      <c r="F579" s="20" t="s">
        <v>292</v>
      </c>
      <c r="G579" s="26">
        <v>229.4</v>
      </c>
      <c r="H579" s="114"/>
      <c r="I579" s="133"/>
    </row>
    <row r="580" spans="1:8" ht="15.75">
      <c r="A580" s="25" t="s">
        <v>138</v>
      </c>
      <c r="B580" s="16">
        <v>906</v>
      </c>
      <c r="C580" s="20" t="s">
        <v>281</v>
      </c>
      <c r="D580" s="20" t="s">
        <v>230</v>
      </c>
      <c r="E580" s="20" t="s">
        <v>139</v>
      </c>
      <c r="F580" s="20"/>
      <c r="G580" s="26">
        <f>G581</f>
        <v>89857.8</v>
      </c>
      <c r="H580" s="187"/>
    </row>
    <row r="581" spans="1:8" ht="31.5">
      <c r="A581" s="25" t="s">
        <v>202</v>
      </c>
      <c r="B581" s="16">
        <v>906</v>
      </c>
      <c r="C581" s="20" t="s">
        <v>281</v>
      </c>
      <c r="D581" s="20" t="s">
        <v>230</v>
      </c>
      <c r="E581" s="20" t="s">
        <v>203</v>
      </c>
      <c r="F581" s="20"/>
      <c r="G581" s="26">
        <f>G588+G591+G597+G600+G603+G606+G582+G585+G609+G594</f>
        <v>89857.8</v>
      </c>
      <c r="H581" s="187"/>
    </row>
    <row r="582" spans="1:8" ht="47.25" hidden="1">
      <c r="A582" s="25" t="s">
        <v>467</v>
      </c>
      <c r="B582" s="16">
        <v>906</v>
      </c>
      <c r="C582" s="20" t="s">
        <v>281</v>
      </c>
      <c r="D582" s="20" t="s">
        <v>230</v>
      </c>
      <c r="E582" s="20" t="s">
        <v>468</v>
      </c>
      <c r="F582" s="20"/>
      <c r="G582" s="26">
        <f>G583</f>
        <v>0</v>
      </c>
      <c r="H582" s="187"/>
    </row>
    <row r="583" spans="1:8" ht="47.25" hidden="1">
      <c r="A583" s="25" t="s">
        <v>289</v>
      </c>
      <c r="B583" s="16">
        <v>906</v>
      </c>
      <c r="C583" s="20" t="s">
        <v>281</v>
      </c>
      <c r="D583" s="20" t="s">
        <v>230</v>
      </c>
      <c r="E583" s="20" t="s">
        <v>468</v>
      </c>
      <c r="F583" s="20" t="s">
        <v>290</v>
      </c>
      <c r="G583" s="26">
        <f>G584</f>
        <v>0</v>
      </c>
      <c r="H583" s="187"/>
    </row>
    <row r="584" spans="1:8" ht="15.75" hidden="1">
      <c r="A584" s="25" t="s">
        <v>291</v>
      </c>
      <c r="B584" s="16">
        <v>906</v>
      </c>
      <c r="C584" s="20" t="s">
        <v>281</v>
      </c>
      <c r="D584" s="20" t="s">
        <v>230</v>
      </c>
      <c r="E584" s="20" t="s">
        <v>468</v>
      </c>
      <c r="F584" s="20" t="s">
        <v>292</v>
      </c>
      <c r="G584" s="26">
        <v>0</v>
      </c>
      <c r="H584" s="187"/>
    </row>
    <row r="585" spans="1:8" ht="15.75" hidden="1">
      <c r="A585" s="25" t="s">
        <v>469</v>
      </c>
      <c r="B585" s="16">
        <v>906</v>
      </c>
      <c r="C585" s="20" t="s">
        <v>281</v>
      </c>
      <c r="D585" s="20" t="s">
        <v>230</v>
      </c>
      <c r="E585" s="20" t="s">
        <v>470</v>
      </c>
      <c r="F585" s="20"/>
      <c r="G585" s="26">
        <f>G586</f>
        <v>0</v>
      </c>
      <c r="H585" s="187"/>
    </row>
    <row r="586" spans="1:8" ht="47.25" hidden="1">
      <c r="A586" s="25" t="s">
        <v>289</v>
      </c>
      <c r="B586" s="16">
        <v>906</v>
      </c>
      <c r="C586" s="20" t="s">
        <v>281</v>
      </c>
      <c r="D586" s="20" t="s">
        <v>230</v>
      </c>
      <c r="E586" s="20" t="s">
        <v>470</v>
      </c>
      <c r="F586" s="20" t="s">
        <v>290</v>
      </c>
      <c r="G586" s="26">
        <f>G587</f>
        <v>0</v>
      </c>
      <c r="H586" s="187"/>
    </row>
    <row r="587" spans="1:8" ht="15.75" hidden="1">
      <c r="A587" s="25" t="s">
        <v>291</v>
      </c>
      <c r="B587" s="16">
        <v>906</v>
      </c>
      <c r="C587" s="20" t="s">
        <v>281</v>
      </c>
      <c r="D587" s="20" t="s">
        <v>230</v>
      </c>
      <c r="E587" s="20" t="s">
        <v>470</v>
      </c>
      <c r="F587" s="20" t="s">
        <v>292</v>
      </c>
      <c r="G587" s="27">
        <v>0</v>
      </c>
      <c r="H587" s="187"/>
    </row>
    <row r="588" spans="1:8" ht="31.5" hidden="1">
      <c r="A588" s="25" t="s">
        <v>471</v>
      </c>
      <c r="B588" s="16">
        <v>906</v>
      </c>
      <c r="C588" s="20" t="s">
        <v>281</v>
      </c>
      <c r="D588" s="20" t="s">
        <v>230</v>
      </c>
      <c r="E588" s="20" t="s">
        <v>472</v>
      </c>
      <c r="F588" s="20"/>
      <c r="G588" s="26">
        <f>G589</f>
        <v>0</v>
      </c>
      <c r="H588" s="187"/>
    </row>
    <row r="589" spans="1:8" ht="47.25" hidden="1">
      <c r="A589" s="25" t="s">
        <v>289</v>
      </c>
      <c r="B589" s="16">
        <v>906</v>
      </c>
      <c r="C589" s="20" t="s">
        <v>281</v>
      </c>
      <c r="D589" s="20" t="s">
        <v>230</v>
      </c>
      <c r="E589" s="20" t="s">
        <v>472</v>
      </c>
      <c r="F589" s="20" t="s">
        <v>290</v>
      </c>
      <c r="G589" s="26">
        <f>G590</f>
        <v>0</v>
      </c>
      <c r="H589" s="187"/>
    </row>
    <row r="590" spans="1:9" ht="15.75" hidden="1">
      <c r="A590" s="25" t="s">
        <v>291</v>
      </c>
      <c r="B590" s="16">
        <v>906</v>
      </c>
      <c r="C590" s="20" t="s">
        <v>281</v>
      </c>
      <c r="D590" s="20" t="s">
        <v>230</v>
      </c>
      <c r="E590" s="20" t="s">
        <v>472</v>
      </c>
      <c r="F590" s="20" t="s">
        <v>292</v>
      </c>
      <c r="G590" s="26">
        <f>157.3-157.3</f>
        <v>0</v>
      </c>
      <c r="H590" s="187"/>
      <c r="I590" s="123"/>
    </row>
    <row r="591" spans="1:8" ht="31.5">
      <c r="A591" s="25" t="s">
        <v>473</v>
      </c>
      <c r="B591" s="16">
        <v>906</v>
      </c>
      <c r="C591" s="20" t="s">
        <v>281</v>
      </c>
      <c r="D591" s="20" t="s">
        <v>230</v>
      </c>
      <c r="E591" s="20" t="s">
        <v>474</v>
      </c>
      <c r="F591" s="20"/>
      <c r="G591" s="26">
        <f>G592</f>
        <v>1293.6</v>
      </c>
      <c r="H591" s="187"/>
    </row>
    <row r="592" spans="1:12" ht="47.25">
      <c r="A592" s="25" t="s">
        <v>289</v>
      </c>
      <c r="B592" s="16">
        <v>906</v>
      </c>
      <c r="C592" s="20" t="s">
        <v>281</v>
      </c>
      <c r="D592" s="20" t="s">
        <v>230</v>
      </c>
      <c r="E592" s="20" t="s">
        <v>474</v>
      </c>
      <c r="F592" s="20" t="s">
        <v>290</v>
      </c>
      <c r="G592" s="26">
        <f>G593</f>
        <v>1293.6</v>
      </c>
      <c r="H592" s="187"/>
      <c r="L592" s="124"/>
    </row>
    <row r="593" spans="1:9" ht="15.75">
      <c r="A593" s="25" t="s">
        <v>291</v>
      </c>
      <c r="B593" s="16">
        <v>906</v>
      </c>
      <c r="C593" s="20" t="s">
        <v>281</v>
      </c>
      <c r="D593" s="20" t="s">
        <v>230</v>
      </c>
      <c r="E593" s="20" t="s">
        <v>474</v>
      </c>
      <c r="F593" s="20" t="s">
        <v>292</v>
      </c>
      <c r="G593" s="27">
        <f>1572.5-278.9</f>
        <v>1293.6</v>
      </c>
      <c r="H593" s="187"/>
      <c r="I593" s="123"/>
    </row>
    <row r="594" spans="1:8" ht="47.25">
      <c r="A594" s="25" t="s">
        <v>475</v>
      </c>
      <c r="B594" s="16">
        <v>906</v>
      </c>
      <c r="C594" s="20" t="s">
        <v>281</v>
      </c>
      <c r="D594" s="20" t="s">
        <v>230</v>
      </c>
      <c r="E594" s="20" t="s">
        <v>476</v>
      </c>
      <c r="F594" s="20"/>
      <c r="G594" s="27">
        <f>G595</f>
        <v>488.7</v>
      </c>
      <c r="H594" s="187"/>
    </row>
    <row r="595" spans="1:8" ht="47.25">
      <c r="A595" s="25" t="s">
        <v>289</v>
      </c>
      <c r="B595" s="16">
        <v>906</v>
      </c>
      <c r="C595" s="20" t="s">
        <v>281</v>
      </c>
      <c r="D595" s="20" t="s">
        <v>230</v>
      </c>
      <c r="E595" s="20" t="s">
        <v>476</v>
      </c>
      <c r="F595" s="20" t="s">
        <v>290</v>
      </c>
      <c r="G595" s="27">
        <f>G596</f>
        <v>488.7</v>
      </c>
      <c r="H595" s="187"/>
    </row>
    <row r="596" spans="1:9" ht="15.75">
      <c r="A596" s="25" t="s">
        <v>291</v>
      </c>
      <c r="B596" s="16">
        <v>906</v>
      </c>
      <c r="C596" s="20" t="s">
        <v>281</v>
      </c>
      <c r="D596" s="20" t="s">
        <v>230</v>
      </c>
      <c r="E596" s="20" t="s">
        <v>476</v>
      </c>
      <c r="F596" s="20" t="s">
        <v>292</v>
      </c>
      <c r="G596" s="27">
        <f>733.5-244.8</f>
        <v>488.7</v>
      </c>
      <c r="H596" s="187"/>
      <c r="I596" s="123"/>
    </row>
    <row r="597" spans="1:8" ht="94.5">
      <c r="A597" s="32" t="s">
        <v>477</v>
      </c>
      <c r="B597" s="16">
        <v>906</v>
      </c>
      <c r="C597" s="20" t="s">
        <v>281</v>
      </c>
      <c r="D597" s="20" t="s">
        <v>230</v>
      </c>
      <c r="E597" s="20" t="s">
        <v>478</v>
      </c>
      <c r="F597" s="20"/>
      <c r="G597" s="26">
        <f>G598</f>
        <v>79753.6</v>
      </c>
      <c r="H597" s="187"/>
    </row>
    <row r="598" spans="1:8" ht="47.25">
      <c r="A598" s="25" t="s">
        <v>289</v>
      </c>
      <c r="B598" s="16">
        <v>906</v>
      </c>
      <c r="C598" s="20" t="s">
        <v>281</v>
      </c>
      <c r="D598" s="20" t="s">
        <v>230</v>
      </c>
      <c r="E598" s="20" t="s">
        <v>478</v>
      </c>
      <c r="F598" s="20" t="s">
        <v>290</v>
      </c>
      <c r="G598" s="26">
        <f>G599</f>
        <v>79753.6</v>
      </c>
      <c r="H598" s="187"/>
    </row>
    <row r="599" spans="1:9" ht="15.75">
      <c r="A599" s="25" t="s">
        <v>291</v>
      </c>
      <c r="B599" s="16">
        <v>906</v>
      </c>
      <c r="C599" s="20" t="s">
        <v>281</v>
      </c>
      <c r="D599" s="20" t="s">
        <v>230</v>
      </c>
      <c r="E599" s="20" t="s">
        <v>478</v>
      </c>
      <c r="F599" s="20" t="s">
        <v>292</v>
      </c>
      <c r="G599" s="27">
        <f>93568.6-13815</f>
        <v>79753.6</v>
      </c>
      <c r="H599" s="187"/>
      <c r="I599" s="123"/>
    </row>
    <row r="600" spans="1:8" ht="63">
      <c r="A600" s="32" t="s">
        <v>306</v>
      </c>
      <c r="B600" s="16">
        <v>906</v>
      </c>
      <c r="C600" s="20" t="s">
        <v>281</v>
      </c>
      <c r="D600" s="20" t="s">
        <v>230</v>
      </c>
      <c r="E600" s="20" t="s">
        <v>307</v>
      </c>
      <c r="F600" s="20"/>
      <c r="G600" s="26">
        <f>G601</f>
        <v>910.9000000000001</v>
      </c>
      <c r="H600" s="187"/>
    </row>
    <row r="601" spans="1:8" ht="47.25">
      <c r="A601" s="25" t="s">
        <v>289</v>
      </c>
      <c r="B601" s="16">
        <v>906</v>
      </c>
      <c r="C601" s="20" t="s">
        <v>281</v>
      </c>
      <c r="D601" s="20" t="s">
        <v>230</v>
      </c>
      <c r="E601" s="20" t="s">
        <v>307</v>
      </c>
      <c r="F601" s="20" t="s">
        <v>290</v>
      </c>
      <c r="G601" s="26">
        <f>G602</f>
        <v>910.9000000000001</v>
      </c>
      <c r="H601" s="187"/>
    </row>
    <row r="602" spans="1:9" ht="15.75">
      <c r="A602" s="25" t="s">
        <v>291</v>
      </c>
      <c r="B602" s="16">
        <v>906</v>
      </c>
      <c r="C602" s="20" t="s">
        <v>281</v>
      </c>
      <c r="D602" s="20" t="s">
        <v>230</v>
      </c>
      <c r="E602" s="20" t="s">
        <v>307</v>
      </c>
      <c r="F602" s="20" t="s">
        <v>292</v>
      </c>
      <c r="G602" s="27">
        <f>1101.7-190.8</f>
        <v>910.9000000000001</v>
      </c>
      <c r="H602" s="187"/>
      <c r="I602" s="123"/>
    </row>
    <row r="603" spans="1:8" ht="78.75">
      <c r="A603" s="32" t="s">
        <v>308</v>
      </c>
      <c r="B603" s="16">
        <v>906</v>
      </c>
      <c r="C603" s="20" t="s">
        <v>281</v>
      </c>
      <c r="D603" s="20" t="s">
        <v>230</v>
      </c>
      <c r="E603" s="20" t="s">
        <v>309</v>
      </c>
      <c r="F603" s="20"/>
      <c r="G603" s="26">
        <f>G604</f>
        <v>2155.5</v>
      </c>
      <c r="H603" s="187"/>
    </row>
    <row r="604" spans="1:8" ht="47.25">
      <c r="A604" s="25" t="s">
        <v>289</v>
      </c>
      <c r="B604" s="16">
        <v>906</v>
      </c>
      <c r="C604" s="20" t="s">
        <v>281</v>
      </c>
      <c r="D604" s="20" t="s">
        <v>230</v>
      </c>
      <c r="E604" s="20" t="s">
        <v>309</v>
      </c>
      <c r="F604" s="20" t="s">
        <v>290</v>
      </c>
      <c r="G604" s="26">
        <f>G605</f>
        <v>2155.5</v>
      </c>
      <c r="H604" s="187"/>
    </row>
    <row r="605" spans="1:9" ht="15.75">
      <c r="A605" s="25" t="s">
        <v>291</v>
      </c>
      <c r="B605" s="16">
        <v>906</v>
      </c>
      <c r="C605" s="20" t="s">
        <v>281</v>
      </c>
      <c r="D605" s="20" t="s">
        <v>230</v>
      </c>
      <c r="E605" s="20" t="s">
        <v>309</v>
      </c>
      <c r="F605" s="20" t="s">
        <v>292</v>
      </c>
      <c r="G605" s="27">
        <f>2823.2-667.7</f>
        <v>2155.5</v>
      </c>
      <c r="H605" s="187"/>
      <c r="I605" s="123"/>
    </row>
    <row r="606" spans="1:8" ht="47.25">
      <c r="A606" s="32" t="s">
        <v>479</v>
      </c>
      <c r="B606" s="16">
        <v>906</v>
      </c>
      <c r="C606" s="20" t="s">
        <v>281</v>
      </c>
      <c r="D606" s="20" t="s">
        <v>230</v>
      </c>
      <c r="E606" s="20" t="s">
        <v>480</v>
      </c>
      <c r="F606" s="20"/>
      <c r="G606" s="26">
        <f>G607</f>
        <v>886.5</v>
      </c>
      <c r="H606" s="187"/>
    </row>
    <row r="607" spans="1:8" ht="47.25">
      <c r="A607" s="25" t="s">
        <v>289</v>
      </c>
      <c r="B607" s="16">
        <v>906</v>
      </c>
      <c r="C607" s="20" t="s">
        <v>281</v>
      </c>
      <c r="D607" s="20" t="s">
        <v>230</v>
      </c>
      <c r="E607" s="20" t="s">
        <v>480</v>
      </c>
      <c r="F607" s="20" t="s">
        <v>290</v>
      </c>
      <c r="G607" s="26">
        <f>G608</f>
        <v>886.5</v>
      </c>
      <c r="H607" s="187"/>
    </row>
    <row r="608" spans="1:9" ht="15.75">
      <c r="A608" s="25" t="s">
        <v>291</v>
      </c>
      <c r="B608" s="16">
        <v>906</v>
      </c>
      <c r="C608" s="20" t="s">
        <v>281</v>
      </c>
      <c r="D608" s="20" t="s">
        <v>230</v>
      </c>
      <c r="E608" s="20" t="s">
        <v>480</v>
      </c>
      <c r="F608" s="20" t="s">
        <v>292</v>
      </c>
      <c r="G608" s="27">
        <f>998.4-111.9</f>
        <v>886.5</v>
      </c>
      <c r="H608" s="187"/>
      <c r="I608" s="123"/>
    </row>
    <row r="609" spans="1:8" ht="110.25">
      <c r="A609" s="32" t="s">
        <v>481</v>
      </c>
      <c r="B609" s="16">
        <v>906</v>
      </c>
      <c r="C609" s="20" t="s">
        <v>281</v>
      </c>
      <c r="D609" s="20" t="s">
        <v>230</v>
      </c>
      <c r="E609" s="20" t="s">
        <v>311</v>
      </c>
      <c r="F609" s="20"/>
      <c r="G609" s="26">
        <f>G610</f>
        <v>4369</v>
      </c>
      <c r="H609" s="187"/>
    </row>
    <row r="610" spans="1:8" ht="47.25">
      <c r="A610" s="25" t="s">
        <v>289</v>
      </c>
      <c r="B610" s="16">
        <v>906</v>
      </c>
      <c r="C610" s="20" t="s">
        <v>281</v>
      </c>
      <c r="D610" s="20" t="s">
        <v>230</v>
      </c>
      <c r="E610" s="20" t="s">
        <v>311</v>
      </c>
      <c r="F610" s="20" t="s">
        <v>290</v>
      </c>
      <c r="G610" s="26">
        <f>G611</f>
        <v>4369</v>
      </c>
      <c r="H610" s="187"/>
    </row>
    <row r="611" spans="1:9" ht="15.75">
      <c r="A611" s="25" t="s">
        <v>291</v>
      </c>
      <c r="B611" s="16">
        <v>906</v>
      </c>
      <c r="C611" s="20" t="s">
        <v>281</v>
      </c>
      <c r="D611" s="20" t="s">
        <v>230</v>
      </c>
      <c r="E611" s="20" t="s">
        <v>311</v>
      </c>
      <c r="F611" s="20" t="s">
        <v>292</v>
      </c>
      <c r="G611" s="27">
        <f>5441.9-1072.9</f>
        <v>4369</v>
      </c>
      <c r="H611" s="187"/>
      <c r="I611" s="123"/>
    </row>
    <row r="612" spans="1:9" ht="15.75">
      <c r="A612" s="23" t="s">
        <v>282</v>
      </c>
      <c r="B612" s="19">
        <v>906</v>
      </c>
      <c r="C612" s="24" t="s">
        <v>281</v>
      </c>
      <c r="D612" s="24" t="s">
        <v>232</v>
      </c>
      <c r="E612" s="24"/>
      <c r="F612" s="24"/>
      <c r="G612" s="45">
        <f>G613+G622</f>
        <v>23062.100000000002</v>
      </c>
      <c r="H612" s="187"/>
      <c r="I612" s="123"/>
    </row>
    <row r="613" spans="1:9" ht="47.25">
      <c r="A613" s="25" t="s">
        <v>443</v>
      </c>
      <c r="B613" s="16">
        <v>906</v>
      </c>
      <c r="C613" s="20" t="s">
        <v>281</v>
      </c>
      <c r="D613" s="20" t="s">
        <v>232</v>
      </c>
      <c r="E613" s="20" t="s">
        <v>423</v>
      </c>
      <c r="F613" s="20"/>
      <c r="G613" s="27">
        <f>G614+G620</f>
        <v>21479.9</v>
      </c>
      <c r="H613" s="187"/>
      <c r="I613" s="123"/>
    </row>
    <row r="614" spans="1:9" ht="47.25">
      <c r="A614" s="25" t="s">
        <v>424</v>
      </c>
      <c r="B614" s="16">
        <v>906</v>
      </c>
      <c r="C614" s="20" t="s">
        <v>281</v>
      </c>
      <c r="D614" s="20" t="s">
        <v>232</v>
      </c>
      <c r="E614" s="20" t="s">
        <v>425</v>
      </c>
      <c r="F614" s="20"/>
      <c r="G614" s="27">
        <f>G615</f>
        <v>21124</v>
      </c>
      <c r="H614" s="187"/>
      <c r="I614" s="123"/>
    </row>
    <row r="615" spans="1:9" ht="47.25">
      <c r="A615" s="25" t="s">
        <v>287</v>
      </c>
      <c r="B615" s="16">
        <v>906</v>
      </c>
      <c r="C615" s="20" t="s">
        <v>281</v>
      </c>
      <c r="D615" s="20" t="s">
        <v>232</v>
      </c>
      <c r="E615" s="20" t="s">
        <v>446</v>
      </c>
      <c r="F615" s="20"/>
      <c r="G615" s="27">
        <f>G616</f>
        <v>21124</v>
      </c>
      <c r="H615" s="187"/>
      <c r="I615" s="123"/>
    </row>
    <row r="616" spans="1:9" ht="47.25">
      <c r="A616" s="25" t="s">
        <v>289</v>
      </c>
      <c r="B616" s="16">
        <v>906</v>
      </c>
      <c r="C616" s="20" t="s">
        <v>281</v>
      </c>
      <c r="D616" s="20" t="s">
        <v>232</v>
      </c>
      <c r="E616" s="20" t="s">
        <v>446</v>
      </c>
      <c r="F616" s="20" t="s">
        <v>290</v>
      </c>
      <c r="G616" s="27">
        <f>G617</f>
        <v>21124</v>
      </c>
      <c r="H616" s="187"/>
      <c r="I616" s="123"/>
    </row>
    <row r="617" spans="1:9" ht="15.75">
      <c r="A617" s="25" t="s">
        <v>291</v>
      </c>
      <c r="B617" s="16">
        <v>906</v>
      </c>
      <c r="C617" s="20" t="s">
        <v>281</v>
      </c>
      <c r="D617" s="20" t="s">
        <v>232</v>
      </c>
      <c r="E617" s="20" t="s">
        <v>446</v>
      </c>
      <c r="F617" s="20" t="s">
        <v>292</v>
      </c>
      <c r="G617" s="27">
        <f>21044+80</f>
        <v>21124</v>
      </c>
      <c r="H617" s="114"/>
      <c r="I617" s="134"/>
    </row>
    <row r="618" spans="1:9" ht="47.25">
      <c r="A618" s="32" t="s">
        <v>723</v>
      </c>
      <c r="B618" s="16">
        <v>906</v>
      </c>
      <c r="C618" s="20" t="s">
        <v>281</v>
      </c>
      <c r="D618" s="20" t="s">
        <v>232</v>
      </c>
      <c r="E618" s="20" t="s">
        <v>464</v>
      </c>
      <c r="F618" s="20"/>
      <c r="G618" s="27">
        <f>G619</f>
        <v>355.9</v>
      </c>
      <c r="H618" s="187"/>
      <c r="I618" s="123"/>
    </row>
    <row r="619" spans="1:9" ht="31.5">
      <c r="A619" s="46" t="s">
        <v>724</v>
      </c>
      <c r="B619" s="16">
        <v>906</v>
      </c>
      <c r="C619" s="20" t="s">
        <v>281</v>
      </c>
      <c r="D619" s="20" t="s">
        <v>232</v>
      </c>
      <c r="E619" s="20" t="s">
        <v>725</v>
      </c>
      <c r="F619" s="20"/>
      <c r="G619" s="27">
        <f>G620</f>
        <v>355.9</v>
      </c>
      <c r="H619" s="187"/>
      <c r="I619" s="123"/>
    </row>
    <row r="620" spans="1:9" ht="47.25">
      <c r="A620" s="32" t="s">
        <v>289</v>
      </c>
      <c r="B620" s="16">
        <v>906</v>
      </c>
      <c r="C620" s="20" t="s">
        <v>281</v>
      </c>
      <c r="D620" s="20" t="s">
        <v>232</v>
      </c>
      <c r="E620" s="20" t="s">
        <v>725</v>
      </c>
      <c r="F620" s="20" t="s">
        <v>290</v>
      </c>
      <c r="G620" s="27">
        <f>G621</f>
        <v>355.9</v>
      </c>
      <c r="H620" s="114"/>
      <c r="I620" s="123"/>
    </row>
    <row r="621" spans="1:9" ht="15.75">
      <c r="A621" s="32" t="s">
        <v>291</v>
      </c>
      <c r="B621" s="16">
        <v>906</v>
      </c>
      <c r="C621" s="20" t="s">
        <v>281</v>
      </c>
      <c r="D621" s="20" t="s">
        <v>232</v>
      </c>
      <c r="E621" s="20" t="s">
        <v>725</v>
      </c>
      <c r="F621" s="20" t="s">
        <v>292</v>
      </c>
      <c r="G621" s="27">
        <v>355.9</v>
      </c>
      <c r="H621" s="187"/>
      <c r="I621" s="123"/>
    </row>
    <row r="622" spans="1:9" ht="15.75">
      <c r="A622" s="25" t="s">
        <v>482</v>
      </c>
      <c r="B622" s="16">
        <v>906</v>
      </c>
      <c r="C622" s="20" t="s">
        <v>281</v>
      </c>
      <c r="D622" s="20" t="s">
        <v>232</v>
      </c>
      <c r="E622" s="20" t="s">
        <v>139</v>
      </c>
      <c r="F622" s="20"/>
      <c r="G622" s="27">
        <f>G623</f>
        <v>1582.2</v>
      </c>
      <c r="H622" s="187"/>
      <c r="I622" s="123"/>
    </row>
    <row r="623" spans="1:9" ht="31.5">
      <c r="A623" s="25" t="s">
        <v>202</v>
      </c>
      <c r="B623" s="16">
        <v>906</v>
      </c>
      <c r="C623" s="20" t="s">
        <v>281</v>
      </c>
      <c r="D623" s="20" t="s">
        <v>232</v>
      </c>
      <c r="E623" s="20" t="s">
        <v>203</v>
      </c>
      <c r="F623" s="20"/>
      <c r="G623" s="27">
        <f>G624+G627+G630</f>
        <v>1582.2</v>
      </c>
      <c r="H623" s="187"/>
      <c r="I623" s="123"/>
    </row>
    <row r="624" spans="1:9" ht="63">
      <c r="A624" s="32" t="s">
        <v>306</v>
      </c>
      <c r="B624" s="16">
        <v>906</v>
      </c>
      <c r="C624" s="20" t="s">
        <v>281</v>
      </c>
      <c r="D624" s="20" t="s">
        <v>232</v>
      </c>
      <c r="E624" s="20" t="s">
        <v>307</v>
      </c>
      <c r="F624" s="20"/>
      <c r="G624" s="27">
        <f>G625</f>
        <v>110</v>
      </c>
      <c r="H624" s="187"/>
      <c r="I624" s="123"/>
    </row>
    <row r="625" spans="1:9" ht="47.25">
      <c r="A625" s="25" t="s">
        <v>289</v>
      </c>
      <c r="B625" s="16">
        <v>906</v>
      </c>
      <c r="C625" s="20" t="s">
        <v>281</v>
      </c>
      <c r="D625" s="20" t="s">
        <v>232</v>
      </c>
      <c r="E625" s="20" t="s">
        <v>307</v>
      </c>
      <c r="F625" s="20" t="s">
        <v>290</v>
      </c>
      <c r="G625" s="27">
        <f>G626</f>
        <v>110</v>
      </c>
      <c r="H625" s="187"/>
      <c r="I625" s="123"/>
    </row>
    <row r="626" spans="1:9" ht="15.75">
      <c r="A626" s="25" t="s">
        <v>291</v>
      </c>
      <c r="B626" s="16">
        <v>906</v>
      </c>
      <c r="C626" s="20" t="s">
        <v>281</v>
      </c>
      <c r="D626" s="20" t="s">
        <v>232</v>
      </c>
      <c r="E626" s="20" t="s">
        <v>307</v>
      </c>
      <c r="F626" s="20" t="s">
        <v>292</v>
      </c>
      <c r="G626" s="27">
        <v>110</v>
      </c>
      <c r="H626" s="187"/>
      <c r="I626" s="123"/>
    </row>
    <row r="627" spans="1:9" ht="78.75">
      <c r="A627" s="32" t="s">
        <v>308</v>
      </c>
      <c r="B627" s="16">
        <v>906</v>
      </c>
      <c r="C627" s="20" t="s">
        <v>281</v>
      </c>
      <c r="D627" s="20" t="s">
        <v>232</v>
      </c>
      <c r="E627" s="20" t="s">
        <v>309</v>
      </c>
      <c r="F627" s="20"/>
      <c r="G627" s="27">
        <f>G628</f>
        <v>572.2</v>
      </c>
      <c r="H627" s="187"/>
      <c r="I627" s="123"/>
    </row>
    <row r="628" spans="1:9" ht="47.25">
      <c r="A628" s="25" t="s">
        <v>289</v>
      </c>
      <c r="B628" s="16">
        <v>906</v>
      </c>
      <c r="C628" s="20" t="s">
        <v>281</v>
      </c>
      <c r="D628" s="20" t="s">
        <v>232</v>
      </c>
      <c r="E628" s="20" t="s">
        <v>309</v>
      </c>
      <c r="F628" s="20" t="s">
        <v>290</v>
      </c>
      <c r="G628" s="27">
        <f>G629</f>
        <v>572.2</v>
      </c>
      <c r="H628" s="187"/>
      <c r="I628" s="123"/>
    </row>
    <row r="629" spans="1:9" ht="15.75">
      <c r="A629" s="25" t="s">
        <v>291</v>
      </c>
      <c r="B629" s="16">
        <v>906</v>
      </c>
      <c r="C629" s="20" t="s">
        <v>281</v>
      </c>
      <c r="D629" s="20" t="s">
        <v>232</v>
      </c>
      <c r="E629" s="20" t="s">
        <v>309</v>
      </c>
      <c r="F629" s="20" t="s">
        <v>292</v>
      </c>
      <c r="G629" s="27">
        <v>572.2</v>
      </c>
      <c r="H629" s="187"/>
      <c r="I629" s="123"/>
    </row>
    <row r="630" spans="1:9" ht="110.25">
      <c r="A630" s="32" t="s">
        <v>310</v>
      </c>
      <c r="B630" s="16">
        <v>906</v>
      </c>
      <c r="C630" s="20" t="s">
        <v>281</v>
      </c>
      <c r="D630" s="20" t="s">
        <v>232</v>
      </c>
      <c r="E630" s="20" t="s">
        <v>311</v>
      </c>
      <c r="F630" s="20"/>
      <c r="G630" s="27">
        <f>G631</f>
        <v>900</v>
      </c>
      <c r="H630" s="187"/>
      <c r="I630" s="123"/>
    </row>
    <row r="631" spans="1:9" ht="47.25">
      <c r="A631" s="25" t="s">
        <v>289</v>
      </c>
      <c r="B631" s="16">
        <v>906</v>
      </c>
      <c r="C631" s="20" t="s">
        <v>281</v>
      </c>
      <c r="D631" s="20" t="s">
        <v>232</v>
      </c>
      <c r="E631" s="20" t="s">
        <v>311</v>
      </c>
      <c r="F631" s="20" t="s">
        <v>290</v>
      </c>
      <c r="G631" s="27">
        <f>G632</f>
        <v>900</v>
      </c>
      <c r="H631" s="187"/>
      <c r="I631" s="123"/>
    </row>
    <row r="632" spans="1:9" ht="15.75">
      <c r="A632" s="25" t="s">
        <v>291</v>
      </c>
      <c r="B632" s="16">
        <v>906</v>
      </c>
      <c r="C632" s="20" t="s">
        <v>281</v>
      </c>
      <c r="D632" s="20" t="s">
        <v>232</v>
      </c>
      <c r="E632" s="20" t="s">
        <v>311</v>
      </c>
      <c r="F632" s="20" t="s">
        <v>292</v>
      </c>
      <c r="G632" s="27">
        <v>900</v>
      </c>
      <c r="H632" s="187"/>
      <c r="I632" s="123"/>
    </row>
    <row r="633" spans="1:8" ht="31.5">
      <c r="A633" s="23" t="s">
        <v>483</v>
      </c>
      <c r="B633" s="19">
        <v>906</v>
      </c>
      <c r="C633" s="24" t="s">
        <v>281</v>
      </c>
      <c r="D633" s="24" t="s">
        <v>281</v>
      </c>
      <c r="E633" s="24"/>
      <c r="F633" s="24"/>
      <c r="G633" s="21">
        <f>G634+G639</f>
        <v>4788.6</v>
      </c>
      <c r="H633" s="187"/>
    </row>
    <row r="634" spans="1:8" ht="47.25">
      <c r="A634" s="25" t="s">
        <v>443</v>
      </c>
      <c r="B634" s="16">
        <v>906</v>
      </c>
      <c r="C634" s="20" t="s">
        <v>281</v>
      </c>
      <c r="D634" s="20" t="s">
        <v>281</v>
      </c>
      <c r="E634" s="20" t="s">
        <v>423</v>
      </c>
      <c r="F634" s="20"/>
      <c r="G634" s="26">
        <f>G635</f>
        <v>3484.8</v>
      </c>
      <c r="H634" s="187"/>
    </row>
    <row r="635" spans="1:8" ht="31.5">
      <c r="A635" s="25" t="s">
        <v>484</v>
      </c>
      <c r="B635" s="16">
        <v>906</v>
      </c>
      <c r="C635" s="20" t="s">
        <v>281</v>
      </c>
      <c r="D635" s="20" t="s">
        <v>485</v>
      </c>
      <c r="E635" s="20" t="s">
        <v>486</v>
      </c>
      <c r="F635" s="20"/>
      <c r="G635" s="26">
        <f>G636</f>
        <v>3484.8</v>
      </c>
      <c r="H635" s="187"/>
    </row>
    <row r="636" spans="1:8" ht="47.25">
      <c r="A636" s="25" t="s">
        <v>487</v>
      </c>
      <c r="B636" s="16">
        <v>906</v>
      </c>
      <c r="C636" s="20" t="s">
        <v>281</v>
      </c>
      <c r="D636" s="20" t="s">
        <v>281</v>
      </c>
      <c r="E636" s="20" t="s">
        <v>488</v>
      </c>
      <c r="F636" s="20"/>
      <c r="G636" s="26">
        <f>G637</f>
        <v>3484.8</v>
      </c>
      <c r="H636" s="187"/>
    </row>
    <row r="637" spans="1:8" ht="47.25">
      <c r="A637" s="25" t="s">
        <v>289</v>
      </c>
      <c r="B637" s="16">
        <v>906</v>
      </c>
      <c r="C637" s="20" t="s">
        <v>281</v>
      </c>
      <c r="D637" s="20" t="s">
        <v>281</v>
      </c>
      <c r="E637" s="20" t="s">
        <v>488</v>
      </c>
      <c r="F637" s="20" t="s">
        <v>290</v>
      </c>
      <c r="G637" s="26">
        <f aca="true" t="shared" si="3" ref="G637:G642">G638</f>
        <v>3484.8</v>
      </c>
      <c r="H637" s="187"/>
    </row>
    <row r="638" spans="1:8" ht="15.75">
      <c r="A638" s="25" t="s">
        <v>291</v>
      </c>
      <c r="B638" s="16">
        <v>906</v>
      </c>
      <c r="C638" s="20" t="s">
        <v>281</v>
      </c>
      <c r="D638" s="20" t="s">
        <v>281</v>
      </c>
      <c r="E638" s="20" t="s">
        <v>488</v>
      </c>
      <c r="F638" s="20" t="s">
        <v>292</v>
      </c>
      <c r="G638" s="27">
        <v>3484.8</v>
      </c>
      <c r="H638" s="187"/>
    </row>
    <row r="639" spans="1:8" ht="15.75">
      <c r="A639" s="25" t="s">
        <v>138</v>
      </c>
      <c r="B639" s="16">
        <v>906</v>
      </c>
      <c r="C639" s="20" t="s">
        <v>281</v>
      </c>
      <c r="D639" s="20" t="s">
        <v>281</v>
      </c>
      <c r="E639" s="20" t="s">
        <v>139</v>
      </c>
      <c r="F639" s="20"/>
      <c r="G639" s="26">
        <f>G640</f>
        <v>1303.8000000000002</v>
      </c>
      <c r="H639" s="187"/>
    </row>
    <row r="640" spans="1:8" ht="31.5">
      <c r="A640" s="25" t="s">
        <v>202</v>
      </c>
      <c r="B640" s="16">
        <v>906</v>
      </c>
      <c r="C640" s="20" t="s">
        <v>281</v>
      </c>
      <c r="D640" s="20" t="s">
        <v>281</v>
      </c>
      <c r="E640" s="20" t="s">
        <v>203</v>
      </c>
      <c r="F640" s="20"/>
      <c r="G640" s="26">
        <f>G642</f>
        <v>1303.8000000000002</v>
      </c>
      <c r="H640" s="187"/>
    </row>
    <row r="641" spans="1:8" ht="63" hidden="1">
      <c r="A641" s="25" t="s">
        <v>489</v>
      </c>
      <c r="B641" s="16">
        <v>906</v>
      </c>
      <c r="C641" s="20" t="s">
        <v>281</v>
      </c>
      <c r="D641" s="20" t="s">
        <v>281</v>
      </c>
      <c r="E641" s="20" t="s">
        <v>490</v>
      </c>
      <c r="F641" s="20"/>
      <c r="G641" s="26">
        <f t="shared" si="3"/>
        <v>1303.8000000000002</v>
      </c>
      <c r="H641" s="187"/>
    </row>
    <row r="642" spans="1:8" ht="31.5">
      <c r="A642" s="32" t="s">
        <v>491</v>
      </c>
      <c r="B642" s="16">
        <v>906</v>
      </c>
      <c r="C642" s="20" t="s">
        <v>281</v>
      </c>
      <c r="D642" s="20" t="s">
        <v>281</v>
      </c>
      <c r="E642" s="20" t="s">
        <v>492</v>
      </c>
      <c r="F642" s="20"/>
      <c r="G642" s="26">
        <f t="shared" si="3"/>
        <v>1303.8000000000002</v>
      </c>
      <c r="H642" s="187"/>
    </row>
    <row r="643" spans="1:8" ht="47.25">
      <c r="A643" s="25" t="s">
        <v>289</v>
      </c>
      <c r="B643" s="16">
        <v>906</v>
      </c>
      <c r="C643" s="20" t="s">
        <v>281</v>
      </c>
      <c r="D643" s="20" t="s">
        <v>281</v>
      </c>
      <c r="E643" s="20" t="s">
        <v>492</v>
      </c>
      <c r="F643" s="20" t="s">
        <v>290</v>
      </c>
      <c r="G643" s="26">
        <f>G644</f>
        <v>1303.8000000000002</v>
      </c>
      <c r="H643" s="187"/>
    </row>
    <row r="644" spans="1:9" ht="15.75">
      <c r="A644" s="25" t="s">
        <v>291</v>
      </c>
      <c r="B644" s="16">
        <v>906</v>
      </c>
      <c r="C644" s="20" t="s">
        <v>281</v>
      </c>
      <c r="D644" s="20" t="s">
        <v>281</v>
      </c>
      <c r="E644" s="20" t="s">
        <v>492</v>
      </c>
      <c r="F644" s="20" t="s">
        <v>292</v>
      </c>
      <c r="G644" s="27">
        <f>1660.4-356.6</f>
        <v>1303.8000000000002</v>
      </c>
      <c r="H644" s="187"/>
      <c r="I644" s="123"/>
    </row>
    <row r="645" spans="1:8" ht="15.75">
      <c r="A645" s="23" t="s">
        <v>312</v>
      </c>
      <c r="B645" s="19">
        <v>906</v>
      </c>
      <c r="C645" s="24" t="s">
        <v>281</v>
      </c>
      <c r="D645" s="24" t="s">
        <v>236</v>
      </c>
      <c r="E645" s="24"/>
      <c r="F645" s="24"/>
      <c r="G645" s="21">
        <f>G646+G655</f>
        <v>18322.300000000003</v>
      </c>
      <c r="H645" s="187"/>
    </row>
    <row r="646" spans="1:9" ht="47.25">
      <c r="A646" s="25" t="s">
        <v>351</v>
      </c>
      <c r="B646" s="16">
        <v>906</v>
      </c>
      <c r="C646" s="20" t="s">
        <v>281</v>
      </c>
      <c r="D646" s="20" t="s">
        <v>236</v>
      </c>
      <c r="E646" s="20" t="s">
        <v>352</v>
      </c>
      <c r="F646" s="20"/>
      <c r="G646" s="26">
        <f>G647+G650</f>
        <v>20</v>
      </c>
      <c r="H646" s="187"/>
      <c r="I646" s="123"/>
    </row>
    <row r="647" spans="1:8" ht="31.5" hidden="1">
      <c r="A647" s="25" t="s">
        <v>353</v>
      </c>
      <c r="B647" s="16">
        <v>906</v>
      </c>
      <c r="C647" s="20" t="s">
        <v>281</v>
      </c>
      <c r="D647" s="20" t="s">
        <v>236</v>
      </c>
      <c r="E647" s="20" t="s">
        <v>354</v>
      </c>
      <c r="F647" s="20"/>
      <c r="G647" s="26">
        <f>G648</f>
        <v>0</v>
      </c>
      <c r="H647" s="187"/>
    </row>
    <row r="648" spans="1:8" ht="31.5" hidden="1">
      <c r="A648" s="25" t="s">
        <v>148</v>
      </c>
      <c r="B648" s="16">
        <v>906</v>
      </c>
      <c r="C648" s="20" t="s">
        <v>281</v>
      </c>
      <c r="D648" s="20" t="s">
        <v>236</v>
      </c>
      <c r="E648" s="20" t="s">
        <v>354</v>
      </c>
      <c r="F648" s="20" t="s">
        <v>149</v>
      </c>
      <c r="G648" s="26">
        <f>G649</f>
        <v>0</v>
      </c>
      <c r="H648" s="187"/>
    </row>
    <row r="649" spans="1:9" ht="47.25" hidden="1">
      <c r="A649" s="25" t="s">
        <v>150</v>
      </c>
      <c r="B649" s="16">
        <v>906</v>
      </c>
      <c r="C649" s="20" t="s">
        <v>281</v>
      </c>
      <c r="D649" s="20" t="s">
        <v>236</v>
      </c>
      <c r="E649" s="20" t="s">
        <v>354</v>
      </c>
      <c r="F649" s="20" t="s">
        <v>151</v>
      </c>
      <c r="G649" s="26">
        <f>50-50</f>
        <v>0</v>
      </c>
      <c r="H649" s="114"/>
      <c r="I649" s="133"/>
    </row>
    <row r="650" spans="1:8" ht="63">
      <c r="A650" s="25" t="s">
        <v>493</v>
      </c>
      <c r="B650" s="16">
        <v>906</v>
      </c>
      <c r="C650" s="20" t="s">
        <v>281</v>
      </c>
      <c r="D650" s="20" t="s">
        <v>236</v>
      </c>
      <c r="E650" s="20" t="s">
        <v>494</v>
      </c>
      <c r="F650" s="20"/>
      <c r="G650" s="26">
        <f>G651+G653</f>
        <v>20</v>
      </c>
      <c r="H650" s="187"/>
    </row>
    <row r="651" spans="1:8" ht="94.5">
      <c r="A651" s="25" t="s">
        <v>144</v>
      </c>
      <c r="B651" s="16">
        <v>906</v>
      </c>
      <c r="C651" s="20" t="s">
        <v>281</v>
      </c>
      <c r="D651" s="20" t="s">
        <v>236</v>
      </c>
      <c r="E651" s="20" t="s">
        <v>494</v>
      </c>
      <c r="F651" s="20" t="s">
        <v>145</v>
      </c>
      <c r="G651" s="26">
        <f>G652</f>
        <v>5</v>
      </c>
      <c r="H651" s="187"/>
    </row>
    <row r="652" spans="1:8" ht="31.5">
      <c r="A652" s="25" t="s">
        <v>359</v>
      </c>
      <c r="B652" s="16">
        <v>906</v>
      </c>
      <c r="C652" s="20" t="s">
        <v>281</v>
      </c>
      <c r="D652" s="20" t="s">
        <v>236</v>
      </c>
      <c r="E652" s="20" t="s">
        <v>494</v>
      </c>
      <c r="F652" s="20" t="s">
        <v>226</v>
      </c>
      <c r="G652" s="26">
        <v>5</v>
      </c>
      <c r="H652" s="187"/>
    </row>
    <row r="653" spans="1:8" ht="31.5">
      <c r="A653" s="25" t="s">
        <v>148</v>
      </c>
      <c r="B653" s="16">
        <v>906</v>
      </c>
      <c r="C653" s="20" t="s">
        <v>281</v>
      </c>
      <c r="D653" s="20" t="s">
        <v>236</v>
      </c>
      <c r="E653" s="20" t="s">
        <v>494</v>
      </c>
      <c r="F653" s="20" t="s">
        <v>149</v>
      </c>
      <c r="G653" s="26">
        <f>G654</f>
        <v>15</v>
      </c>
      <c r="H653" s="187"/>
    </row>
    <row r="654" spans="1:8" ht="47.25">
      <c r="A654" s="25" t="s">
        <v>150</v>
      </c>
      <c r="B654" s="16">
        <v>906</v>
      </c>
      <c r="C654" s="20" t="s">
        <v>281</v>
      </c>
      <c r="D654" s="20" t="s">
        <v>236</v>
      </c>
      <c r="E654" s="20" t="s">
        <v>494</v>
      </c>
      <c r="F654" s="20" t="s">
        <v>151</v>
      </c>
      <c r="G654" s="26">
        <v>15</v>
      </c>
      <c r="H654" s="187"/>
    </row>
    <row r="655" spans="1:8" ht="15.75">
      <c r="A655" s="25" t="s">
        <v>138</v>
      </c>
      <c r="B655" s="16">
        <v>906</v>
      </c>
      <c r="C655" s="20" t="s">
        <v>281</v>
      </c>
      <c r="D655" s="20" t="s">
        <v>236</v>
      </c>
      <c r="E655" s="20" t="s">
        <v>139</v>
      </c>
      <c r="F655" s="20"/>
      <c r="G655" s="26">
        <f>G656+G662</f>
        <v>18302.300000000003</v>
      </c>
      <c r="H655" s="187"/>
    </row>
    <row r="656" spans="1:8" ht="31.5">
      <c r="A656" s="25" t="s">
        <v>140</v>
      </c>
      <c r="B656" s="16">
        <v>906</v>
      </c>
      <c r="C656" s="20" t="s">
        <v>281</v>
      </c>
      <c r="D656" s="20" t="s">
        <v>236</v>
      </c>
      <c r="E656" s="20" t="s">
        <v>141</v>
      </c>
      <c r="F656" s="20"/>
      <c r="G656" s="26">
        <f>G657</f>
        <v>5138.7</v>
      </c>
      <c r="H656" s="187"/>
    </row>
    <row r="657" spans="1:8" ht="47.25">
      <c r="A657" s="25" t="s">
        <v>142</v>
      </c>
      <c r="B657" s="16">
        <v>906</v>
      </c>
      <c r="C657" s="20" t="s">
        <v>281</v>
      </c>
      <c r="D657" s="20" t="s">
        <v>236</v>
      </c>
      <c r="E657" s="20" t="s">
        <v>143</v>
      </c>
      <c r="F657" s="20"/>
      <c r="G657" s="26">
        <f>G658+G660</f>
        <v>5138.7</v>
      </c>
      <c r="H657" s="187"/>
    </row>
    <row r="658" spans="1:8" ht="94.5">
      <c r="A658" s="25" t="s">
        <v>144</v>
      </c>
      <c r="B658" s="16">
        <v>906</v>
      </c>
      <c r="C658" s="20" t="s">
        <v>281</v>
      </c>
      <c r="D658" s="20" t="s">
        <v>236</v>
      </c>
      <c r="E658" s="20" t="s">
        <v>143</v>
      </c>
      <c r="F658" s="20" t="s">
        <v>145</v>
      </c>
      <c r="G658" s="26">
        <f>G659</f>
        <v>4981.5</v>
      </c>
      <c r="H658" s="187"/>
    </row>
    <row r="659" spans="1:8" ht="31.5">
      <c r="A659" s="25" t="s">
        <v>146</v>
      </c>
      <c r="B659" s="16">
        <v>906</v>
      </c>
      <c r="C659" s="20" t="s">
        <v>281</v>
      </c>
      <c r="D659" s="20" t="s">
        <v>236</v>
      </c>
      <c r="E659" s="20" t="s">
        <v>143</v>
      </c>
      <c r="F659" s="20" t="s">
        <v>147</v>
      </c>
      <c r="G659" s="166">
        <f>4975.7+5.8</f>
        <v>4981.5</v>
      </c>
      <c r="H659" s="167" t="s">
        <v>749</v>
      </c>
    </row>
    <row r="660" spans="1:8" ht="31.5">
      <c r="A660" s="25" t="s">
        <v>148</v>
      </c>
      <c r="B660" s="16">
        <v>906</v>
      </c>
      <c r="C660" s="20" t="s">
        <v>281</v>
      </c>
      <c r="D660" s="20" t="s">
        <v>236</v>
      </c>
      <c r="E660" s="20" t="s">
        <v>143</v>
      </c>
      <c r="F660" s="20" t="s">
        <v>149</v>
      </c>
      <c r="G660" s="26">
        <f>G661</f>
        <v>157.2</v>
      </c>
      <c r="H660" s="187"/>
    </row>
    <row r="661" spans="1:8" ht="47.25">
      <c r="A661" s="25" t="s">
        <v>150</v>
      </c>
      <c r="B661" s="16">
        <v>906</v>
      </c>
      <c r="C661" s="20" t="s">
        <v>281</v>
      </c>
      <c r="D661" s="20" t="s">
        <v>236</v>
      </c>
      <c r="E661" s="20" t="s">
        <v>143</v>
      </c>
      <c r="F661" s="20" t="s">
        <v>151</v>
      </c>
      <c r="G661" s="168">
        <f>163-5.8</f>
        <v>157.2</v>
      </c>
      <c r="H661" s="167" t="s">
        <v>748</v>
      </c>
    </row>
    <row r="662" spans="1:8" ht="15.75">
      <c r="A662" s="25" t="s">
        <v>158</v>
      </c>
      <c r="B662" s="16">
        <v>906</v>
      </c>
      <c r="C662" s="20" t="s">
        <v>281</v>
      </c>
      <c r="D662" s="20" t="s">
        <v>236</v>
      </c>
      <c r="E662" s="20" t="s">
        <v>159</v>
      </c>
      <c r="F662" s="20"/>
      <c r="G662" s="26">
        <f>G666+G663</f>
        <v>13163.600000000002</v>
      </c>
      <c r="H662" s="187"/>
    </row>
    <row r="663" spans="1:8" ht="15.75">
      <c r="A663" s="25" t="s">
        <v>495</v>
      </c>
      <c r="B663" s="16">
        <v>906</v>
      </c>
      <c r="C663" s="20" t="s">
        <v>281</v>
      </c>
      <c r="D663" s="20" t="s">
        <v>236</v>
      </c>
      <c r="E663" s="20" t="s">
        <v>496</v>
      </c>
      <c r="F663" s="20"/>
      <c r="G663" s="26">
        <f>G664</f>
        <v>375</v>
      </c>
      <c r="H663" s="187"/>
    </row>
    <row r="664" spans="1:8" ht="31.5">
      <c r="A664" s="25" t="s">
        <v>148</v>
      </c>
      <c r="B664" s="16">
        <v>906</v>
      </c>
      <c r="C664" s="20" t="s">
        <v>281</v>
      </c>
      <c r="D664" s="20" t="s">
        <v>236</v>
      </c>
      <c r="E664" s="20" t="s">
        <v>496</v>
      </c>
      <c r="F664" s="20" t="s">
        <v>149</v>
      </c>
      <c r="G664" s="26">
        <f>G665</f>
        <v>375</v>
      </c>
      <c r="H664" s="187"/>
    </row>
    <row r="665" spans="1:9" ht="47.25">
      <c r="A665" s="25" t="s">
        <v>150</v>
      </c>
      <c r="B665" s="16">
        <v>906</v>
      </c>
      <c r="C665" s="20" t="s">
        <v>281</v>
      </c>
      <c r="D665" s="20" t="s">
        <v>236</v>
      </c>
      <c r="E665" s="20" t="s">
        <v>496</v>
      </c>
      <c r="F665" s="20" t="s">
        <v>151</v>
      </c>
      <c r="G665" s="172">
        <f>206.3+143.7+25</f>
        <v>375</v>
      </c>
      <c r="H665" s="167" t="s">
        <v>765</v>
      </c>
      <c r="I665" s="123"/>
    </row>
    <row r="666" spans="1:11" ht="31.5">
      <c r="A666" s="25" t="s">
        <v>357</v>
      </c>
      <c r="B666" s="16">
        <v>906</v>
      </c>
      <c r="C666" s="20" t="s">
        <v>281</v>
      </c>
      <c r="D666" s="20" t="s">
        <v>236</v>
      </c>
      <c r="E666" s="20" t="s">
        <v>358</v>
      </c>
      <c r="F666" s="20"/>
      <c r="G666" s="26">
        <f>G667+G669+G671</f>
        <v>12788.600000000002</v>
      </c>
      <c r="H666" s="187"/>
      <c r="J666" s="412"/>
      <c r="K666" s="412"/>
    </row>
    <row r="667" spans="1:11" ht="94.5">
      <c r="A667" s="25" t="s">
        <v>144</v>
      </c>
      <c r="B667" s="16">
        <v>906</v>
      </c>
      <c r="C667" s="20" t="s">
        <v>281</v>
      </c>
      <c r="D667" s="20" t="s">
        <v>236</v>
      </c>
      <c r="E667" s="20" t="s">
        <v>358</v>
      </c>
      <c r="F667" s="20" t="s">
        <v>145</v>
      </c>
      <c r="G667" s="26">
        <f>G668</f>
        <v>11519.300000000001</v>
      </c>
      <c r="H667" s="187"/>
      <c r="J667" s="412"/>
      <c r="K667" s="412"/>
    </row>
    <row r="668" spans="1:11" ht="31.5">
      <c r="A668" s="25" t="s">
        <v>359</v>
      </c>
      <c r="B668" s="16">
        <v>906</v>
      </c>
      <c r="C668" s="20" t="s">
        <v>281</v>
      </c>
      <c r="D668" s="20" t="s">
        <v>236</v>
      </c>
      <c r="E668" s="20" t="s">
        <v>358</v>
      </c>
      <c r="F668" s="20" t="s">
        <v>226</v>
      </c>
      <c r="G668" s="27">
        <f>11988.7-469.4</f>
        <v>11519.300000000001</v>
      </c>
      <c r="H668" s="114"/>
      <c r="I668" s="133"/>
      <c r="J668" s="412"/>
      <c r="K668" s="412"/>
    </row>
    <row r="669" spans="1:11" ht="31.5">
      <c r="A669" s="25" t="s">
        <v>148</v>
      </c>
      <c r="B669" s="16">
        <v>906</v>
      </c>
      <c r="C669" s="20" t="s">
        <v>281</v>
      </c>
      <c r="D669" s="20" t="s">
        <v>236</v>
      </c>
      <c r="E669" s="20" t="s">
        <v>358</v>
      </c>
      <c r="F669" s="20" t="s">
        <v>149</v>
      </c>
      <c r="G669" s="26">
        <f>G670</f>
        <v>1264.1</v>
      </c>
      <c r="H669" s="187"/>
      <c r="J669" s="412"/>
      <c r="K669" s="412"/>
    </row>
    <row r="670" spans="1:11" ht="47.25">
      <c r="A670" s="25" t="s">
        <v>150</v>
      </c>
      <c r="B670" s="16">
        <v>906</v>
      </c>
      <c r="C670" s="20" t="s">
        <v>281</v>
      </c>
      <c r="D670" s="20" t="s">
        <v>236</v>
      </c>
      <c r="E670" s="20" t="s">
        <v>358</v>
      </c>
      <c r="F670" s="20" t="s">
        <v>151</v>
      </c>
      <c r="G670" s="26">
        <f>1416.8-152.7</f>
        <v>1264.1</v>
      </c>
      <c r="H670" s="114"/>
      <c r="I670" s="133"/>
      <c r="J670" s="412"/>
      <c r="K670" s="412"/>
    </row>
    <row r="671" spans="1:11" ht="15.75">
      <c r="A671" s="25" t="s">
        <v>152</v>
      </c>
      <c r="B671" s="16">
        <v>906</v>
      </c>
      <c r="C671" s="20" t="s">
        <v>281</v>
      </c>
      <c r="D671" s="20" t="s">
        <v>236</v>
      </c>
      <c r="E671" s="20" t="s">
        <v>358</v>
      </c>
      <c r="F671" s="20" t="s">
        <v>162</v>
      </c>
      <c r="G671" s="26">
        <f>G672</f>
        <v>5.2</v>
      </c>
      <c r="H671" s="187"/>
      <c r="J671" s="412"/>
      <c r="K671" s="412"/>
    </row>
    <row r="672" spans="1:11" ht="15.75">
      <c r="A672" s="25" t="s">
        <v>585</v>
      </c>
      <c r="B672" s="16">
        <v>906</v>
      </c>
      <c r="C672" s="20" t="s">
        <v>281</v>
      </c>
      <c r="D672" s="20" t="s">
        <v>236</v>
      </c>
      <c r="E672" s="20" t="s">
        <v>358</v>
      </c>
      <c r="F672" s="20" t="s">
        <v>155</v>
      </c>
      <c r="G672" s="26">
        <f>7-1.8</f>
        <v>5.2</v>
      </c>
      <c r="H672" s="114"/>
      <c r="I672" s="133"/>
      <c r="J672" s="412"/>
      <c r="K672" s="412"/>
    </row>
    <row r="673" spans="1:8" ht="47.25">
      <c r="A673" s="19" t="s">
        <v>497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87"/>
    </row>
    <row r="674" spans="1:8" ht="15.75">
      <c r="A674" s="23" t="s">
        <v>280</v>
      </c>
      <c r="B674" s="19">
        <v>907</v>
      </c>
      <c r="C674" s="24" t="s">
        <v>485</v>
      </c>
      <c r="D674" s="24"/>
      <c r="E674" s="24"/>
      <c r="F674" s="24"/>
      <c r="G674" s="21">
        <f>G675</f>
        <v>11485.1</v>
      </c>
      <c r="H674" s="187"/>
    </row>
    <row r="675" spans="1:10" ht="15.75">
      <c r="A675" s="23" t="s">
        <v>282</v>
      </c>
      <c r="B675" s="19">
        <v>907</v>
      </c>
      <c r="C675" s="24" t="s">
        <v>281</v>
      </c>
      <c r="D675" s="24" t="s">
        <v>232</v>
      </c>
      <c r="E675" s="24"/>
      <c r="F675" s="24"/>
      <c r="G675" s="21">
        <f>G676+G693</f>
        <v>11485.1</v>
      </c>
      <c r="H675" s="187"/>
      <c r="J675" s="124"/>
    </row>
    <row r="676" spans="1:8" ht="47.25">
      <c r="A676" s="25" t="s">
        <v>498</v>
      </c>
      <c r="B676" s="16">
        <v>907</v>
      </c>
      <c r="C676" s="20" t="s">
        <v>281</v>
      </c>
      <c r="D676" s="20" t="s">
        <v>232</v>
      </c>
      <c r="E676" s="20" t="s">
        <v>499</v>
      </c>
      <c r="F676" s="20"/>
      <c r="G676" s="26">
        <f>G677</f>
        <v>10758</v>
      </c>
      <c r="H676" s="187"/>
    </row>
    <row r="677" spans="1:8" ht="47.25">
      <c r="A677" s="25" t="s">
        <v>500</v>
      </c>
      <c r="B677" s="16">
        <v>907</v>
      </c>
      <c r="C677" s="20" t="s">
        <v>281</v>
      </c>
      <c r="D677" s="20" t="s">
        <v>232</v>
      </c>
      <c r="E677" s="20" t="s">
        <v>501</v>
      </c>
      <c r="F677" s="20"/>
      <c r="G677" s="26">
        <f>G678+G681+G684+G690+G687</f>
        <v>10758</v>
      </c>
      <c r="H677" s="187"/>
    </row>
    <row r="678" spans="1:8" ht="47.25">
      <c r="A678" s="25" t="s">
        <v>287</v>
      </c>
      <c r="B678" s="16">
        <v>907</v>
      </c>
      <c r="C678" s="20" t="s">
        <v>281</v>
      </c>
      <c r="D678" s="20" t="s">
        <v>232</v>
      </c>
      <c r="E678" s="20" t="s">
        <v>502</v>
      </c>
      <c r="F678" s="20"/>
      <c r="G678" s="26">
        <f>G679</f>
        <v>10722</v>
      </c>
      <c r="H678" s="187"/>
    </row>
    <row r="679" spans="1:8" ht="47.25">
      <c r="A679" s="25" t="s">
        <v>289</v>
      </c>
      <c r="B679" s="16">
        <v>907</v>
      </c>
      <c r="C679" s="20" t="s">
        <v>281</v>
      </c>
      <c r="D679" s="20" t="s">
        <v>232</v>
      </c>
      <c r="E679" s="20" t="s">
        <v>502</v>
      </c>
      <c r="F679" s="20" t="s">
        <v>290</v>
      </c>
      <c r="G679" s="26">
        <f>G680</f>
        <v>10722</v>
      </c>
      <c r="H679" s="187"/>
    </row>
    <row r="680" spans="1:9" ht="15.75">
      <c r="A680" s="25" t="s">
        <v>291</v>
      </c>
      <c r="B680" s="16">
        <v>907</v>
      </c>
      <c r="C680" s="20" t="s">
        <v>281</v>
      </c>
      <c r="D680" s="20" t="s">
        <v>232</v>
      </c>
      <c r="E680" s="20" t="s">
        <v>502</v>
      </c>
      <c r="F680" s="20" t="s">
        <v>292</v>
      </c>
      <c r="G680" s="27">
        <f>10500+753.9-531.9</f>
        <v>10722</v>
      </c>
      <c r="H680" s="114"/>
      <c r="I680" s="134"/>
    </row>
    <row r="681" spans="1:8" ht="47.25" hidden="1">
      <c r="A681" s="25" t="s">
        <v>295</v>
      </c>
      <c r="B681" s="16">
        <v>907</v>
      </c>
      <c r="C681" s="20" t="s">
        <v>281</v>
      </c>
      <c r="D681" s="20" t="s">
        <v>230</v>
      </c>
      <c r="E681" s="20" t="s">
        <v>503</v>
      </c>
      <c r="F681" s="20"/>
      <c r="G681" s="26">
        <f>G682</f>
        <v>0</v>
      </c>
      <c r="H681" s="187"/>
    </row>
    <row r="682" spans="1:8" ht="47.25" hidden="1">
      <c r="A682" s="25" t="s">
        <v>289</v>
      </c>
      <c r="B682" s="16">
        <v>907</v>
      </c>
      <c r="C682" s="20" t="s">
        <v>281</v>
      </c>
      <c r="D682" s="20" t="s">
        <v>230</v>
      </c>
      <c r="E682" s="20" t="s">
        <v>503</v>
      </c>
      <c r="F682" s="20" t="s">
        <v>290</v>
      </c>
      <c r="G682" s="26">
        <f>G683</f>
        <v>0</v>
      </c>
      <c r="H682" s="187"/>
    </row>
    <row r="683" spans="1:8" ht="15.75" hidden="1">
      <c r="A683" s="25" t="s">
        <v>291</v>
      </c>
      <c r="B683" s="16">
        <v>907</v>
      </c>
      <c r="C683" s="20" t="s">
        <v>281</v>
      </c>
      <c r="D683" s="20" t="s">
        <v>230</v>
      </c>
      <c r="E683" s="20" t="s">
        <v>503</v>
      </c>
      <c r="F683" s="20" t="s">
        <v>292</v>
      </c>
      <c r="G683" s="26">
        <v>0</v>
      </c>
      <c r="H683" s="187"/>
    </row>
    <row r="684" spans="1:8" ht="31.5" hidden="1">
      <c r="A684" s="25" t="s">
        <v>297</v>
      </c>
      <c r="B684" s="16">
        <v>907</v>
      </c>
      <c r="C684" s="20" t="s">
        <v>281</v>
      </c>
      <c r="D684" s="20" t="s">
        <v>230</v>
      </c>
      <c r="E684" s="20" t="s">
        <v>504</v>
      </c>
      <c r="F684" s="20"/>
      <c r="G684" s="26">
        <f>G685</f>
        <v>0</v>
      </c>
      <c r="H684" s="187"/>
    </row>
    <row r="685" spans="1:8" ht="47.25" hidden="1">
      <c r="A685" s="25" t="s">
        <v>289</v>
      </c>
      <c r="B685" s="16">
        <v>907</v>
      </c>
      <c r="C685" s="20" t="s">
        <v>281</v>
      </c>
      <c r="D685" s="20" t="s">
        <v>230</v>
      </c>
      <c r="E685" s="20" t="s">
        <v>504</v>
      </c>
      <c r="F685" s="20" t="s">
        <v>290</v>
      </c>
      <c r="G685" s="26">
        <f>G686</f>
        <v>0</v>
      </c>
      <c r="H685" s="187"/>
    </row>
    <row r="686" spans="1:8" ht="15.75" hidden="1">
      <c r="A686" s="25" t="s">
        <v>291</v>
      </c>
      <c r="B686" s="16">
        <v>907</v>
      </c>
      <c r="C686" s="20" t="s">
        <v>281</v>
      </c>
      <c r="D686" s="20" t="s">
        <v>230</v>
      </c>
      <c r="E686" s="20" t="s">
        <v>504</v>
      </c>
      <c r="F686" s="20" t="s">
        <v>292</v>
      </c>
      <c r="G686" s="26">
        <v>0</v>
      </c>
      <c r="H686" s="187"/>
    </row>
    <row r="687" spans="1:8" ht="47.25">
      <c r="A687" s="25" t="s">
        <v>299</v>
      </c>
      <c r="B687" s="16">
        <v>907</v>
      </c>
      <c r="C687" s="20" t="s">
        <v>281</v>
      </c>
      <c r="D687" s="20" t="s">
        <v>232</v>
      </c>
      <c r="E687" s="20" t="s">
        <v>505</v>
      </c>
      <c r="F687" s="20"/>
      <c r="G687" s="26">
        <f>G688</f>
        <v>36</v>
      </c>
      <c r="H687" s="187"/>
    </row>
    <row r="688" spans="1:8" ht="47.25">
      <c r="A688" s="25" t="s">
        <v>289</v>
      </c>
      <c r="B688" s="16">
        <v>907</v>
      </c>
      <c r="C688" s="20" t="s">
        <v>281</v>
      </c>
      <c r="D688" s="20" t="s">
        <v>232</v>
      </c>
      <c r="E688" s="20" t="s">
        <v>505</v>
      </c>
      <c r="F688" s="20" t="s">
        <v>290</v>
      </c>
      <c r="G688" s="26">
        <f>G689</f>
        <v>36</v>
      </c>
      <c r="H688" s="187"/>
    </row>
    <row r="689" spans="1:8" ht="15.75">
      <c r="A689" s="25" t="s">
        <v>291</v>
      </c>
      <c r="B689" s="16">
        <v>907</v>
      </c>
      <c r="C689" s="20" t="s">
        <v>281</v>
      </c>
      <c r="D689" s="20" t="s">
        <v>232</v>
      </c>
      <c r="E689" s="20" t="s">
        <v>505</v>
      </c>
      <c r="F689" s="20" t="s">
        <v>292</v>
      </c>
      <c r="G689" s="26">
        <v>36</v>
      </c>
      <c r="H689" s="187"/>
    </row>
    <row r="690" spans="1:8" ht="31.5" hidden="1">
      <c r="A690" s="25" t="s">
        <v>301</v>
      </c>
      <c r="B690" s="16">
        <v>907</v>
      </c>
      <c r="C690" s="20" t="s">
        <v>281</v>
      </c>
      <c r="D690" s="20" t="s">
        <v>230</v>
      </c>
      <c r="E690" s="20" t="s">
        <v>506</v>
      </c>
      <c r="F690" s="20"/>
      <c r="G690" s="26">
        <f>G691</f>
        <v>0</v>
      </c>
      <c r="H690" s="187"/>
    </row>
    <row r="691" spans="1:8" ht="47.25" hidden="1">
      <c r="A691" s="25" t="s">
        <v>289</v>
      </c>
      <c r="B691" s="16">
        <v>907</v>
      </c>
      <c r="C691" s="20" t="s">
        <v>281</v>
      </c>
      <c r="D691" s="20" t="s">
        <v>230</v>
      </c>
      <c r="E691" s="20" t="s">
        <v>506</v>
      </c>
      <c r="F691" s="20" t="s">
        <v>290</v>
      </c>
      <c r="G691" s="26">
        <f>G692</f>
        <v>0</v>
      </c>
      <c r="H691" s="187"/>
    </row>
    <row r="692" spans="1:8" ht="15.75" hidden="1">
      <c r="A692" s="25" t="s">
        <v>291</v>
      </c>
      <c r="B692" s="16">
        <v>907</v>
      </c>
      <c r="C692" s="20" t="s">
        <v>281</v>
      </c>
      <c r="D692" s="20" t="s">
        <v>230</v>
      </c>
      <c r="E692" s="20" t="s">
        <v>506</v>
      </c>
      <c r="F692" s="20" t="s">
        <v>292</v>
      </c>
      <c r="G692" s="26">
        <v>0</v>
      </c>
      <c r="H692" s="187"/>
    </row>
    <row r="693" spans="1:8" ht="15.75">
      <c r="A693" s="25" t="s">
        <v>138</v>
      </c>
      <c r="B693" s="16">
        <v>907</v>
      </c>
      <c r="C693" s="20" t="s">
        <v>281</v>
      </c>
      <c r="D693" s="20" t="s">
        <v>232</v>
      </c>
      <c r="E693" s="20" t="s">
        <v>139</v>
      </c>
      <c r="F693" s="20"/>
      <c r="G693" s="26">
        <f>G694</f>
        <v>727.1</v>
      </c>
      <c r="H693" s="187"/>
    </row>
    <row r="694" spans="1:8" ht="31.5">
      <c r="A694" s="25" t="s">
        <v>202</v>
      </c>
      <c r="B694" s="16">
        <v>907</v>
      </c>
      <c r="C694" s="20" t="s">
        <v>281</v>
      </c>
      <c r="D694" s="20" t="s">
        <v>232</v>
      </c>
      <c r="E694" s="20" t="s">
        <v>203</v>
      </c>
      <c r="F694" s="20"/>
      <c r="G694" s="26">
        <f>G695+G698+G701</f>
        <v>727.1</v>
      </c>
      <c r="H694" s="187"/>
    </row>
    <row r="695" spans="1:8" ht="63">
      <c r="A695" s="32" t="s">
        <v>306</v>
      </c>
      <c r="B695" s="16">
        <v>907</v>
      </c>
      <c r="C695" s="20" t="s">
        <v>281</v>
      </c>
      <c r="D695" s="20" t="s">
        <v>232</v>
      </c>
      <c r="E695" s="20" t="s">
        <v>307</v>
      </c>
      <c r="F695" s="20"/>
      <c r="G695" s="26">
        <f>G696</f>
        <v>50</v>
      </c>
      <c r="H695" s="187"/>
    </row>
    <row r="696" spans="1:8" ht="47.25">
      <c r="A696" s="25" t="s">
        <v>289</v>
      </c>
      <c r="B696" s="16">
        <v>907</v>
      </c>
      <c r="C696" s="20" t="s">
        <v>281</v>
      </c>
      <c r="D696" s="20" t="s">
        <v>232</v>
      </c>
      <c r="E696" s="20" t="s">
        <v>307</v>
      </c>
      <c r="F696" s="20" t="s">
        <v>290</v>
      </c>
      <c r="G696" s="26">
        <f>G697</f>
        <v>50</v>
      </c>
      <c r="H696" s="187"/>
    </row>
    <row r="697" spans="1:8" ht="15.75">
      <c r="A697" s="25" t="s">
        <v>291</v>
      </c>
      <c r="B697" s="16">
        <v>907</v>
      </c>
      <c r="C697" s="20" t="s">
        <v>281</v>
      </c>
      <c r="D697" s="20" t="s">
        <v>232</v>
      </c>
      <c r="E697" s="20" t="s">
        <v>307</v>
      </c>
      <c r="F697" s="20" t="s">
        <v>292</v>
      </c>
      <c r="G697" s="26">
        <v>50</v>
      </c>
      <c r="H697" s="187"/>
    </row>
    <row r="698" spans="1:8" ht="78.75">
      <c r="A698" s="32" t="s">
        <v>308</v>
      </c>
      <c r="B698" s="16">
        <v>907</v>
      </c>
      <c r="C698" s="20" t="s">
        <v>281</v>
      </c>
      <c r="D698" s="20" t="s">
        <v>232</v>
      </c>
      <c r="E698" s="20" t="s">
        <v>309</v>
      </c>
      <c r="F698" s="20"/>
      <c r="G698" s="26">
        <f>G699</f>
        <v>197.3</v>
      </c>
      <c r="H698" s="187"/>
    </row>
    <row r="699" spans="1:8" ht="47.25">
      <c r="A699" s="25" t="s">
        <v>289</v>
      </c>
      <c r="B699" s="16">
        <v>907</v>
      </c>
      <c r="C699" s="20" t="s">
        <v>281</v>
      </c>
      <c r="D699" s="20" t="s">
        <v>232</v>
      </c>
      <c r="E699" s="20" t="s">
        <v>309</v>
      </c>
      <c r="F699" s="20" t="s">
        <v>290</v>
      </c>
      <c r="G699" s="26">
        <f>G700</f>
        <v>197.3</v>
      </c>
      <c r="H699" s="187"/>
    </row>
    <row r="700" spans="1:10" ht="15.75">
      <c r="A700" s="25" t="s">
        <v>291</v>
      </c>
      <c r="B700" s="16">
        <v>907</v>
      </c>
      <c r="C700" s="20" t="s">
        <v>281</v>
      </c>
      <c r="D700" s="20" t="s">
        <v>232</v>
      </c>
      <c r="E700" s="20" t="s">
        <v>309</v>
      </c>
      <c r="F700" s="20" t="s">
        <v>292</v>
      </c>
      <c r="G700" s="26">
        <f>200-2.7</f>
        <v>197.3</v>
      </c>
      <c r="H700" s="187"/>
      <c r="I700" s="123"/>
      <c r="J700" s="124"/>
    </row>
    <row r="701" spans="1:8" ht="110.25">
      <c r="A701" s="32" t="s">
        <v>481</v>
      </c>
      <c r="B701" s="16">
        <v>907</v>
      </c>
      <c r="C701" s="20" t="s">
        <v>281</v>
      </c>
      <c r="D701" s="20" t="s">
        <v>232</v>
      </c>
      <c r="E701" s="20" t="s">
        <v>311</v>
      </c>
      <c r="F701" s="20"/>
      <c r="G701" s="26">
        <f>G702</f>
        <v>479.8</v>
      </c>
      <c r="H701" s="187"/>
    </row>
    <row r="702" spans="1:8" ht="47.25">
      <c r="A702" s="25" t="s">
        <v>289</v>
      </c>
      <c r="B702" s="16">
        <v>907</v>
      </c>
      <c r="C702" s="20" t="s">
        <v>281</v>
      </c>
      <c r="D702" s="20" t="s">
        <v>232</v>
      </c>
      <c r="E702" s="20" t="s">
        <v>311</v>
      </c>
      <c r="F702" s="20" t="s">
        <v>290</v>
      </c>
      <c r="G702" s="26">
        <f>G703</f>
        <v>479.8</v>
      </c>
      <c r="H702" s="187"/>
    </row>
    <row r="703" spans="1:9" ht="15.75">
      <c r="A703" s="25" t="s">
        <v>291</v>
      </c>
      <c r="B703" s="16">
        <v>907</v>
      </c>
      <c r="C703" s="20" t="s">
        <v>281</v>
      </c>
      <c r="D703" s="20" t="s">
        <v>232</v>
      </c>
      <c r="E703" s="20" t="s">
        <v>311</v>
      </c>
      <c r="F703" s="20" t="s">
        <v>292</v>
      </c>
      <c r="G703" s="26">
        <f>500-20.2</f>
        <v>479.8</v>
      </c>
      <c r="H703" s="187"/>
      <c r="I703" s="123"/>
    </row>
    <row r="704" spans="1:8" ht="15.75">
      <c r="A704" s="23" t="s">
        <v>507</v>
      </c>
      <c r="B704" s="19">
        <v>907</v>
      </c>
      <c r="C704" s="24" t="s">
        <v>508</v>
      </c>
      <c r="D704" s="20"/>
      <c r="E704" s="20"/>
      <c r="F704" s="20"/>
      <c r="G704" s="21">
        <f>G705+G725</f>
        <v>34702.7</v>
      </c>
      <c r="H704" s="187"/>
    </row>
    <row r="705" spans="1:8" ht="15.75">
      <c r="A705" s="23" t="s">
        <v>509</v>
      </c>
      <c r="B705" s="19">
        <v>907</v>
      </c>
      <c r="C705" s="24" t="s">
        <v>508</v>
      </c>
      <c r="D705" s="24" t="s">
        <v>135</v>
      </c>
      <c r="E705" s="20"/>
      <c r="F705" s="20"/>
      <c r="G705" s="21">
        <f>G706+G721</f>
        <v>23173.9</v>
      </c>
      <c r="H705" s="187"/>
    </row>
    <row r="706" spans="1:8" ht="47.25">
      <c r="A706" s="25" t="s">
        <v>498</v>
      </c>
      <c r="B706" s="16">
        <v>907</v>
      </c>
      <c r="C706" s="20" t="s">
        <v>508</v>
      </c>
      <c r="D706" s="20" t="s">
        <v>135</v>
      </c>
      <c r="E706" s="20" t="s">
        <v>499</v>
      </c>
      <c r="F706" s="20"/>
      <c r="G706" s="26">
        <f>G707</f>
        <v>22673.9</v>
      </c>
      <c r="H706" s="187"/>
    </row>
    <row r="707" spans="1:8" ht="47.25">
      <c r="A707" s="25" t="s">
        <v>510</v>
      </c>
      <c r="B707" s="16">
        <v>907</v>
      </c>
      <c r="C707" s="20" t="s">
        <v>508</v>
      </c>
      <c r="D707" s="20" t="s">
        <v>135</v>
      </c>
      <c r="E707" s="20" t="s">
        <v>511</v>
      </c>
      <c r="F707" s="20"/>
      <c r="G707" s="26">
        <f>G708+G711+G714+G717</f>
        <v>22673.9</v>
      </c>
      <c r="H707" s="187"/>
    </row>
    <row r="708" spans="1:8" ht="47.25">
      <c r="A708" s="25" t="s">
        <v>512</v>
      </c>
      <c r="B708" s="16">
        <v>907</v>
      </c>
      <c r="C708" s="20" t="s">
        <v>508</v>
      </c>
      <c r="D708" s="20" t="s">
        <v>135</v>
      </c>
      <c r="E708" s="20" t="s">
        <v>513</v>
      </c>
      <c r="F708" s="20"/>
      <c r="G708" s="26">
        <f>G709</f>
        <v>22376.4</v>
      </c>
      <c r="H708" s="187"/>
    </row>
    <row r="709" spans="1:8" ht="47.25">
      <c r="A709" s="25" t="s">
        <v>289</v>
      </c>
      <c r="B709" s="16">
        <v>907</v>
      </c>
      <c r="C709" s="20" t="s">
        <v>508</v>
      </c>
      <c r="D709" s="20" t="s">
        <v>135</v>
      </c>
      <c r="E709" s="20" t="s">
        <v>513</v>
      </c>
      <c r="F709" s="20" t="s">
        <v>290</v>
      </c>
      <c r="G709" s="26">
        <f>G710</f>
        <v>22376.4</v>
      </c>
      <c r="H709" s="187"/>
    </row>
    <row r="710" spans="1:9" ht="15.75">
      <c r="A710" s="25" t="s">
        <v>291</v>
      </c>
      <c r="B710" s="16">
        <v>907</v>
      </c>
      <c r="C710" s="20" t="s">
        <v>508</v>
      </c>
      <c r="D710" s="20" t="s">
        <v>135</v>
      </c>
      <c r="E710" s="20" t="s">
        <v>513</v>
      </c>
      <c r="F710" s="20" t="s">
        <v>292</v>
      </c>
      <c r="G710" s="173">
        <f>10890+1490.1+9887.3-199+308</f>
        <v>22376.4</v>
      </c>
      <c r="H710" s="114" t="s">
        <v>758</v>
      </c>
      <c r="I710" s="134"/>
    </row>
    <row r="711" spans="1:8" ht="47.25">
      <c r="A711" s="25" t="s">
        <v>295</v>
      </c>
      <c r="B711" s="16">
        <v>907</v>
      </c>
      <c r="C711" s="20" t="s">
        <v>508</v>
      </c>
      <c r="D711" s="20" t="s">
        <v>135</v>
      </c>
      <c r="E711" s="20" t="s">
        <v>514</v>
      </c>
      <c r="F711" s="20"/>
      <c r="G711" s="26">
        <f>G712</f>
        <v>297.5</v>
      </c>
      <c r="H711" s="187"/>
    </row>
    <row r="712" spans="1:8" ht="47.25">
      <c r="A712" s="25" t="s">
        <v>289</v>
      </c>
      <c r="B712" s="16">
        <v>907</v>
      </c>
      <c r="C712" s="20" t="s">
        <v>508</v>
      </c>
      <c r="D712" s="20" t="s">
        <v>135</v>
      </c>
      <c r="E712" s="20" t="s">
        <v>514</v>
      </c>
      <c r="F712" s="20" t="s">
        <v>290</v>
      </c>
      <c r="G712" s="26">
        <f>G713</f>
        <v>297.5</v>
      </c>
      <c r="H712" s="187"/>
    </row>
    <row r="713" spans="1:8" ht="15.75">
      <c r="A713" s="25" t="s">
        <v>291</v>
      </c>
      <c r="B713" s="16">
        <v>907</v>
      </c>
      <c r="C713" s="20" t="s">
        <v>508</v>
      </c>
      <c r="D713" s="20" t="s">
        <v>135</v>
      </c>
      <c r="E713" s="20" t="s">
        <v>514</v>
      </c>
      <c r="F713" s="20" t="s">
        <v>292</v>
      </c>
      <c r="G713" s="168">
        <f>797.5-500</f>
        <v>297.5</v>
      </c>
      <c r="H713" s="167" t="s">
        <v>756</v>
      </c>
    </row>
    <row r="714" spans="1:8" ht="31.5" hidden="1">
      <c r="A714" s="25" t="s">
        <v>297</v>
      </c>
      <c r="B714" s="16">
        <v>907</v>
      </c>
      <c r="C714" s="20" t="s">
        <v>508</v>
      </c>
      <c r="D714" s="20" t="s">
        <v>135</v>
      </c>
      <c r="E714" s="20" t="s">
        <v>515</v>
      </c>
      <c r="F714" s="20"/>
      <c r="G714" s="26">
        <f>G715</f>
        <v>0</v>
      </c>
      <c r="H714" s="187"/>
    </row>
    <row r="715" spans="1:8" ht="47.25" hidden="1">
      <c r="A715" s="25" t="s">
        <v>289</v>
      </c>
      <c r="B715" s="16">
        <v>907</v>
      </c>
      <c r="C715" s="20" t="s">
        <v>508</v>
      </c>
      <c r="D715" s="20" t="s">
        <v>135</v>
      </c>
      <c r="E715" s="20" t="s">
        <v>515</v>
      </c>
      <c r="F715" s="20" t="s">
        <v>290</v>
      </c>
      <c r="G715" s="26">
        <f>G716</f>
        <v>0</v>
      </c>
      <c r="H715" s="187"/>
    </row>
    <row r="716" spans="1:8" ht="15.75" hidden="1">
      <c r="A716" s="25" t="s">
        <v>291</v>
      </c>
      <c r="B716" s="16">
        <v>907</v>
      </c>
      <c r="C716" s="20" t="s">
        <v>508</v>
      </c>
      <c r="D716" s="20" t="s">
        <v>135</v>
      </c>
      <c r="E716" s="20" t="s">
        <v>515</v>
      </c>
      <c r="F716" s="20" t="s">
        <v>292</v>
      </c>
      <c r="G716" s="26">
        <v>0</v>
      </c>
      <c r="H716" s="187"/>
    </row>
    <row r="717" spans="1:8" ht="31.5" hidden="1">
      <c r="A717" s="25" t="s">
        <v>301</v>
      </c>
      <c r="B717" s="16">
        <v>907</v>
      </c>
      <c r="C717" s="20" t="s">
        <v>508</v>
      </c>
      <c r="D717" s="20" t="s">
        <v>135</v>
      </c>
      <c r="E717" s="20" t="s">
        <v>516</v>
      </c>
      <c r="F717" s="20"/>
      <c r="G717" s="26">
        <f>G718</f>
        <v>0</v>
      </c>
      <c r="H717" s="187"/>
    </row>
    <row r="718" spans="1:8" ht="47.25" hidden="1">
      <c r="A718" s="25" t="s">
        <v>289</v>
      </c>
      <c r="B718" s="16">
        <v>907</v>
      </c>
      <c r="C718" s="20" t="s">
        <v>508</v>
      </c>
      <c r="D718" s="20" t="s">
        <v>135</v>
      </c>
      <c r="E718" s="20" t="s">
        <v>516</v>
      </c>
      <c r="F718" s="20" t="s">
        <v>290</v>
      </c>
      <c r="G718" s="26">
        <f>G719</f>
        <v>0</v>
      </c>
      <c r="H718" s="187"/>
    </row>
    <row r="719" spans="1:8" ht="15.75" hidden="1">
      <c r="A719" s="25" t="s">
        <v>291</v>
      </c>
      <c r="B719" s="16">
        <v>907</v>
      </c>
      <c r="C719" s="20" t="s">
        <v>508</v>
      </c>
      <c r="D719" s="20" t="s">
        <v>135</v>
      </c>
      <c r="E719" s="20" t="s">
        <v>516</v>
      </c>
      <c r="F719" s="20" t="s">
        <v>292</v>
      </c>
      <c r="G719" s="26">
        <v>0</v>
      </c>
      <c r="H719" s="187"/>
    </row>
    <row r="720" spans="1:8" ht="15.75">
      <c r="A720" s="25" t="s">
        <v>138</v>
      </c>
      <c r="B720" s="16">
        <v>907</v>
      </c>
      <c r="C720" s="20" t="s">
        <v>508</v>
      </c>
      <c r="D720" s="20" t="s">
        <v>135</v>
      </c>
      <c r="E720" s="20" t="s">
        <v>139</v>
      </c>
      <c r="F720" s="20"/>
      <c r="G720" s="26">
        <f>G721</f>
        <v>500</v>
      </c>
      <c r="H720" s="187"/>
    </row>
    <row r="721" spans="1:8" ht="31.5">
      <c r="A721" s="25" t="s">
        <v>202</v>
      </c>
      <c r="B721" s="16">
        <v>907</v>
      </c>
      <c r="C721" s="20" t="s">
        <v>508</v>
      </c>
      <c r="D721" s="20" t="s">
        <v>135</v>
      </c>
      <c r="E721" s="20" t="s">
        <v>203</v>
      </c>
      <c r="F721" s="20"/>
      <c r="G721" s="26">
        <f>G722</f>
        <v>500</v>
      </c>
      <c r="H721" s="187"/>
    </row>
    <row r="722" spans="1:8" ht="31.5">
      <c r="A722" s="25" t="s">
        <v>755</v>
      </c>
      <c r="B722" s="16">
        <v>907</v>
      </c>
      <c r="C722" s="20" t="s">
        <v>508</v>
      </c>
      <c r="D722" s="20" t="s">
        <v>135</v>
      </c>
      <c r="E722" s="20" t="s">
        <v>753</v>
      </c>
      <c r="F722" s="20"/>
      <c r="G722" s="26">
        <f>G724</f>
        <v>500</v>
      </c>
      <c r="H722" s="187"/>
    </row>
    <row r="723" spans="1:8" ht="47.25">
      <c r="A723" s="25" t="s">
        <v>289</v>
      </c>
      <c r="B723" s="16">
        <v>907</v>
      </c>
      <c r="C723" s="20" t="s">
        <v>508</v>
      </c>
      <c r="D723" s="20" t="s">
        <v>135</v>
      </c>
      <c r="E723" s="20" t="s">
        <v>753</v>
      </c>
      <c r="F723" s="20" t="s">
        <v>290</v>
      </c>
      <c r="G723" s="26">
        <f>G724</f>
        <v>500</v>
      </c>
      <c r="H723" s="187"/>
    </row>
    <row r="724" spans="1:8" ht="15.75">
      <c r="A724" s="25" t="s">
        <v>291</v>
      </c>
      <c r="B724" s="16">
        <v>907</v>
      </c>
      <c r="C724" s="20" t="s">
        <v>508</v>
      </c>
      <c r="D724" s="20" t="s">
        <v>135</v>
      </c>
      <c r="E724" s="20" t="s">
        <v>753</v>
      </c>
      <c r="F724" s="20" t="s">
        <v>292</v>
      </c>
      <c r="G724" s="168">
        <v>500</v>
      </c>
      <c r="H724" s="167" t="s">
        <v>757</v>
      </c>
    </row>
    <row r="725" spans="1:8" ht="31.5">
      <c r="A725" s="23" t="s">
        <v>517</v>
      </c>
      <c r="B725" s="19">
        <v>907</v>
      </c>
      <c r="C725" s="24" t="s">
        <v>508</v>
      </c>
      <c r="D725" s="24" t="s">
        <v>251</v>
      </c>
      <c r="E725" s="24"/>
      <c r="F725" s="24"/>
      <c r="G725" s="21">
        <f>G733+G726</f>
        <v>11528.8</v>
      </c>
      <c r="H725" s="187"/>
    </row>
    <row r="726" spans="1:8" ht="47.25">
      <c r="A726" s="30" t="s">
        <v>498</v>
      </c>
      <c r="B726" s="16">
        <v>907</v>
      </c>
      <c r="C726" s="20" t="s">
        <v>508</v>
      </c>
      <c r="D726" s="20" t="s">
        <v>251</v>
      </c>
      <c r="E726" s="41" t="s">
        <v>499</v>
      </c>
      <c r="F726" s="20"/>
      <c r="G726" s="26">
        <f>G727</f>
        <v>3047</v>
      </c>
      <c r="H726" s="187"/>
    </row>
    <row r="727" spans="1:8" ht="47.25">
      <c r="A727" s="46" t="s">
        <v>518</v>
      </c>
      <c r="B727" s="16">
        <v>907</v>
      </c>
      <c r="C727" s="20" t="s">
        <v>508</v>
      </c>
      <c r="D727" s="20" t="s">
        <v>251</v>
      </c>
      <c r="E727" s="41" t="s">
        <v>519</v>
      </c>
      <c r="F727" s="20"/>
      <c r="G727" s="26">
        <f>G728</f>
        <v>3047</v>
      </c>
      <c r="H727" s="187"/>
    </row>
    <row r="728" spans="1:8" ht="31.5">
      <c r="A728" s="30" t="s">
        <v>174</v>
      </c>
      <c r="B728" s="16">
        <v>907</v>
      </c>
      <c r="C728" s="20" t="s">
        <v>508</v>
      </c>
      <c r="D728" s="20" t="s">
        <v>251</v>
      </c>
      <c r="E728" s="41" t="s">
        <v>520</v>
      </c>
      <c r="F728" s="20"/>
      <c r="G728" s="26">
        <f>G731+G729</f>
        <v>3047</v>
      </c>
      <c r="H728" s="187"/>
    </row>
    <row r="729" spans="1:8" ht="94.5">
      <c r="A729" s="25" t="s">
        <v>144</v>
      </c>
      <c r="B729" s="16">
        <v>907</v>
      </c>
      <c r="C729" s="20" t="s">
        <v>508</v>
      </c>
      <c r="D729" s="20" t="s">
        <v>251</v>
      </c>
      <c r="E729" s="41" t="s">
        <v>520</v>
      </c>
      <c r="F729" s="20" t="s">
        <v>145</v>
      </c>
      <c r="G729" s="26">
        <f>G730</f>
        <v>2111</v>
      </c>
      <c r="H729" s="187"/>
    </row>
    <row r="730" spans="1:9" ht="31.5">
      <c r="A730" s="25" t="s">
        <v>146</v>
      </c>
      <c r="B730" s="16">
        <v>907</v>
      </c>
      <c r="C730" s="20" t="s">
        <v>508</v>
      </c>
      <c r="D730" s="20" t="s">
        <v>251</v>
      </c>
      <c r="E730" s="41" t="s">
        <v>520</v>
      </c>
      <c r="F730" s="20" t="s">
        <v>147</v>
      </c>
      <c r="G730" s="26">
        <v>2111</v>
      </c>
      <c r="H730" s="187"/>
      <c r="I730" s="123"/>
    </row>
    <row r="731" spans="1:8" ht="31.5">
      <c r="A731" s="30" t="s">
        <v>148</v>
      </c>
      <c r="B731" s="16">
        <v>907</v>
      </c>
      <c r="C731" s="20" t="s">
        <v>508</v>
      </c>
      <c r="D731" s="20" t="s">
        <v>251</v>
      </c>
      <c r="E731" s="41" t="s">
        <v>520</v>
      </c>
      <c r="F731" s="20" t="s">
        <v>149</v>
      </c>
      <c r="G731" s="26">
        <f>G732</f>
        <v>936</v>
      </c>
      <c r="H731" s="187"/>
    </row>
    <row r="732" spans="1:9" ht="47.25">
      <c r="A732" s="30" t="s">
        <v>150</v>
      </c>
      <c r="B732" s="16">
        <v>907</v>
      </c>
      <c r="C732" s="20" t="s">
        <v>508</v>
      </c>
      <c r="D732" s="20" t="s">
        <v>251</v>
      </c>
      <c r="E732" s="41" t="s">
        <v>520</v>
      </c>
      <c r="F732" s="20" t="s">
        <v>151</v>
      </c>
      <c r="G732" s="26">
        <f>3047-2111</f>
        <v>936</v>
      </c>
      <c r="H732" s="187"/>
      <c r="I732" s="123"/>
    </row>
    <row r="733" spans="1:8" ht="15.75">
      <c r="A733" s="25" t="s">
        <v>138</v>
      </c>
      <c r="B733" s="16">
        <v>907</v>
      </c>
      <c r="C733" s="20" t="s">
        <v>508</v>
      </c>
      <c r="D733" s="20" t="s">
        <v>251</v>
      </c>
      <c r="E733" s="20" t="s">
        <v>139</v>
      </c>
      <c r="F733" s="20"/>
      <c r="G733" s="26">
        <f>G734+G740</f>
        <v>8481.8</v>
      </c>
      <c r="H733" s="187"/>
    </row>
    <row r="734" spans="1:8" ht="31.5">
      <c r="A734" s="25" t="s">
        <v>140</v>
      </c>
      <c r="B734" s="16">
        <v>907</v>
      </c>
      <c r="C734" s="20" t="s">
        <v>508</v>
      </c>
      <c r="D734" s="20" t="s">
        <v>251</v>
      </c>
      <c r="E734" s="20" t="s">
        <v>141</v>
      </c>
      <c r="F734" s="20"/>
      <c r="G734" s="26">
        <f>G735</f>
        <v>3599.8</v>
      </c>
      <c r="H734" s="187"/>
    </row>
    <row r="735" spans="1:8" ht="47.25">
      <c r="A735" s="25" t="s">
        <v>142</v>
      </c>
      <c r="B735" s="16">
        <v>907</v>
      </c>
      <c r="C735" s="20" t="s">
        <v>508</v>
      </c>
      <c r="D735" s="20" t="s">
        <v>251</v>
      </c>
      <c r="E735" s="20" t="s">
        <v>143</v>
      </c>
      <c r="F735" s="20"/>
      <c r="G735" s="26">
        <f>G736+G738</f>
        <v>3599.8</v>
      </c>
      <c r="H735" s="187"/>
    </row>
    <row r="736" spans="1:8" ht="94.5">
      <c r="A736" s="25" t="s">
        <v>144</v>
      </c>
      <c r="B736" s="16">
        <v>907</v>
      </c>
      <c r="C736" s="20" t="s">
        <v>508</v>
      </c>
      <c r="D736" s="20" t="s">
        <v>251</v>
      </c>
      <c r="E736" s="20" t="s">
        <v>143</v>
      </c>
      <c r="F736" s="20" t="s">
        <v>145</v>
      </c>
      <c r="G736" s="26">
        <f>G737</f>
        <v>3599.8</v>
      </c>
      <c r="H736" s="187"/>
    </row>
    <row r="737" spans="1:8" ht="31.5">
      <c r="A737" s="25" t="s">
        <v>146</v>
      </c>
      <c r="B737" s="16">
        <v>907</v>
      </c>
      <c r="C737" s="20" t="s">
        <v>508</v>
      </c>
      <c r="D737" s="20" t="s">
        <v>251</v>
      </c>
      <c r="E737" s="20" t="s">
        <v>143</v>
      </c>
      <c r="F737" s="20" t="s">
        <v>147</v>
      </c>
      <c r="G737" s="27">
        <v>3599.8</v>
      </c>
      <c r="H737" s="187"/>
    </row>
    <row r="738" spans="1:8" ht="31.5" hidden="1">
      <c r="A738" s="25" t="s">
        <v>148</v>
      </c>
      <c r="B738" s="16">
        <v>907</v>
      </c>
      <c r="C738" s="20" t="s">
        <v>508</v>
      </c>
      <c r="D738" s="20" t="s">
        <v>251</v>
      </c>
      <c r="E738" s="20" t="s">
        <v>143</v>
      </c>
      <c r="F738" s="20" t="s">
        <v>149</v>
      </c>
      <c r="G738" s="26">
        <f>G739</f>
        <v>0</v>
      </c>
      <c r="H738" s="187"/>
    </row>
    <row r="739" spans="1:8" ht="47.25" hidden="1">
      <c r="A739" s="25" t="s">
        <v>150</v>
      </c>
      <c r="B739" s="16">
        <v>907</v>
      </c>
      <c r="C739" s="20" t="s">
        <v>508</v>
      </c>
      <c r="D739" s="20" t="s">
        <v>251</v>
      </c>
      <c r="E739" s="20" t="s">
        <v>143</v>
      </c>
      <c r="F739" s="20" t="s">
        <v>151</v>
      </c>
      <c r="G739" s="26"/>
      <c r="H739" s="187"/>
    </row>
    <row r="740" spans="1:8" ht="15.75">
      <c r="A740" s="25" t="s">
        <v>158</v>
      </c>
      <c r="B740" s="16">
        <v>907</v>
      </c>
      <c r="C740" s="20" t="s">
        <v>508</v>
      </c>
      <c r="D740" s="20" t="s">
        <v>251</v>
      </c>
      <c r="E740" s="20" t="s">
        <v>159</v>
      </c>
      <c r="F740" s="20"/>
      <c r="G740" s="26">
        <f>G741</f>
        <v>4882</v>
      </c>
      <c r="H740" s="187"/>
    </row>
    <row r="741" spans="1:11" ht="31.5">
      <c r="A741" s="25" t="s">
        <v>357</v>
      </c>
      <c r="B741" s="16">
        <v>907</v>
      </c>
      <c r="C741" s="20" t="s">
        <v>508</v>
      </c>
      <c r="D741" s="20" t="s">
        <v>251</v>
      </c>
      <c r="E741" s="20" t="s">
        <v>358</v>
      </c>
      <c r="F741" s="20"/>
      <c r="G741" s="26">
        <f>G742+G744+G746</f>
        <v>4882</v>
      </c>
      <c r="H741" s="187"/>
      <c r="J741" s="412"/>
      <c r="K741" s="412"/>
    </row>
    <row r="742" spans="1:11" ht="94.5">
      <c r="A742" s="25" t="s">
        <v>144</v>
      </c>
      <c r="B742" s="16">
        <v>907</v>
      </c>
      <c r="C742" s="20" t="s">
        <v>508</v>
      </c>
      <c r="D742" s="20" t="s">
        <v>251</v>
      </c>
      <c r="E742" s="20" t="s">
        <v>358</v>
      </c>
      <c r="F742" s="20" t="s">
        <v>145</v>
      </c>
      <c r="G742" s="26">
        <f>G743</f>
        <v>3660.7</v>
      </c>
      <c r="H742" s="187"/>
      <c r="J742" s="412"/>
      <c r="K742" s="412"/>
    </row>
    <row r="743" spans="1:11" ht="31.5">
      <c r="A743" s="25" t="s">
        <v>359</v>
      </c>
      <c r="B743" s="16">
        <v>907</v>
      </c>
      <c r="C743" s="20" t="s">
        <v>508</v>
      </c>
      <c r="D743" s="20" t="s">
        <v>251</v>
      </c>
      <c r="E743" s="20" t="s">
        <v>358</v>
      </c>
      <c r="F743" s="20" t="s">
        <v>226</v>
      </c>
      <c r="G743" s="27">
        <f>4240.2-579.5</f>
        <v>3660.7</v>
      </c>
      <c r="H743" s="114"/>
      <c r="I743" s="133"/>
      <c r="J743" s="412"/>
      <c r="K743" s="412"/>
    </row>
    <row r="744" spans="1:11" ht="31.5">
      <c r="A744" s="25" t="s">
        <v>148</v>
      </c>
      <c r="B744" s="16">
        <v>907</v>
      </c>
      <c r="C744" s="20" t="s">
        <v>508</v>
      </c>
      <c r="D744" s="20" t="s">
        <v>251</v>
      </c>
      <c r="E744" s="20" t="s">
        <v>358</v>
      </c>
      <c r="F744" s="20" t="s">
        <v>149</v>
      </c>
      <c r="G744" s="26">
        <f>G745</f>
        <v>1194.1999999999998</v>
      </c>
      <c r="H744" s="187"/>
      <c r="J744" s="412"/>
      <c r="K744" s="412"/>
    </row>
    <row r="745" spans="1:11" ht="47.25">
      <c r="A745" s="25" t="s">
        <v>150</v>
      </c>
      <c r="B745" s="16">
        <v>907</v>
      </c>
      <c r="C745" s="20" t="s">
        <v>508</v>
      </c>
      <c r="D745" s="20" t="s">
        <v>251</v>
      </c>
      <c r="E745" s="20" t="s">
        <v>358</v>
      </c>
      <c r="F745" s="20" t="s">
        <v>151</v>
      </c>
      <c r="G745" s="27">
        <f>1339.6-145.4</f>
        <v>1194.1999999999998</v>
      </c>
      <c r="H745" s="114"/>
      <c r="I745" s="133"/>
      <c r="J745" s="412"/>
      <c r="K745" s="412"/>
    </row>
    <row r="746" spans="1:11" ht="15.75">
      <c r="A746" s="25" t="s">
        <v>152</v>
      </c>
      <c r="B746" s="16">
        <v>907</v>
      </c>
      <c r="C746" s="20" t="s">
        <v>508</v>
      </c>
      <c r="D746" s="20" t="s">
        <v>251</v>
      </c>
      <c r="E746" s="20" t="s">
        <v>358</v>
      </c>
      <c r="F746" s="20" t="s">
        <v>162</v>
      </c>
      <c r="G746" s="26">
        <f>G747</f>
        <v>27.1</v>
      </c>
      <c r="H746" s="187"/>
      <c r="J746" s="412"/>
      <c r="K746" s="412"/>
    </row>
    <row r="747" spans="1:11" ht="15.75">
      <c r="A747" s="25" t="s">
        <v>585</v>
      </c>
      <c r="B747" s="16">
        <v>907</v>
      </c>
      <c r="C747" s="20" t="s">
        <v>508</v>
      </c>
      <c r="D747" s="20" t="s">
        <v>251</v>
      </c>
      <c r="E747" s="20" t="s">
        <v>358</v>
      </c>
      <c r="F747" s="20" t="s">
        <v>155</v>
      </c>
      <c r="G747" s="26">
        <f>27.1</f>
        <v>27.1</v>
      </c>
      <c r="H747" s="114"/>
      <c r="I747" s="133"/>
      <c r="J747" s="412"/>
      <c r="K747" s="412"/>
    </row>
    <row r="748" spans="1:12" ht="47.25">
      <c r="A748" s="19" t="s">
        <v>521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87"/>
      <c r="L748" s="124"/>
    </row>
    <row r="749" spans="1:12" ht="15.75">
      <c r="A749" s="35" t="s">
        <v>134</v>
      </c>
      <c r="B749" s="19">
        <v>908</v>
      </c>
      <c r="C749" s="24" t="s">
        <v>135</v>
      </c>
      <c r="D749" s="20"/>
      <c r="E749" s="20"/>
      <c r="F749" s="20"/>
      <c r="G749" s="21">
        <f>G750</f>
        <v>16714.8</v>
      </c>
      <c r="H749" s="187"/>
      <c r="L749" s="124"/>
    </row>
    <row r="750" spans="1:12" ht="15.75">
      <c r="A750" s="35" t="s">
        <v>156</v>
      </c>
      <c r="B750" s="19">
        <v>908</v>
      </c>
      <c r="C750" s="24" t="s">
        <v>135</v>
      </c>
      <c r="D750" s="24" t="s">
        <v>157</v>
      </c>
      <c r="E750" s="20"/>
      <c r="F750" s="20"/>
      <c r="G750" s="21">
        <f>G752+G755</f>
        <v>16714.8</v>
      </c>
      <c r="H750" s="187"/>
      <c r="L750" s="124"/>
    </row>
    <row r="751" spans="1:12" ht="15.75">
      <c r="A751" s="25" t="s">
        <v>158</v>
      </c>
      <c r="B751" s="16">
        <v>908</v>
      </c>
      <c r="C751" s="20" t="s">
        <v>135</v>
      </c>
      <c r="D751" s="20" t="s">
        <v>157</v>
      </c>
      <c r="E751" s="20" t="s">
        <v>159</v>
      </c>
      <c r="F751" s="20"/>
      <c r="G751" s="26">
        <f>G752</f>
        <v>262.5</v>
      </c>
      <c r="H751" s="187"/>
      <c r="L751" s="124"/>
    </row>
    <row r="752" spans="1:12" ht="15.75">
      <c r="A752" s="25" t="s">
        <v>160</v>
      </c>
      <c r="B752" s="16">
        <v>908</v>
      </c>
      <c r="C752" s="20" t="s">
        <v>135</v>
      </c>
      <c r="D752" s="20" t="s">
        <v>157</v>
      </c>
      <c r="E752" s="20" t="s">
        <v>161</v>
      </c>
      <c r="F752" s="20"/>
      <c r="G752" s="26">
        <f>G753</f>
        <v>262.5</v>
      </c>
      <c r="H752" s="187"/>
      <c r="L752" s="124"/>
    </row>
    <row r="753" spans="1:12" ht="15.75">
      <c r="A753" s="25" t="s">
        <v>152</v>
      </c>
      <c r="B753" s="16">
        <v>908</v>
      </c>
      <c r="C753" s="20" t="s">
        <v>135</v>
      </c>
      <c r="D753" s="20" t="s">
        <v>157</v>
      </c>
      <c r="E753" s="20" t="s">
        <v>161</v>
      </c>
      <c r="F753" s="20" t="s">
        <v>162</v>
      </c>
      <c r="G753" s="26">
        <f>G754</f>
        <v>262.5</v>
      </c>
      <c r="H753" s="187"/>
      <c r="L753" s="124"/>
    </row>
    <row r="754" spans="1:12" ht="15.75">
      <c r="A754" s="25" t="s">
        <v>585</v>
      </c>
      <c r="B754" s="16">
        <v>908</v>
      </c>
      <c r="C754" s="20" t="s">
        <v>135</v>
      </c>
      <c r="D754" s="20" t="s">
        <v>157</v>
      </c>
      <c r="E754" s="20" t="s">
        <v>161</v>
      </c>
      <c r="F754" s="20" t="s">
        <v>155</v>
      </c>
      <c r="G754" s="26">
        <v>262.5</v>
      </c>
      <c r="H754" s="114"/>
      <c r="I754" s="133"/>
      <c r="L754" s="124"/>
    </row>
    <row r="755" spans="1:8" ht="31.5">
      <c r="A755" s="25" t="s">
        <v>601</v>
      </c>
      <c r="B755" s="16">
        <v>908</v>
      </c>
      <c r="C755" s="20" t="s">
        <v>135</v>
      </c>
      <c r="D755" s="20" t="s">
        <v>157</v>
      </c>
      <c r="E755" s="20" t="s">
        <v>602</v>
      </c>
      <c r="F755" s="20"/>
      <c r="G755" s="27">
        <f>G756</f>
        <v>16452.3</v>
      </c>
      <c r="H755" s="187"/>
    </row>
    <row r="756" spans="1:8" ht="31.5">
      <c r="A756" s="25" t="s">
        <v>327</v>
      </c>
      <c r="B756" s="16">
        <v>908</v>
      </c>
      <c r="C756" s="20" t="s">
        <v>135</v>
      </c>
      <c r="D756" s="20" t="s">
        <v>157</v>
      </c>
      <c r="E756" s="20" t="s">
        <v>603</v>
      </c>
      <c r="F756" s="20"/>
      <c r="G756" s="27">
        <f>G757+G759+G761</f>
        <v>16452.3</v>
      </c>
      <c r="H756" s="187"/>
    </row>
    <row r="757" spans="1:8" ht="94.5">
      <c r="A757" s="25" t="s">
        <v>144</v>
      </c>
      <c r="B757" s="16">
        <v>908</v>
      </c>
      <c r="C757" s="20" t="s">
        <v>135</v>
      </c>
      <c r="D757" s="20" t="s">
        <v>157</v>
      </c>
      <c r="E757" s="20" t="s">
        <v>603</v>
      </c>
      <c r="F757" s="20" t="s">
        <v>145</v>
      </c>
      <c r="G757" s="27">
        <f>G758</f>
        <v>13760</v>
      </c>
      <c r="H757" s="187"/>
    </row>
    <row r="758" spans="1:12" ht="31.5">
      <c r="A758" s="47" t="s">
        <v>359</v>
      </c>
      <c r="B758" s="16">
        <v>908</v>
      </c>
      <c r="C758" s="20" t="s">
        <v>135</v>
      </c>
      <c r="D758" s="20" t="s">
        <v>157</v>
      </c>
      <c r="E758" s="20" t="s">
        <v>603</v>
      </c>
      <c r="F758" s="20" t="s">
        <v>226</v>
      </c>
      <c r="G758" s="176">
        <f>13403.8+356.2</f>
        <v>13760</v>
      </c>
      <c r="H758" s="114" t="s">
        <v>767</v>
      </c>
      <c r="I758" s="133"/>
      <c r="L758" s="124"/>
    </row>
    <row r="759" spans="1:12" ht="31.5">
      <c r="A759" s="25" t="s">
        <v>148</v>
      </c>
      <c r="B759" s="16">
        <v>908</v>
      </c>
      <c r="C759" s="20" t="s">
        <v>135</v>
      </c>
      <c r="D759" s="20" t="s">
        <v>157</v>
      </c>
      <c r="E759" s="20" t="s">
        <v>603</v>
      </c>
      <c r="F759" s="20" t="s">
        <v>149</v>
      </c>
      <c r="G759" s="27">
        <f>G760</f>
        <v>2678</v>
      </c>
      <c r="H759" s="187"/>
      <c r="L759" s="124"/>
    </row>
    <row r="760" spans="1:12" ht="47.25">
      <c r="A760" s="25" t="s">
        <v>150</v>
      </c>
      <c r="B760" s="16">
        <v>908</v>
      </c>
      <c r="C760" s="20" t="s">
        <v>135</v>
      </c>
      <c r="D760" s="20" t="s">
        <v>157</v>
      </c>
      <c r="E760" s="20" t="s">
        <v>603</v>
      </c>
      <c r="F760" s="20" t="s">
        <v>151</v>
      </c>
      <c r="G760" s="176">
        <f>3034.2-356.2</f>
        <v>2678</v>
      </c>
      <c r="H760" s="114" t="s">
        <v>768</v>
      </c>
      <c r="I760" s="133"/>
      <c r="L760" s="124"/>
    </row>
    <row r="761" spans="1:12" ht="15.75">
      <c r="A761" s="25" t="s">
        <v>152</v>
      </c>
      <c r="B761" s="16">
        <v>908</v>
      </c>
      <c r="C761" s="20" t="s">
        <v>135</v>
      </c>
      <c r="D761" s="20" t="s">
        <v>157</v>
      </c>
      <c r="E761" s="20" t="s">
        <v>603</v>
      </c>
      <c r="F761" s="20" t="s">
        <v>162</v>
      </c>
      <c r="G761" s="27">
        <f>G762</f>
        <v>14.3</v>
      </c>
      <c r="H761" s="187"/>
      <c r="L761" s="124"/>
    </row>
    <row r="762" spans="1:12" ht="15.75">
      <c r="A762" s="25" t="s">
        <v>729</v>
      </c>
      <c r="B762" s="16">
        <v>908</v>
      </c>
      <c r="C762" s="20" t="s">
        <v>135</v>
      </c>
      <c r="D762" s="20" t="s">
        <v>157</v>
      </c>
      <c r="E762" s="20" t="s">
        <v>603</v>
      </c>
      <c r="F762" s="20" t="s">
        <v>155</v>
      </c>
      <c r="G762" s="27">
        <v>14.3</v>
      </c>
      <c r="H762" s="114"/>
      <c r="I762" s="133"/>
      <c r="L762" s="124"/>
    </row>
    <row r="763" spans="1:8" ht="31.5">
      <c r="A763" s="23" t="s">
        <v>239</v>
      </c>
      <c r="B763" s="19">
        <v>908</v>
      </c>
      <c r="C763" s="24" t="s">
        <v>232</v>
      </c>
      <c r="D763" s="24"/>
      <c r="E763" s="24"/>
      <c r="F763" s="24"/>
      <c r="G763" s="21">
        <f aca="true" t="shared" si="4" ref="G763:G768">G764</f>
        <v>50</v>
      </c>
      <c r="H763" s="187"/>
    </row>
    <row r="764" spans="1:8" ht="63">
      <c r="A764" s="23" t="s">
        <v>240</v>
      </c>
      <c r="B764" s="19">
        <v>908</v>
      </c>
      <c r="C764" s="24" t="s">
        <v>232</v>
      </c>
      <c r="D764" s="24" t="s">
        <v>236</v>
      </c>
      <c r="E764" s="24"/>
      <c r="F764" s="24"/>
      <c r="G764" s="21">
        <f t="shared" si="4"/>
        <v>50</v>
      </c>
      <c r="H764" s="187"/>
    </row>
    <row r="765" spans="1:8" ht="21.75" customHeight="1">
      <c r="A765" s="25" t="s">
        <v>138</v>
      </c>
      <c r="B765" s="16">
        <v>908</v>
      </c>
      <c r="C765" s="20" t="s">
        <v>232</v>
      </c>
      <c r="D765" s="20" t="s">
        <v>236</v>
      </c>
      <c r="E765" s="20" t="s">
        <v>139</v>
      </c>
      <c r="F765" s="20"/>
      <c r="G765" s="26">
        <f t="shared" si="4"/>
        <v>50</v>
      </c>
      <c r="H765" s="187"/>
    </row>
    <row r="766" spans="1:8" ht="15.75">
      <c r="A766" s="25" t="s">
        <v>158</v>
      </c>
      <c r="B766" s="16">
        <v>908</v>
      </c>
      <c r="C766" s="20" t="s">
        <v>232</v>
      </c>
      <c r="D766" s="20" t="s">
        <v>236</v>
      </c>
      <c r="E766" s="20" t="s">
        <v>159</v>
      </c>
      <c r="F766" s="20"/>
      <c r="G766" s="26">
        <f t="shared" si="4"/>
        <v>50</v>
      </c>
      <c r="H766" s="187"/>
    </row>
    <row r="767" spans="1:8" ht="15.75">
      <c r="A767" s="25" t="s">
        <v>247</v>
      </c>
      <c r="B767" s="16">
        <v>908</v>
      </c>
      <c r="C767" s="20" t="s">
        <v>232</v>
      </c>
      <c r="D767" s="20" t="s">
        <v>236</v>
      </c>
      <c r="E767" s="20" t="s">
        <v>248</v>
      </c>
      <c r="F767" s="20"/>
      <c r="G767" s="26">
        <f t="shared" si="4"/>
        <v>50</v>
      </c>
      <c r="H767" s="187"/>
    </row>
    <row r="768" spans="1:8" ht="31.5">
      <c r="A768" s="25" t="s">
        <v>148</v>
      </c>
      <c r="B768" s="16">
        <v>908</v>
      </c>
      <c r="C768" s="20" t="s">
        <v>232</v>
      </c>
      <c r="D768" s="20" t="s">
        <v>236</v>
      </c>
      <c r="E768" s="20" t="s">
        <v>248</v>
      </c>
      <c r="F768" s="20" t="s">
        <v>149</v>
      </c>
      <c r="G768" s="26">
        <f t="shared" si="4"/>
        <v>50</v>
      </c>
      <c r="H768" s="187"/>
    </row>
    <row r="769" spans="1:8" ht="47.25">
      <c r="A769" s="25" t="s">
        <v>150</v>
      </c>
      <c r="B769" s="16">
        <v>908</v>
      </c>
      <c r="C769" s="20" t="s">
        <v>232</v>
      </c>
      <c r="D769" s="20" t="s">
        <v>236</v>
      </c>
      <c r="E769" s="20" t="s">
        <v>248</v>
      </c>
      <c r="F769" s="20" t="s">
        <v>151</v>
      </c>
      <c r="G769" s="26">
        <v>50</v>
      </c>
      <c r="H769" s="187"/>
    </row>
    <row r="770" spans="1:8" ht="15.75">
      <c r="A770" s="23" t="s">
        <v>249</v>
      </c>
      <c r="B770" s="19">
        <v>908</v>
      </c>
      <c r="C770" s="24" t="s">
        <v>167</v>
      </c>
      <c r="D770" s="24"/>
      <c r="E770" s="24"/>
      <c r="F770" s="24"/>
      <c r="G770" s="21">
        <f>G771+G777</f>
        <v>18331.8</v>
      </c>
      <c r="H770" s="187"/>
    </row>
    <row r="771" spans="1:8" ht="15.75">
      <c r="A771" s="23" t="s">
        <v>522</v>
      </c>
      <c r="B771" s="19">
        <v>908</v>
      </c>
      <c r="C771" s="24" t="s">
        <v>167</v>
      </c>
      <c r="D771" s="24" t="s">
        <v>316</v>
      </c>
      <c r="E771" s="24"/>
      <c r="F771" s="24"/>
      <c r="G771" s="21">
        <f>G772</f>
        <v>3207.7</v>
      </c>
      <c r="H771" s="187"/>
    </row>
    <row r="772" spans="1:8" ht="15.75">
      <c r="A772" s="25" t="s">
        <v>138</v>
      </c>
      <c r="B772" s="16">
        <v>908</v>
      </c>
      <c r="C772" s="20" t="s">
        <v>167</v>
      </c>
      <c r="D772" s="20" t="s">
        <v>316</v>
      </c>
      <c r="E772" s="20" t="s">
        <v>139</v>
      </c>
      <c r="F772" s="24"/>
      <c r="G772" s="26">
        <f>G773</f>
        <v>3207.7</v>
      </c>
      <c r="H772" s="187"/>
    </row>
    <row r="773" spans="1:8" ht="15.75">
      <c r="A773" s="25" t="s">
        <v>158</v>
      </c>
      <c r="B773" s="16">
        <v>908</v>
      </c>
      <c r="C773" s="20" t="s">
        <v>167</v>
      </c>
      <c r="D773" s="20" t="s">
        <v>316</v>
      </c>
      <c r="E773" s="20" t="s">
        <v>159</v>
      </c>
      <c r="F773" s="24"/>
      <c r="G773" s="26">
        <f>G774</f>
        <v>3207.7</v>
      </c>
      <c r="H773" s="187"/>
    </row>
    <row r="774" spans="1:8" ht="39" customHeight="1">
      <c r="A774" s="25" t="s">
        <v>523</v>
      </c>
      <c r="B774" s="16">
        <v>908</v>
      </c>
      <c r="C774" s="20" t="s">
        <v>167</v>
      </c>
      <c r="D774" s="20" t="s">
        <v>316</v>
      </c>
      <c r="E774" s="20" t="s">
        <v>524</v>
      </c>
      <c r="F774" s="20"/>
      <c r="G774" s="26">
        <f>G775</f>
        <v>3207.7</v>
      </c>
      <c r="H774" s="187"/>
    </row>
    <row r="775" spans="1:8" ht="31.5">
      <c r="A775" s="25" t="s">
        <v>148</v>
      </c>
      <c r="B775" s="16">
        <v>908</v>
      </c>
      <c r="C775" s="20" t="s">
        <v>167</v>
      </c>
      <c r="D775" s="20" t="s">
        <v>316</v>
      </c>
      <c r="E775" s="20" t="s">
        <v>524</v>
      </c>
      <c r="F775" s="20" t="s">
        <v>149</v>
      </c>
      <c r="G775" s="26">
        <f>G776</f>
        <v>3207.7</v>
      </c>
      <c r="H775" s="187"/>
    </row>
    <row r="776" spans="1:8" ht="47.25">
      <c r="A776" s="25" t="s">
        <v>150</v>
      </c>
      <c r="B776" s="16">
        <v>908</v>
      </c>
      <c r="C776" s="20" t="s">
        <v>167</v>
      </c>
      <c r="D776" s="20" t="s">
        <v>316</v>
      </c>
      <c r="E776" s="20" t="s">
        <v>524</v>
      </c>
      <c r="F776" s="20" t="s">
        <v>151</v>
      </c>
      <c r="G776" s="26">
        <v>3207.7</v>
      </c>
      <c r="H776" s="187"/>
    </row>
    <row r="777" spans="1:8" ht="15.75">
      <c r="A777" s="23" t="s">
        <v>525</v>
      </c>
      <c r="B777" s="19">
        <v>908</v>
      </c>
      <c r="C777" s="24" t="s">
        <v>167</v>
      </c>
      <c r="D777" s="24" t="s">
        <v>236</v>
      </c>
      <c r="E777" s="20"/>
      <c r="F777" s="24"/>
      <c r="G777" s="21">
        <f>G778</f>
        <v>15124.1</v>
      </c>
      <c r="H777" s="187"/>
    </row>
    <row r="778" spans="1:8" ht="47.25">
      <c r="A778" s="32" t="s">
        <v>526</v>
      </c>
      <c r="B778" s="16">
        <v>908</v>
      </c>
      <c r="C778" s="20" t="s">
        <v>167</v>
      </c>
      <c r="D778" s="20" t="s">
        <v>236</v>
      </c>
      <c r="E778" s="20" t="s">
        <v>527</v>
      </c>
      <c r="F778" s="20"/>
      <c r="G778" s="26">
        <f>G779</f>
        <v>15124.1</v>
      </c>
      <c r="H778" s="187"/>
    </row>
    <row r="779" spans="1:8" ht="15.75">
      <c r="A779" s="30" t="s">
        <v>528</v>
      </c>
      <c r="B779" s="16">
        <v>908</v>
      </c>
      <c r="C779" s="20" t="s">
        <v>167</v>
      </c>
      <c r="D779" s="20" t="s">
        <v>236</v>
      </c>
      <c r="E779" s="41" t="s">
        <v>529</v>
      </c>
      <c r="F779" s="20"/>
      <c r="G779" s="26">
        <f>G780+G782</f>
        <v>15124.1</v>
      </c>
      <c r="H779" s="187"/>
    </row>
    <row r="780" spans="1:8" ht="31.5">
      <c r="A780" s="25" t="s">
        <v>148</v>
      </c>
      <c r="B780" s="16">
        <v>908</v>
      </c>
      <c r="C780" s="20" t="s">
        <v>167</v>
      </c>
      <c r="D780" s="20" t="s">
        <v>236</v>
      </c>
      <c r="E780" s="41" t="s">
        <v>529</v>
      </c>
      <c r="F780" s="20" t="s">
        <v>149</v>
      </c>
      <c r="G780" s="26">
        <f>G781</f>
        <v>15108.1</v>
      </c>
      <c r="H780" s="187"/>
    </row>
    <row r="781" spans="1:8" ht="47.25">
      <c r="A781" s="25" t="s">
        <v>150</v>
      </c>
      <c r="B781" s="16">
        <v>908</v>
      </c>
      <c r="C781" s="20" t="s">
        <v>167</v>
      </c>
      <c r="D781" s="20" t="s">
        <v>236</v>
      </c>
      <c r="E781" s="41" t="s">
        <v>529</v>
      </c>
      <c r="F781" s="20" t="s">
        <v>151</v>
      </c>
      <c r="G781" s="26">
        <f>15124.1-10-6</f>
        <v>15108.1</v>
      </c>
      <c r="H781" s="128" t="s">
        <v>787</v>
      </c>
    </row>
    <row r="782" spans="1:8" ht="15.75">
      <c r="A782" s="25" t="s">
        <v>152</v>
      </c>
      <c r="B782" s="16">
        <v>908</v>
      </c>
      <c r="C782" s="20" t="s">
        <v>167</v>
      </c>
      <c r="D782" s="20" t="s">
        <v>236</v>
      </c>
      <c r="E782" s="41" t="s">
        <v>529</v>
      </c>
      <c r="F782" s="20" t="s">
        <v>162</v>
      </c>
      <c r="G782" s="26">
        <f>G783</f>
        <v>16</v>
      </c>
      <c r="H782" s="187"/>
    </row>
    <row r="783" spans="1:8" ht="15.75">
      <c r="A783" s="25" t="s">
        <v>585</v>
      </c>
      <c r="B783" s="16">
        <v>908</v>
      </c>
      <c r="C783" s="20" t="s">
        <v>167</v>
      </c>
      <c r="D783" s="20" t="s">
        <v>236</v>
      </c>
      <c r="E783" s="41" t="s">
        <v>529</v>
      </c>
      <c r="F783" s="20" t="s">
        <v>155</v>
      </c>
      <c r="G783" s="26">
        <f>10+6</f>
        <v>16</v>
      </c>
      <c r="H783" s="167" t="s">
        <v>788</v>
      </c>
    </row>
    <row r="784" spans="1:9" ht="15.75">
      <c r="A784" s="23" t="s">
        <v>407</v>
      </c>
      <c r="B784" s="19">
        <v>908</v>
      </c>
      <c r="C784" s="24" t="s">
        <v>251</v>
      </c>
      <c r="D784" s="24"/>
      <c r="E784" s="24"/>
      <c r="F784" s="24"/>
      <c r="G784" s="21">
        <f>G785+G800+G847+G899</f>
        <v>108065.79000000001</v>
      </c>
      <c r="H784" s="187"/>
      <c r="I784" s="122"/>
    </row>
    <row r="785" spans="1:8" ht="15.75">
      <c r="A785" s="23" t="s">
        <v>408</v>
      </c>
      <c r="B785" s="19">
        <v>908</v>
      </c>
      <c r="C785" s="24" t="s">
        <v>251</v>
      </c>
      <c r="D785" s="24" t="s">
        <v>135</v>
      </c>
      <c r="E785" s="24"/>
      <c r="F785" s="24"/>
      <c r="G785" s="21">
        <f>G786</f>
        <v>7765.400000000001</v>
      </c>
      <c r="H785" s="187"/>
    </row>
    <row r="786" spans="1:8" ht="15.75">
      <c r="A786" s="25" t="s">
        <v>138</v>
      </c>
      <c r="B786" s="16">
        <v>908</v>
      </c>
      <c r="C786" s="20" t="s">
        <v>251</v>
      </c>
      <c r="D786" s="20" t="s">
        <v>135</v>
      </c>
      <c r="E786" s="20" t="s">
        <v>139</v>
      </c>
      <c r="F786" s="20"/>
      <c r="G786" s="26">
        <f>G791</f>
        <v>7765.400000000001</v>
      </c>
      <c r="H786" s="187"/>
    </row>
    <row r="787" spans="1:8" ht="31.5" hidden="1">
      <c r="A787" s="25" t="s">
        <v>202</v>
      </c>
      <c r="B787" s="16">
        <v>908</v>
      </c>
      <c r="C787" s="20" t="s">
        <v>251</v>
      </c>
      <c r="D787" s="20" t="s">
        <v>135</v>
      </c>
      <c r="E787" s="20" t="s">
        <v>203</v>
      </c>
      <c r="F787" s="20"/>
      <c r="G787" s="26">
        <f>G788</f>
        <v>0</v>
      </c>
      <c r="H787" s="187"/>
    </row>
    <row r="788" spans="1:8" ht="15.75" hidden="1">
      <c r="A788" s="25" t="s">
        <v>530</v>
      </c>
      <c r="B788" s="16">
        <v>908</v>
      </c>
      <c r="C788" s="20" t="s">
        <v>251</v>
      </c>
      <c r="D788" s="20" t="s">
        <v>135</v>
      </c>
      <c r="E788" s="20" t="s">
        <v>531</v>
      </c>
      <c r="F788" s="20"/>
      <c r="G788" s="26">
        <f>G789</f>
        <v>0</v>
      </c>
      <c r="H788" s="187"/>
    </row>
    <row r="789" spans="1:8" ht="15.75" hidden="1">
      <c r="A789" s="25" t="s">
        <v>152</v>
      </c>
      <c r="B789" s="16">
        <v>908</v>
      </c>
      <c r="C789" s="20" t="s">
        <v>251</v>
      </c>
      <c r="D789" s="20" t="s">
        <v>135</v>
      </c>
      <c r="E789" s="20" t="s">
        <v>531</v>
      </c>
      <c r="F789" s="20" t="s">
        <v>162</v>
      </c>
      <c r="G789" s="26">
        <f>G790</f>
        <v>0</v>
      </c>
      <c r="H789" s="187"/>
    </row>
    <row r="790" spans="1:8" ht="63" hidden="1">
      <c r="A790" s="25" t="s">
        <v>201</v>
      </c>
      <c r="B790" s="16">
        <v>908</v>
      </c>
      <c r="C790" s="20" t="s">
        <v>251</v>
      </c>
      <c r="D790" s="20" t="s">
        <v>135</v>
      </c>
      <c r="E790" s="20" t="s">
        <v>531</v>
      </c>
      <c r="F790" s="20" t="s">
        <v>177</v>
      </c>
      <c r="G790" s="26">
        <v>0</v>
      </c>
      <c r="H790" s="187"/>
    </row>
    <row r="791" spans="1:8" ht="15.75">
      <c r="A791" s="25" t="s">
        <v>158</v>
      </c>
      <c r="B791" s="16">
        <v>908</v>
      </c>
      <c r="C791" s="20" t="s">
        <v>251</v>
      </c>
      <c r="D791" s="20" t="s">
        <v>135</v>
      </c>
      <c r="E791" s="20" t="s">
        <v>159</v>
      </c>
      <c r="F791" s="24"/>
      <c r="G791" s="26">
        <f>G792+G797</f>
        <v>7765.400000000001</v>
      </c>
      <c r="H791" s="187"/>
    </row>
    <row r="792" spans="1:8" ht="15.75">
      <c r="A792" s="25" t="s">
        <v>532</v>
      </c>
      <c r="B792" s="16">
        <v>908</v>
      </c>
      <c r="C792" s="20" t="s">
        <v>251</v>
      </c>
      <c r="D792" s="20" t="s">
        <v>135</v>
      </c>
      <c r="E792" s="20" t="s">
        <v>533</v>
      </c>
      <c r="F792" s="24"/>
      <c r="G792" s="26">
        <f>G795+G793</f>
        <v>3531.3</v>
      </c>
      <c r="H792" s="187"/>
    </row>
    <row r="793" spans="1:8" ht="31.5">
      <c r="A793" s="25" t="s">
        <v>148</v>
      </c>
      <c r="B793" s="16">
        <v>908</v>
      </c>
      <c r="C793" s="20" t="s">
        <v>251</v>
      </c>
      <c r="D793" s="20" t="s">
        <v>135</v>
      </c>
      <c r="E793" s="20" t="s">
        <v>533</v>
      </c>
      <c r="F793" s="20" t="s">
        <v>149</v>
      </c>
      <c r="G793" s="26">
        <f>G794</f>
        <v>1131.3</v>
      </c>
      <c r="H793" s="187"/>
    </row>
    <row r="794" spans="1:9" ht="47.25">
      <c r="A794" s="25" t="s">
        <v>150</v>
      </c>
      <c r="B794" s="16">
        <v>908</v>
      </c>
      <c r="C794" s="20" t="s">
        <v>251</v>
      </c>
      <c r="D794" s="20" t="s">
        <v>135</v>
      </c>
      <c r="E794" s="20" t="s">
        <v>533</v>
      </c>
      <c r="F794" s="20" t="s">
        <v>151</v>
      </c>
      <c r="G794" s="26">
        <v>1131.3</v>
      </c>
      <c r="H794" s="114"/>
      <c r="I794" s="134"/>
    </row>
    <row r="795" spans="1:8" ht="15.75">
      <c r="A795" s="25" t="s">
        <v>152</v>
      </c>
      <c r="B795" s="16">
        <v>908</v>
      </c>
      <c r="C795" s="20" t="s">
        <v>251</v>
      </c>
      <c r="D795" s="20" t="s">
        <v>135</v>
      </c>
      <c r="E795" s="20" t="s">
        <v>533</v>
      </c>
      <c r="F795" s="20" t="s">
        <v>162</v>
      </c>
      <c r="G795" s="26">
        <f>G796</f>
        <v>2400</v>
      </c>
      <c r="H795" s="187"/>
    </row>
    <row r="796" spans="1:9" ht="63">
      <c r="A796" s="25" t="s">
        <v>201</v>
      </c>
      <c r="B796" s="16">
        <v>908</v>
      </c>
      <c r="C796" s="20" t="s">
        <v>251</v>
      </c>
      <c r="D796" s="20" t="s">
        <v>135</v>
      </c>
      <c r="E796" s="20" t="s">
        <v>533</v>
      </c>
      <c r="F796" s="20" t="s">
        <v>177</v>
      </c>
      <c r="G796" s="26">
        <f>1500+900</f>
        <v>2400</v>
      </c>
      <c r="H796" s="187"/>
      <c r="I796" s="123"/>
    </row>
    <row r="797" spans="1:8" ht="31.5">
      <c r="A797" s="30" t="s">
        <v>415</v>
      </c>
      <c r="B797" s="16">
        <v>908</v>
      </c>
      <c r="C797" s="20" t="s">
        <v>251</v>
      </c>
      <c r="D797" s="20" t="s">
        <v>135</v>
      </c>
      <c r="E797" s="20" t="s">
        <v>416</v>
      </c>
      <c r="F797" s="24"/>
      <c r="G797" s="26">
        <f>G798</f>
        <v>4234.1</v>
      </c>
      <c r="H797" s="187"/>
    </row>
    <row r="798" spans="1:8" ht="31.5">
      <c r="A798" s="25" t="s">
        <v>148</v>
      </c>
      <c r="B798" s="16">
        <v>908</v>
      </c>
      <c r="C798" s="20" t="s">
        <v>251</v>
      </c>
      <c r="D798" s="20" t="s">
        <v>135</v>
      </c>
      <c r="E798" s="20" t="s">
        <v>416</v>
      </c>
      <c r="F798" s="20" t="s">
        <v>149</v>
      </c>
      <c r="G798" s="26">
        <f>G799</f>
        <v>4234.1</v>
      </c>
      <c r="H798" s="187"/>
    </row>
    <row r="799" spans="1:8" ht="47.25">
      <c r="A799" s="25" t="s">
        <v>150</v>
      </c>
      <c r="B799" s="16">
        <v>908</v>
      </c>
      <c r="C799" s="20" t="s">
        <v>251</v>
      </c>
      <c r="D799" s="20" t="s">
        <v>135</v>
      </c>
      <c r="E799" s="20" t="s">
        <v>416</v>
      </c>
      <c r="F799" s="20" t="s">
        <v>151</v>
      </c>
      <c r="G799" s="27">
        <f>3811.8+422.3</f>
        <v>4234.1</v>
      </c>
      <c r="H799" s="187"/>
    </row>
    <row r="800" spans="1:12" ht="15.75">
      <c r="A800" s="23" t="s">
        <v>534</v>
      </c>
      <c r="B800" s="19">
        <v>908</v>
      </c>
      <c r="C800" s="24" t="s">
        <v>251</v>
      </c>
      <c r="D800" s="24" t="s">
        <v>230</v>
      </c>
      <c r="E800" s="24"/>
      <c r="F800" s="24"/>
      <c r="G800" s="21">
        <f>G801+G826</f>
        <v>53711.1</v>
      </c>
      <c r="H800" s="187"/>
      <c r="I800" s="123"/>
      <c r="L800" s="124"/>
    </row>
    <row r="801" spans="1:9" ht="82.5" customHeight="1">
      <c r="A801" s="25" t="s">
        <v>612</v>
      </c>
      <c r="B801" s="16">
        <v>908</v>
      </c>
      <c r="C801" s="20" t="s">
        <v>251</v>
      </c>
      <c r="D801" s="20" t="s">
        <v>230</v>
      </c>
      <c r="E801" s="20" t="s">
        <v>535</v>
      </c>
      <c r="F801" s="24"/>
      <c r="G801" s="26">
        <f>G805+G808+G811+G814+G817+G823</f>
        <v>5567.900000000001</v>
      </c>
      <c r="H801" s="189"/>
      <c r="I801" s="123"/>
    </row>
    <row r="802" spans="1:8" ht="47.25" hidden="1">
      <c r="A802" s="36" t="s">
        <v>536</v>
      </c>
      <c r="B802" s="16">
        <v>908</v>
      </c>
      <c r="C802" s="20" t="s">
        <v>251</v>
      </c>
      <c r="D802" s="20" t="s">
        <v>230</v>
      </c>
      <c r="E802" s="20" t="s">
        <v>537</v>
      </c>
      <c r="F802" s="20"/>
      <c r="G802" s="26">
        <f>G803</f>
        <v>0</v>
      </c>
      <c r="H802" s="187"/>
    </row>
    <row r="803" spans="1:8" ht="31.5" hidden="1">
      <c r="A803" s="25" t="s">
        <v>148</v>
      </c>
      <c r="B803" s="16">
        <v>908</v>
      </c>
      <c r="C803" s="20" t="s">
        <v>251</v>
      </c>
      <c r="D803" s="20" t="s">
        <v>230</v>
      </c>
      <c r="E803" s="20" t="s">
        <v>537</v>
      </c>
      <c r="F803" s="20" t="s">
        <v>149</v>
      </c>
      <c r="G803" s="26">
        <f>G804</f>
        <v>0</v>
      </c>
      <c r="H803" s="187"/>
    </row>
    <row r="804" spans="1:8" ht="47.25" hidden="1">
      <c r="A804" s="25" t="s">
        <v>150</v>
      </c>
      <c r="B804" s="16">
        <v>908</v>
      </c>
      <c r="C804" s="20" t="s">
        <v>251</v>
      </c>
      <c r="D804" s="20" t="s">
        <v>230</v>
      </c>
      <c r="E804" s="20" t="s">
        <v>537</v>
      </c>
      <c r="F804" s="20" t="s">
        <v>151</v>
      </c>
      <c r="G804" s="26">
        <v>0</v>
      </c>
      <c r="H804" s="187"/>
    </row>
    <row r="805" spans="1:8" ht="15.75">
      <c r="A805" s="46" t="s">
        <v>538</v>
      </c>
      <c r="B805" s="16">
        <v>908</v>
      </c>
      <c r="C805" s="41" t="s">
        <v>251</v>
      </c>
      <c r="D805" s="41" t="s">
        <v>230</v>
      </c>
      <c r="E805" s="20" t="s">
        <v>539</v>
      </c>
      <c r="F805" s="41"/>
      <c r="G805" s="26">
        <f>G806</f>
        <v>450</v>
      </c>
      <c r="H805" s="187"/>
    </row>
    <row r="806" spans="1:8" ht="31.5">
      <c r="A806" s="32" t="s">
        <v>148</v>
      </c>
      <c r="B806" s="16">
        <v>908</v>
      </c>
      <c r="C806" s="41" t="s">
        <v>251</v>
      </c>
      <c r="D806" s="41" t="s">
        <v>230</v>
      </c>
      <c r="E806" s="20" t="s">
        <v>539</v>
      </c>
      <c r="F806" s="41" t="s">
        <v>149</v>
      </c>
      <c r="G806" s="26">
        <f>G807</f>
        <v>450</v>
      </c>
      <c r="H806" s="187"/>
    </row>
    <row r="807" spans="1:8" ht="47.25">
      <c r="A807" s="32" t="s">
        <v>150</v>
      </c>
      <c r="B807" s="16">
        <v>908</v>
      </c>
      <c r="C807" s="41" t="s">
        <v>251</v>
      </c>
      <c r="D807" s="41" t="s">
        <v>230</v>
      </c>
      <c r="E807" s="20" t="s">
        <v>539</v>
      </c>
      <c r="F807" s="41" t="s">
        <v>151</v>
      </c>
      <c r="G807" s="26">
        <v>450</v>
      </c>
      <c r="H807" s="187"/>
    </row>
    <row r="808" spans="1:8" ht="15.75">
      <c r="A808" s="46" t="s">
        <v>540</v>
      </c>
      <c r="B808" s="16">
        <v>908</v>
      </c>
      <c r="C808" s="41" t="s">
        <v>251</v>
      </c>
      <c r="D808" s="41" t="s">
        <v>230</v>
      </c>
      <c r="E808" s="20" t="s">
        <v>541</v>
      </c>
      <c r="F808" s="41"/>
      <c r="G808" s="26">
        <f>G809</f>
        <v>3107</v>
      </c>
      <c r="H808" s="187"/>
    </row>
    <row r="809" spans="1:8" ht="31.5">
      <c r="A809" s="32" t="s">
        <v>148</v>
      </c>
      <c r="B809" s="16">
        <v>908</v>
      </c>
      <c r="C809" s="41" t="s">
        <v>251</v>
      </c>
      <c r="D809" s="41" t="s">
        <v>230</v>
      </c>
      <c r="E809" s="20" t="s">
        <v>541</v>
      </c>
      <c r="F809" s="41" t="s">
        <v>149</v>
      </c>
      <c r="G809" s="26">
        <f>G810</f>
        <v>3107</v>
      </c>
      <c r="H809" s="187"/>
    </row>
    <row r="810" spans="1:8" ht="47.25">
      <c r="A810" s="32" t="s">
        <v>150</v>
      </c>
      <c r="B810" s="16">
        <v>908</v>
      </c>
      <c r="C810" s="41" t="s">
        <v>251</v>
      </c>
      <c r="D810" s="41" t="s">
        <v>230</v>
      </c>
      <c r="E810" s="20" t="s">
        <v>541</v>
      </c>
      <c r="F810" s="41" t="s">
        <v>151</v>
      </c>
      <c r="G810" s="177">
        <f>110+20+2977</f>
        <v>3107</v>
      </c>
      <c r="H810" s="171" t="s">
        <v>769</v>
      </c>
    </row>
    <row r="811" spans="1:8" ht="15.75">
      <c r="A811" s="46" t="s">
        <v>542</v>
      </c>
      <c r="B811" s="16">
        <v>908</v>
      </c>
      <c r="C811" s="41" t="s">
        <v>251</v>
      </c>
      <c r="D811" s="41" t="s">
        <v>230</v>
      </c>
      <c r="E811" s="20" t="s">
        <v>543</v>
      </c>
      <c r="F811" s="41"/>
      <c r="G811" s="26">
        <f>G812</f>
        <v>1374.6</v>
      </c>
      <c r="H811" s="187"/>
    </row>
    <row r="812" spans="1:8" ht="31.5">
      <c r="A812" s="32" t="s">
        <v>148</v>
      </c>
      <c r="B812" s="16">
        <v>908</v>
      </c>
      <c r="C812" s="41" t="s">
        <v>251</v>
      </c>
      <c r="D812" s="41" t="s">
        <v>230</v>
      </c>
      <c r="E812" s="20" t="s">
        <v>543</v>
      </c>
      <c r="F812" s="41" t="s">
        <v>149</v>
      </c>
      <c r="G812" s="26">
        <f>G813</f>
        <v>1374.6</v>
      </c>
      <c r="H812" s="187"/>
    </row>
    <row r="813" spans="1:10" ht="47.25">
      <c r="A813" s="32" t="s">
        <v>150</v>
      </c>
      <c r="B813" s="16">
        <v>908</v>
      </c>
      <c r="C813" s="41" t="s">
        <v>251</v>
      </c>
      <c r="D813" s="41" t="s">
        <v>230</v>
      </c>
      <c r="E813" s="20" t="s">
        <v>543</v>
      </c>
      <c r="F813" s="41" t="s">
        <v>151</v>
      </c>
      <c r="G813" s="177">
        <f>10+30+3534.6-2200</f>
        <v>1374.6</v>
      </c>
      <c r="H813" s="121" t="s">
        <v>775</v>
      </c>
      <c r="J813" s="179" t="s">
        <v>776</v>
      </c>
    </row>
    <row r="814" spans="1:8" ht="15.75">
      <c r="A814" s="46" t="s">
        <v>544</v>
      </c>
      <c r="B814" s="16">
        <v>908</v>
      </c>
      <c r="C814" s="41" t="s">
        <v>251</v>
      </c>
      <c r="D814" s="41" t="s">
        <v>230</v>
      </c>
      <c r="E814" s="20" t="s">
        <v>545</v>
      </c>
      <c r="F814" s="41"/>
      <c r="G814" s="26">
        <f>G815</f>
        <v>159.10000000000002</v>
      </c>
      <c r="H814" s="187"/>
    </row>
    <row r="815" spans="1:8" ht="31.5">
      <c r="A815" s="32" t="s">
        <v>148</v>
      </c>
      <c r="B815" s="16">
        <v>908</v>
      </c>
      <c r="C815" s="41" t="s">
        <v>251</v>
      </c>
      <c r="D815" s="41" t="s">
        <v>230</v>
      </c>
      <c r="E815" s="20" t="s">
        <v>545</v>
      </c>
      <c r="F815" s="41" t="s">
        <v>149</v>
      </c>
      <c r="G815" s="26">
        <f>G816</f>
        <v>159.10000000000002</v>
      </c>
      <c r="H815" s="187"/>
    </row>
    <row r="816" spans="1:8" ht="47.25">
      <c r="A816" s="32" t="s">
        <v>150</v>
      </c>
      <c r="B816" s="16">
        <v>908</v>
      </c>
      <c r="C816" s="41" t="s">
        <v>251</v>
      </c>
      <c r="D816" s="41" t="s">
        <v>230</v>
      </c>
      <c r="E816" s="20" t="s">
        <v>545</v>
      </c>
      <c r="F816" s="41" t="s">
        <v>151</v>
      </c>
      <c r="G816" s="177">
        <f>250+5+681.1-522-255</f>
        <v>159.10000000000002</v>
      </c>
      <c r="H816" s="121" t="s">
        <v>770</v>
      </c>
    </row>
    <row r="817" spans="1:8" ht="15.75">
      <c r="A817" s="46" t="s">
        <v>546</v>
      </c>
      <c r="B817" s="16">
        <v>908</v>
      </c>
      <c r="C817" s="41" t="s">
        <v>251</v>
      </c>
      <c r="D817" s="41" t="s">
        <v>230</v>
      </c>
      <c r="E817" s="20" t="s">
        <v>547</v>
      </c>
      <c r="F817" s="41"/>
      <c r="G817" s="26">
        <f>G818</f>
        <v>288.2</v>
      </c>
      <c r="H817" s="187"/>
    </row>
    <row r="818" spans="1:8" ht="31.5">
      <c r="A818" s="32" t="s">
        <v>148</v>
      </c>
      <c r="B818" s="16">
        <v>908</v>
      </c>
      <c r="C818" s="41" t="s">
        <v>251</v>
      </c>
      <c r="D818" s="41" t="s">
        <v>230</v>
      </c>
      <c r="E818" s="20" t="s">
        <v>547</v>
      </c>
      <c r="F818" s="41" t="s">
        <v>149</v>
      </c>
      <c r="G818" s="26">
        <f>G819</f>
        <v>288.2</v>
      </c>
      <c r="H818" s="187"/>
    </row>
    <row r="819" spans="1:10" ht="47.25">
      <c r="A819" s="32" t="s">
        <v>150</v>
      </c>
      <c r="B819" s="16">
        <v>908</v>
      </c>
      <c r="C819" s="41" t="s">
        <v>251</v>
      </c>
      <c r="D819" s="41" t="s">
        <v>230</v>
      </c>
      <c r="E819" s="20" t="s">
        <v>547</v>
      </c>
      <c r="F819" s="41" t="s">
        <v>151</v>
      </c>
      <c r="G819" s="26">
        <f>2+286.2</f>
        <v>288.2</v>
      </c>
      <c r="H819" s="121"/>
      <c r="J819" s="180" t="s">
        <v>777</v>
      </c>
    </row>
    <row r="820" spans="1:8" ht="31.5" hidden="1">
      <c r="A820" s="188" t="s">
        <v>548</v>
      </c>
      <c r="B820" s="16">
        <v>908</v>
      </c>
      <c r="C820" s="41" t="s">
        <v>251</v>
      </c>
      <c r="D820" s="41" t="s">
        <v>230</v>
      </c>
      <c r="E820" s="20" t="s">
        <v>549</v>
      </c>
      <c r="F820" s="41"/>
      <c r="G820" s="26">
        <f>G821</f>
        <v>0</v>
      </c>
      <c r="H820" s="187"/>
    </row>
    <row r="821" spans="1:8" ht="31.5" hidden="1">
      <c r="A821" s="32" t="s">
        <v>148</v>
      </c>
      <c r="B821" s="16">
        <v>908</v>
      </c>
      <c r="C821" s="41" t="s">
        <v>251</v>
      </c>
      <c r="D821" s="41" t="s">
        <v>230</v>
      </c>
      <c r="E821" s="20" t="s">
        <v>549</v>
      </c>
      <c r="F821" s="41" t="s">
        <v>149</v>
      </c>
      <c r="G821" s="26">
        <f>G822</f>
        <v>0</v>
      </c>
      <c r="H821" s="187"/>
    </row>
    <row r="822" spans="1:8" ht="47.25" hidden="1">
      <c r="A822" s="32" t="s">
        <v>150</v>
      </c>
      <c r="B822" s="16">
        <v>908</v>
      </c>
      <c r="C822" s="41" t="s">
        <v>251</v>
      </c>
      <c r="D822" s="41" t="s">
        <v>230</v>
      </c>
      <c r="E822" s="20" t="s">
        <v>549</v>
      </c>
      <c r="F822" s="41" t="s">
        <v>151</v>
      </c>
      <c r="G822" s="26">
        <v>0</v>
      </c>
      <c r="H822" s="187"/>
    </row>
    <row r="823" spans="1:8" ht="15.75">
      <c r="A823" s="188" t="s">
        <v>550</v>
      </c>
      <c r="B823" s="16">
        <v>908</v>
      </c>
      <c r="C823" s="41" t="s">
        <v>251</v>
      </c>
      <c r="D823" s="41" t="s">
        <v>230</v>
      </c>
      <c r="E823" s="20" t="s">
        <v>551</v>
      </c>
      <c r="F823" s="41"/>
      <c r="G823" s="26">
        <f>G824</f>
        <v>189</v>
      </c>
      <c r="H823" s="187"/>
    </row>
    <row r="824" spans="1:8" ht="31.5">
      <c r="A824" s="25" t="s">
        <v>148</v>
      </c>
      <c r="B824" s="16">
        <v>908</v>
      </c>
      <c r="C824" s="41" t="s">
        <v>251</v>
      </c>
      <c r="D824" s="41" t="s">
        <v>230</v>
      </c>
      <c r="E824" s="20" t="s">
        <v>551</v>
      </c>
      <c r="F824" s="41" t="s">
        <v>149</v>
      </c>
      <c r="G824" s="26">
        <f>G825</f>
        <v>189</v>
      </c>
      <c r="H824" s="187"/>
    </row>
    <row r="825" spans="1:10" ht="47.25">
      <c r="A825" s="25" t="s">
        <v>150</v>
      </c>
      <c r="B825" s="16">
        <v>908</v>
      </c>
      <c r="C825" s="41" t="s">
        <v>251</v>
      </c>
      <c r="D825" s="41" t="s">
        <v>230</v>
      </c>
      <c r="E825" s="20" t="s">
        <v>551</v>
      </c>
      <c r="F825" s="41" t="s">
        <v>151</v>
      </c>
      <c r="G825" s="26">
        <f>15+174</f>
        <v>189</v>
      </c>
      <c r="H825" s="121"/>
      <c r="J825" s="180" t="s">
        <v>778</v>
      </c>
    </row>
    <row r="826" spans="1:8" ht="15.75">
      <c r="A826" s="25" t="s">
        <v>138</v>
      </c>
      <c r="B826" s="16">
        <v>908</v>
      </c>
      <c r="C826" s="20" t="s">
        <v>251</v>
      </c>
      <c r="D826" s="20" t="s">
        <v>230</v>
      </c>
      <c r="E826" s="20" t="s">
        <v>139</v>
      </c>
      <c r="F826" s="20"/>
      <c r="G826" s="26">
        <f>G827+G837</f>
        <v>48143.2</v>
      </c>
      <c r="H826" s="187"/>
    </row>
    <row r="827" spans="1:8" ht="31.5">
      <c r="A827" s="25" t="s">
        <v>202</v>
      </c>
      <c r="B827" s="16">
        <v>908</v>
      </c>
      <c r="C827" s="20" t="s">
        <v>251</v>
      </c>
      <c r="D827" s="20" t="s">
        <v>230</v>
      </c>
      <c r="E827" s="20" t="s">
        <v>203</v>
      </c>
      <c r="F827" s="20"/>
      <c r="G827" s="26">
        <f>G828+G831+G834</f>
        <v>25111.2</v>
      </c>
      <c r="H827" s="187"/>
    </row>
    <row r="828" spans="1:8" ht="47.25">
      <c r="A828" s="108" t="s">
        <v>699</v>
      </c>
      <c r="B828" s="16">
        <v>908</v>
      </c>
      <c r="C828" s="20" t="s">
        <v>251</v>
      </c>
      <c r="D828" s="20" t="s">
        <v>230</v>
      </c>
      <c r="E828" s="20" t="s">
        <v>552</v>
      </c>
      <c r="F828" s="20"/>
      <c r="G828" s="26">
        <f>G829</f>
        <v>5000</v>
      </c>
      <c r="H828" s="187"/>
    </row>
    <row r="829" spans="1:8" ht="31.5">
      <c r="A829" s="25" t="s">
        <v>148</v>
      </c>
      <c r="B829" s="16">
        <v>908</v>
      </c>
      <c r="C829" s="20" t="s">
        <v>251</v>
      </c>
      <c r="D829" s="20" t="s">
        <v>230</v>
      </c>
      <c r="E829" s="20" t="s">
        <v>552</v>
      </c>
      <c r="F829" s="20" t="s">
        <v>149</v>
      </c>
      <c r="G829" s="26">
        <f>G830</f>
        <v>5000</v>
      </c>
      <c r="H829" s="187"/>
    </row>
    <row r="830" spans="1:9" ht="47.25">
      <c r="A830" s="25" t="s">
        <v>150</v>
      </c>
      <c r="B830" s="16">
        <v>908</v>
      </c>
      <c r="C830" s="20" t="s">
        <v>251</v>
      </c>
      <c r="D830" s="20" t="s">
        <v>230</v>
      </c>
      <c r="E830" s="20" t="s">
        <v>552</v>
      </c>
      <c r="F830" s="20" t="s">
        <v>151</v>
      </c>
      <c r="G830" s="26">
        <f>5000</f>
        <v>5000</v>
      </c>
      <c r="H830" s="187"/>
      <c r="I830" s="123"/>
    </row>
    <row r="831" spans="1:8" ht="31.5">
      <c r="A831" s="36" t="s">
        <v>705</v>
      </c>
      <c r="B831" s="16">
        <v>908</v>
      </c>
      <c r="C831" s="20" t="s">
        <v>251</v>
      </c>
      <c r="D831" s="20" t="s">
        <v>230</v>
      </c>
      <c r="E831" s="20" t="s">
        <v>553</v>
      </c>
      <c r="F831" s="20"/>
      <c r="G831" s="26">
        <f>G832</f>
        <v>20000</v>
      </c>
      <c r="H831" s="187"/>
    </row>
    <row r="832" spans="1:8" ht="31.5">
      <c r="A832" s="25" t="s">
        <v>148</v>
      </c>
      <c r="B832" s="16">
        <v>908</v>
      </c>
      <c r="C832" s="20" t="s">
        <v>251</v>
      </c>
      <c r="D832" s="20" t="s">
        <v>230</v>
      </c>
      <c r="E832" s="20" t="s">
        <v>553</v>
      </c>
      <c r="F832" s="20" t="s">
        <v>149</v>
      </c>
      <c r="G832" s="26">
        <f>G833</f>
        <v>20000</v>
      </c>
      <c r="H832" s="187"/>
    </row>
    <row r="833" spans="1:8" ht="47.25">
      <c r="A833" s="25" t="s">
        <v>150</v>
      </c>
      <c r="B833" s="16">
        <v>908</v>
      </c>
      <c r="C833" s="20" t="s">
        <v>251</v>
      </c>
      <c r="D833" s="20" t="s">
        <v>230</v>
      </c>
      <c r="E833" s="20" t="s">
        <v>553</v>
      </c>
      <c r="F833" s="20" t="s">
        <v>151</v>
      </c>
      <c r="G833" s="26">
        <v>20000</v>
      </c>
      <c r="H833" s="114"/>
    </row>
    <row r="834" spans="1:8" ht="47.25">
      <c r="A834" s="25" t="s">
        <v>706</v>
      </c>
      <c r="B834" s="16">
        <v>908</v>
      </c>
      <c r="C834" s="20" t="s">
        <v>251</v>
      </c>
      <c r="D834" s="20" t="s">
        <v>230</v>
      </c>
      <c r="E834" s="20" t="s">
        <v>707</v>
      </c>
      <c r="F834" s="20"/>
      <c r="G834" s="26">
        <f>G835</f>
        <v>111.2</v>
      </c>
      <c r="H834" s="116"/>
    </row>
    <row r="835" spans="1:8" ht="31.5">
      <c r="A835" s="25" t="s">
        <v>148</v>
      </c>
      <c r="B835" s="16">
        <v>908</v>
      </c>
      <c r="C835" s="20" t="s">
        <v>251</v>
      </c>
      <c r="D835" s="20" t="s">
        <v>230</v>
      </c>
      <c r="E835" s="20" t="s">
        <v>707</v>
      </c>
      <c r="F835" s="20" t="s">
        <v>149</v>
      </c>
      <c r="G835" s="26">
        <f>G836</f>
        <v>111.2</v>
      </c>
      <c r="H835" s="116"/>
    </row>
    <row r="836" spans="1:8" ht="47.25">
      <c r="A836" s="25" t="s">
        <v>150</v>
      </c>
      <c r="B836" s="16">
        <v>908</v>
      </c>
      <c r="C836" s="20" t="s">
        <v>251</v>
      </c>
      <c r="D836" s="20" t="s">
        <v>230</v>
      </c>
      <c r="E836" s="20" t="s">
        <v>707</v>
      </c>
      <c r="F836" s="20" t="s">
        <v>151</v>
      </c>
      <c r="G836" s="26">
        <v>111.2</v>
      </c>
      <c r="H836" s="116"/>
    </row>
    <row r="837" spans="1:8" ht="15.75">
      <c r="A837" s="25" t="s">
        <v>158</v>
      </c>
      <c r="B837" s="16">
        <v>908</v>
      </c>
      <c r="C837" s="20" t="s">
        <v>251</v>
      </c>
      <c r="D837" s="20" t="s">
        <v>230</v>
      </c>
      <c r="E837" s="20" t="s">
        <v>159</v>
      </c>
      <c r="F837" s="20"/>
      <c r="G837" s="26">
        <f>G838+G844</f>
        <v>23031.999999999996</v>
      </c>
      <c r="H837" s="187"/>
    </row>
    <row r="838" spans="1:8" ht="31.5">
      <c r="A838" s="36" t="s">
        <v>554</v>
      </c>
      <c r="B838" s="16">
        <v>908</v>
      </c>
      <c r="C838" s="20" t="s">
        <v>251</v>
      </c>
      <c r="D838" s="20" t="s">
        <v>230</v>
      </c>
      <c r="E838" s="20" t="s">
        <v>555</v>
      </c>
      <c r="F838" s="20"/>
      <c r="G838" s="26">
        <f>G839+G841</f>
        <v>20353.699999999997</v>
      </c>
      <c r="H838" s="187"/>
    </row>
    <row r="839" spans="1:8" ht="31.5">
      <c r="A839" s="25" t="s">
        <v>148</v>
      </c>
      <c r="B839" s="16">
        <v>908</v>
      </c>
      <c r="C839" s="20" t="s">
        <v>251</v>
      </c>
      <c r="D839" s="20" t="s">
        <v>230</v>
      </c>
      <c r="E839" s="20" t="s">
        <v>555</v>
      </c>
      <c r="F839" s="20" t="s">
        <v>149</v>
      </c>
      <c r="G839" s="26">
        <f>G840</f>
        <v>20322.1</v>
      </c>
      <c r="H839" s="187"/>
    </row>
    <row r="840" spans="1:10" ht="47.25">
      <c r="A840" s="25" t="s">
        <v>150</v>
      </c>
      <c r="B840" s="16">
        <v>908</v>
      </c>
      <c r="C840" s="20" t="s">
        <v>251</v>
      </c>
      <c r="D840" s="20" t="s">
        <v>230</v>
      </c>
      <c r="E840" s="20" t="s">
        <v>555</v>
      </c>
      <c r="F840" s="20" t="s">
        <v>151</v>
      </c>
      <c r="G840" s="172">
        <f>10880-5000-2230+172.1+16500</f>
        <v>20322.1</v>
      </c>
      <c r="H840" s="114" t="s">
        <v>774</v>
      </c>
      <c r="I840" s="123"/>
      <c r="J840" s="181" t="s">
        <v>743</v>
      </c>
    </row>
    <row r="841" spans="1:8" ht="15.75">
      <c r="A841" s="25" t="s">
        <v>152</v>
      </c>
      <c r="B841" s="16">
        <v>908</v>
      </c>
      <c r="C841" s="20" t="s">
        <v>251</v>
      </c>
      <c r="D841" s="20" t="s">
        <v>230</v>
      </c>
      <c r="E841" s="20" t="s">
        <v>555</v>
      </c>
      <c r="F841" s="20" t="s">
        <v>162</v>
      </c>
      <c r="G841" s="26">
        <f>G842+G843</f>
        <v>31.6</v>
      </c>
      <c r="H841" s="187"/>
    </row>
    <row r="842" spans="1:8" ht="63" hidden="1">
      <c r="A842" s="25" t="s">
        <v>201</v>
      </c>
      <c r="B842" s="16">
        <v>908</v>
      </c>
      <c r="C842" s="20" t="s">
        <v>251</v>
      </c>
      <c r="D842" s="20" t="s">
        <v>230</v>
      </c>
      <c r="E842" s="20" t="s">
        <v>555</v>
      </c>
      <c r="F842" s="20" t="s">
        <v>177</v>
      </c>
      <c r="G842" s="26">
        <v>0</v>
      </c>
      <c r="H842" s="187"/>
    </row>
    <row r="843" spans="1:9" ht="15.75">
      <c r="A843" s="25" t="s">
        <v>585</v>
      </c>
      <c r="B843" s="16">
        <v>908</v>
      </c>
      <c r="C843" s="20" t="s">
        <v>251</v>
      </c>
      <c r="D843" s="20" t="s">
        <v>230</v>
      </c>
      <c r="E843" s="20" t="s">
        <v>555</v>
      </c>
      <c r="F843" s="20" t="s">
        <v>155</v>
      </c>
      <c r="G843" s="26">
        <v>31.6</v>
      </c>
      <c r="H843" s="114"/>
      <c r="I843" s="133"/>
    </row>
    <row r="844" spans="1:8" ht="15.75">
      <c r="A844" s="25" t="s">
        <v>556</v>
      </c>
      <c r="B844" s="16">
        <v>908</v>
      </c>
      <c r="C844" s="20" t="s">
        <v>251</v>
      </c>
      <c r="D844" s="20" t="s">
        <v>230</v>
      </c>
      <c r="E844" s="20" t="s">
        <v>557</v>
      </c>
      <c r="F844" s="20"/>
      <c r="G844" s="26">
        <f>G845</f>
        <v>2678.3</v>
      </c>
      <c r="H844" s="187"/>
    </row>
    <row r="845" spans="1:8" ht="15.75">
      <c r="A845" s="25" t="s">
        <v>152</v>
      </c>
      <c r="B845" s="16">
        <v>908</v>
      </c>
      <c r="C845" s="20" t="s">
        <v>251</v>
      </c>
      <c r="D845" s="20" t="s">
        <v>230</v>
      </c>
      <c r="E845" s="20" t="s">
        <v>557</v>
      </c>
      <c r="F845" s="20" t="s">
        <v>162</v>
      </c>
      <c r="G845" s="26">
        <f>G846</f>
        <v>2678.3</v>
      </c>
      <c r="H845" s="187"/>
    </row>
    <row r="846" spans="1:9" ht="15.75">
      <c r="A846" s="25" t="s">
        <v>163</v>
      </c>
      <c r="B846" s="16">
        <v>908</v>
      </c>
      <c r="C846" s="20" t="s">
        <v>251</v>
      </c>
      <c r="D846" s="20" t="s">
        <v>230</v>
      </c>
      <c r="E846" s="20" t="s">
        <v>557</v>
      </c>
      <c r="F846" s="20" t="s">
        <v>164</v>
      </c>
      <c r="G846" s="26">
        <v>2678.3</v>
      </c>
      <c r="H846" s="187"/>
      <c r="I846" s="123"/>
    </row>
    <row r="847" spans="1:8" ht="15.75">
      <c r="A847" s="23" t="s">
        <v>558</v>
      </c>
      <c r="B847" s="19">
        <v>908</v>
      </c>
      <c r="C847" s="24" t="s">
        <v>251</v>
      </c>
      <c r="D847" s="24" t="s">
        <v>232</v>
      </c>
      <c r="E847" s="24"/>
      <c r="F847" s="24"/>
      <c r="G847" s="21">
        <f>G848++G878+G874</f>
        <v>25464.6</v>
      </c>
      <c r="H847" s="187"/>
    </row>
    <row r="848" spans="1:8" ht="47.25">
      <c r="A848" s="25" t="s">
        <v>559</v>
      </c>
      <c r="B848" s="16">
        <v>908</v>
      </c>
      <c r="C848" s="20" t="s">
        <v>251</v>
      </c>
      <c r="D848" s="20" t="s">
        <v>232</v>
      </c>
      <c r="E848" s="20" t="s">
        <v>560</v>
      </c>
      <c r="F848" s="20"/>
      <c r="G848" s="26">
        <f>G849+G859</f>
        <v>12375.499999999998</v>
      </c>
      <c r="H848" s="187"/>
    </row>
    <row r="849" spans="1:8" ht="47.25">
      <c r="A849" s="25" t="s">
        <v>561</v>
      </c>
      <c r="B849" s="16">
        <v>908</v>
      </c>
      <c r="C849" s="20" t="s">
        <v>251</v>
      </c>
      <c r="D849" s="20" t="s">
        <v>232</v>
      </c>
      <c r="E849" s="20" t="s">
        <v>562</v>
      </c>
      <c r="F849" s="20"/>
      <c r="G849" s="26">
        <f>G850+G853+G856</f>
        <v>8697.3</v>
      </c>
      <c r="H849" s="187"/>
    </row>
    <row r="850" spans="1:8" ht="31.5">
      <c r="A850" s="25" t="s">
        <v>563</v>
      </c>
      <c r="B850" s="16">
        <v>908</v>
      </c>
      <c r="C850" s="20" t="s">
        <v>251</v>
      </c>
      <c r="D850" s="20" t="s">
        <v>232</v>
      </c>
      <c r="E850" s="20" t="s">
        <v>564</v>
      </c>
      <c r="F850" s="20"/>
      <c r="G850" s="26">
        <f>G851</f>
        <v>253.4</v>
      </c>
      <c r="H850" s="187"/>
    </row>
    <row r="851" spans="1:8" ht="31.5">
      <c r="A851" s="25" t="s">
        <v>148</v>
      </c>
      <c r="B851" s="16">
        <v>908</v>
      </c>
      <c r="C851" s="20" t="s">
        <v>251</v>
      </c>
      <c r="D851" s="20" t="s">
        <v>232</v>
      </c>
      <c r="E851" s="20" t="s">
        <v>564</v>
      </c>
      <c r="F851" s="20" t="s">
        <v>149</v>
      </c>
      <c r="G851" s="26">
        <f>G852</f>
        <v>253.4</v>
      </c>
      <c r="H851" s="187"/>
    </row>
    <row r="852" spans="1:8" ht="47.25">
      <c r="A852" s="25" t="s">
        <v>150</v>
      </c>
      <c r="B852" s="16">
        <v>908</v>
      </c>
      <c r="C852" s="20" t="s">
        <v>251</v>
      </c>
      <c r="D852" s="20" t="s">
        <v>232</v>
      </c>
      <c r="E852" s="20" t="s">
        <v>564</v>
      </c>
      <c r="F852" s="20" t="s">
        <v>151</v>
      </c>
      <c r="G852" s="26">
        <v>253.4</v>
      </c>
      <c r="H852" s="187"/>
    </row>
    <row r="853" spans="1:8" ht="15.75">
      <c r="A853" s="25" t="s">
        <v>565</v>
      </c>
      <c r="B853" s="16">
        <v>908</v>
      </c>
      <c r="C853" s="20" t="s">
        <v>251</v>
      </c>
      <c r="D853" s="20" t="s">
        <v>232</v>
      </c>
      <c r="E853" s="20" t="s">
        <v>566</v>
      </c>
      <c r="F853" s="20"/>
      <c r="G853" s="26">
        <f>G854</f>
        <v>5258.6</v>
      </c>
      <c r="H853" s="187"/>
    </row>
    <row r="854" spans="1:8" ht="31.5">
      <c r="A854" s="25" t="s">
        <v>148</v>
      </c>
      <c r="B854" s="16">
        <v>908</v>
      </c>
      <c r="C854" s="20" t="s">
        <v>251</v>
      </c>
      <c r="D854" s="20" t="s">
        <v>232</v>
      </c>
      <c r="E854" s="20" t="s">
        <v>566</v>
      </c>
      <c r="F854" s="20" t="s">
        <v>149</v>
      </c>
      <c r="G854" s="26">
        <f>G855</f>
        <v>5258.6</v>
      </c>
      <c r="H854" s="187"/>
    </row>
    <row r="855" spans="1:8" ht="47.25">
      <c r="A855" s="25" t="s">
        <v>150</v>
      </c>
      <c r="B855" s="16">
        <v>908</v>
      </c>
      <c r="C855" s="20" t="s">
        <v>251</v>
      </c>
      <c r="D855" s="20" t="s">
        <v>232</v>
      </c>
      <c r="E855" s="20" t="s">
        <v>566</v>
      </c>
      <c r="F855" s="20" t="s">
        <v>151</v>
      </c>
      <c r="G855" s="26">
        <v>5258.6</v>
      </c>
      <c r="H855" s="187"/>
    </row>
    <row r="856" spans="1:8" ht="15.75">
      <c r="A856" s="25" t="s">
        <v>567</v>
      </c>
      <c r="B856" s="16">
        <v>908</v>
      </c>
      <c r="C856" s="20" t="s">
        <v>251</v>
      </c>
      <c r="D856" s="20" t="s">
        <v>232</v>
      </c>
      <c r="E856" s="20" t="s">
        <v>568</v>
      </c>
      <c r="F856" s="20"/>
      <c r="G856" s="26">
        <f>G857</f>
        <v>3185.3</v>
      </c>
      <c r="H856" s="187"/>
    </row>
    <row r="857" spans="1:8" ht="31.5">
      <c r="A857" s="25" t="s">
        <v>148</v>
      </c>
      <c r="B857" s="16">
        <v>908</v>
      </c>
      <c r="C857" s="20" t="s">
        <v>251</v>
      </c>
      <c r="D857" s="20" t="s">
        <v>232</v>
      </c>
      <c r="E857" s="20" t="s">
        <v>568</v>
      </c>
      <c r="F857" s="20" t="s">
        <v>149</v>
      </c>
      <c r="G857" s="26">
        <f>G858</f>
        <v>3185.3</v>
      </c>
      <c r="H857" s="187"/>
    </row>
    <row r="858" spans="1:8" ht="47.25">
      <c r="A858" s="25" t="s">
        <v>150</v>
      </c>
      <c r="B858" s="16">
        <v>908</v>
      </c>
      <c r="C858" s="20" t="s">
        <v>251</v>
      </c>
      <c r="D858" s="20" t="s">
        <v>232</v>
      </c>
      <c r="E858" s="20" t="s">
        <v>568</v>
      </c>
      <c r="F858" s="20" t="s">
        <v>151</v>
      </c>
      <c r="G858" s="26">
        <v>3185.3</v>
      </c>
      <c r="H858" s="187"/>
    </row>
    <row r="859" spans="1:8" ht="47.25">
      <c r="A859" s="25" t="s">
        <v>569</v>
      </c>
      <c r="B859" s="16">
        <v>908</v>
      </c>
      <c r="C859" s="20" t="s">
        <v>251</v>
      </c>
      <c r="D859" s="20" t="s">
        <v>232</v>
      </c>
      <c r="E859" s="20" t="s">
        <v>570</v>
      </c>
      <c r="F859" s="20"/>
      <c r="G859" s="26">
        <f>G860+G865+G868+G871</f>
        <v>3678.1999999999994</v>
      </c>
      <c r="H859" s="187"/>
    </row>
    <row r="860" spans="1:8" ht="15.75">
      <c r="A860" s="25" t="s">
        <v>567</v>
      </c>
      <c r="B860" s="16">
        <v>908</v>
      </c>
      <c r="C860" s="20" t="s">
        <v>251</v>
      </c>
      <c r="D860" s="20" t="s">
        <v>232</v>
      </c>
      <c r="E860" s="20" t="s">
        <v>571</v>
      </c>
      <c r="F860" s="20"/>
      <c r="G860" s="26">
        <f>G861+G863</f>
        <v>1112.3999999999999</v>
      </c>
      <c r="H860" s="187"/>
    </row>
    <row r="861" spans="1:8" ht="94.5">
      <c r="A861" s="25" t="s">
        <v>144</v>
      </c>
      <c r="B861" s="16">
        <v>908</v>
      </c>
      <c r="C861" s="20" t="s">
        <v>251</v>
      </c>
      <c r="D861" s="20" t="s">
        <v>232</v>
      </c>
      <c r="E861" s="20" t="s">
        <v>571</v>
      </c>
      <c r="F861" s="20" t="s">
        <v>145</v>
      </c>
      <c r="G861" s="26">
        <f>G862</f>
        <v>892.8</v>
      </c>
      <c r="H861" s="187"/>
    </row>
    <row r="862" spans="1:8" ht="31.5">
      <c r="A862" s="47" t="s">
        <v>359</v>
      </c>
      <c r="B862" s="16">
        <v>908</v>
      </c>
      <c r="C862" s="20" t="s">
        <v>251</v>
      </c>
      <c r="D862" s="20" t="s">
        <v>232</v>
      </c>
      <c r="E862" s="20" t="s">
        <v>571</v>
      </c>
      <c r="F862" s="20" t="s">
        <v>226</v>
      </c>
      <c r="G862" s="26">
        <f>801.5+91.3</f>
        <v>892.8</v>
      </c>
      <c r="H862" s="114"/>
    </row>
    <row r="863" spans="1:8" ht="31.5">
      <c r="A863" s="25" t="s">
        <v>148</v>
      </c>
      <c r="B863" s="16">
        <v>908</v>
      </c>
      <c r="C863" s="20" t="s">
        <v>251</v>
      </c>
      <c r="D863" s="20" t="s">
        <v>232</v>
      </c>
      <c r="E863" s="20" t="s">
        <v>571</v>
      </c>
      <c r="F863" s="20" t="s">
        <v>149</v>
      </c>
      <c r="G863" s="26">
        <f>G864</f>
        <v>219.6</v>
      </c>
      <c r="H863" s="187"/>
    </row>
    <row r="864" spans="1:8" ht="47.25">
      <c r="A864" s="25" t="s">
        <v>150</v>
      </c>
      <c r="B864" s="16">
        <v>908</v>
      </c>
      <c r="C864" s="20" t="s">
        <v>251</v>
      </c>
      <c r="D864" s="20" t="s">
        <v>232</v>
      </c>
      <c r="E864" s="20" t="s">
        <v>571</v>
      </c>
      <c r="F864" s="20" t="s">
        <v>151</v>
      </c>
      <c r="G864" s="26">
        <v>219.6</v>
      </c>
      <c r="H864" s="187"/>
    </row>
    <row r="865" spans="1:8" ht="15.75">
      <c r="A865" s="25" t="s">
        <v>572</v>
      </c>
      <c r="B865" s="16">
        <v>908</v>
      </c>
      <c r="C865" s="20" t="s">
        <v>251</v>
      </c>
      <c r="D865" s="20" t="s">
        <v>232</v>
      </c>
      <c r="E865" s="20" t="s">
        <v>573</v>
      </c>
      <c r="F865" s="20"/>
      <c r="G865" s="26">
        <f>G866</f>
        <v>86.6</v>
      </c>
      <c r="H865" s="187"/>
    </row>
    <row r="866" spans="1:8" ht="31.5">
      <c r="A866" s="25" t="s">
        <v>148</v>
      </c>
      <c r="B866" s="16">
        <v>908</v>
      </c>
      <c r="C866" s="20" t="s">
        <v>251</v>
      </c>
      <c r="D866" s="20" t="s">
        <v>232</v>
      </c>
      <c r="E866" s="20" t="s">
        <v>573</v>
      </c>
      <c r="F866" s="20" t="s">
        <v>149</v>
      </c>
      <c r="G866" s="26">
        <f>G867</f>
        <v>86.6</v>
      </c>
      <c r="H866" s="187"/>
    </row>
    <row r="867" spans="1:8" ht="47.25">
      <c r="A867" s="25" t="s">
        <v>150</v>
      </c>
      <c r="B867" s="16">
        <v>908</v>
      </c>
      <c r="C867" s="20" t="s">
        <v>251</v>
      </c>
      <c r="D867" s="20" t="s">
        <v>232</v>
      </c>
      <c r="E867" s="20" t="s">
        <v>573</v>
      </c>
      <c r="F867" s="20" t="s">
        <v>151</v>
      </c>
      <c r="G867" s="26">
        <v>86.6</v>
      </c>
      <c r="H867" s="187"/>
    </row>
    <row r="868" spans="1:8" ht="47.25">
      <c r="A868" s="46" t="s">
        <v>574</v>
      </c>
      <c r="B868" s="16">
        <v>908</v>
      </c>
      <c r="C868" s="20" t="s">
        <v>251</v>
      </c>
      <c r="D868" s="20" t="s">
        <v>232</v>
      </c>
      <c r="E868" s="20" t="s">
        <v>575</v>
      </c>
      <c r="F868" s="20"/>
      <c r="G868" s="26">
        <f>G869</f>
        <v>2130.6</v>
      </c>
      <c r="H868" s="187"/>
    </row>
    <row r="869" spans="1:8" ht="31.5">
      <c r="A869" s="25" t="s">
        <v>148</v>
      </c>
      <c r="B869" s="16">
        <v>908</v>
      </c>
      <c r="C869" s="20" t="s">
        <v>251</v>
      </c>
      <c r="D869" s="20" t="s">
        <v>232</v>
      </c>
      <c r="E869" s="20" t="s">
        <v>575</v>
      </c>
      <c r="F869" s="20" t="s">
        <v>149</v>
      </c>
      <c r="G869" s="26">
        <f>G870</f>
        <v>2130.6</v>
      </c>
      <c r="H869" s="187"/>
    </row>
    <row r="870" spans="1:8" ht="47.25">
      <c r="A870" s="25" t="s">
        <v>150</v>
      </c>
      <c r="B870" s="16">
        <v>908</v>
      </c>
      <c r="C870" s="20" t="s">
        <v>251</v>
      </c>
      <c r="D870" s="20" t="s">
        <v>232</v>
      </c>
      <c r="E870" s="20" t="s">
        <v>575</v>
      </c>
      <c r="F870" s="20" t="s">
        <v>151</v>
      </c>
      <c r="G870" s="26">
        <v>2130.6</v>
      </c>
      <c r="H870" s="187"/>
    </row>
    <row r="871" spans="1:8" ht="31.5">
      <c r="A871" s="46" t="s">
        <v>576</v>
      </c>
      <c r="B871" s="16">
        <v>908</v>
      </c>
      <c r="C871" s="20" t="s">
        <v>251</v>
      </c>
      <c r="D871" s="20" t="s">
        <v>232</v>
      </c>
      <c r="E871" s="20" t="s">
        <v>577</v>
      </c>
      <c r="F871" s="20"/>
      <c r="G871" s="26">
        <f>G872</f>
        <v>348.6</v>
      </c>
      <c r="H871" s="187"/>
    </row>
    <row r="872" spans="1:8" ht="31.5">
      <c r="A872" s="25" t="s">
        <v>148</v>
      </c>
      <c r="B872" s="16">
        <v>908</v>
      </c>
      <c r="C872" s="20" t="s">
        <v>251</v>
      </c>
      <c r="D872" s="20" t="s">
        <v>232</v>
      </c>
      <c r="E872" s="20" t="s">
        <v>577</v>
      </c>
      <c r="F872" s="20" t="s">
        <v>149</v>
      </c>
      <c r="G872" s="26">
        <f>G873</f>
        <v>348.6</v>
      </c>
      <c r="H872" s="187"/>
    </row>
    <row r="873" spans="1:8" ht="47.25">
      <c r="A873" s="25" t="s">
        <v>150</v>
      </c>
      <c r="B873" s="16">
        <v>908</v>
      </c>
      <c r="C873" s="20" t="s">
        <v>251</v>
      </c>
      <c r="D873" s="20" t="s">
        <v>232</v>
      </c>
      <c r="E873" s="20" t="s">
        <v>577</v>
      </c>
      <c r="F873" s="20" t="s">
        <v>151</v>
      </c>
      <c r="G873" s="26">
        <v>348.6</v>
      </c>
      <c r="H873" s="187"/>
    </row>
    <row r="874" spans="1:8" ht="63">
      <c r="A874" s="25" t="s">
        <v>734</v>
      </c>
      <c r="B874" s="16">
        <v>908</v>
      </c>
      <c r="C874" s="20" t="s">
        <v>251</v>
      </c>
      <c r="D874" s="20" t="s">
        <v>232</v>
      </c>
      <c r="E874" s="20" t="s">
        <v>736</v>
      </c>
      <c r="F874" s="20"/>
      <c r="G874" s="26">
        <f>G875</f>
        <v>600</v>
      </c>
      <c r="H874" s="187"/>
    </row>
    <row r="875" spans="1:8" ht="31.5">
      <c r="A875" s="86" t="s">
        <v>735</v>
      </c>
      <c r="B875" s="16">
        <v>908</v>
      </c>
      <c r="C875" s="20" t="s">
        <v>251</v>
      </c>
      <c r="D875" s="20" t="s">
        <v>232</v>
      </c>
      <c r="E875" s="20" t="s">
        <v>737</v>
      </c>
      <c r="F875" s="20"/>
      <c r="G875" s="26">
        <f>G876</f>
        <v>600</v>
      </c>
      <c r="H875" s="187"/>
    </row>
    <row r="876" spans="1:8" ht="31.5">
      <c r="A876" s="25" t="s">
        <v>148</v>
      </c>
      <c r="B876" s="16">
        <v>908</v>
      </c>
      <c r="C876" s="20" t="s">
        <v>251</v>
      </c>
      <c r="D876" s="20" t="s">
        <v>232</v>
      </c>
      <c r="E876" s="20" t="s">
        <v>737</v>
      </c>
      <c r="F876" s="20" t="s">
        <v>149</v>
      </c>
      <c r="G876" s="26">
        <f>G877</f>
        <v>600</v>
      </c>
      <c r="H876" s="187"/>
    </row>
    <row r="877" spans="1:8" ht="47.25">
      <c r="A877" s="25" t="s">
        <v>150</v>
      </c>
      <c r="B877" s="16">
        <v>908</v>
      </c>
      <c r="C877" s="20" t="s">
        <v>251</v>
      </c>
      <c r="D877" s="20" t="s">
        <v>232</v>
      </c>
      <c r="E877" s="20" t="s">
        <v>737</v>
      </c>
      <c r="F877" s="20" t="s">
        <v>151</v>
      </c>
      <c r="G877" s="26">
        <v>600</v>
      </c>
      <c r="H877" s="114"/>
    </row>
    <row r="878" spans="1:8" ht="15.75">
      <c r="A878" s="25" t="s">
        <v>138</v>
      </c>
      <c r="B878" s="16">
        <v>908</v>
      </c>
      <c r="C878" s="20" t="s">
        <v>251</v>
      </c>
      <c r="D878" s="20" t="s">
        <v>232</v>
      </c>
      <c r="E878" s="20" t="s">
        <v>139</v>
      </c>
      <c r="F878" s="20"/>
      <c r="G878" s="26">
        <f>G879+G892</f>
        <v>12489.099999999999</v>
      </c>
      <c r="H878" s="187"/>
    </row>
    <row r="879" spans="1:8" ht="31.5">
      <c r="A879" s="25" t="s">
        <v>202</v>
      </c>
      <c r="B879" s="16">
        <v>908</v>
      </c>
      <c r="C879" s="20" t="s">
        <v>251</v>
      </c>
      <c r="D879" s="20" t="s">
        <v>232</v>
      </c>
      <c r="E879" s="20" t="s">
        <v>203</v>
      </c>
      <c r="F879" s="20"/>
      <c r="G879" s="26">
        <f>G880+G883+G886+G889</f>
        <v>12033.199999999999</v>
      </c>
      <c r="H879" s="187"/>
    </row>
    <row r="880" spans="1:8" ht="31.5">
      <c r="A880" s="25" t="s">
        <v>578</v>
      </c>
      <c r="B880" s="16">
        <v>908</v>
      </c>
      <c r="C880" s="20" t="s">
        <v>251</v>
      </c>
      <c r="D880" s="20" t="s">
        <v>232</v>
      </c>
      <c r="E880" s="20" t="s">
        <v>579</v>
      </c>
      <c r="F880" s="20"/>
      <c r="G880" s="26">
        <f>G881</f>
        <v>6302.4</v>
      </c>
      <c r="H880" s="187"/>
    </row>
    <row r="881" spans="1:8" ht="31.5">
      <c r="A881" s="25" t="s">
        <v>148</v>
      </c>
      <c r="B881" s="16">
        <v>908</v>
      </c>
      <c r="C881" s="20" t="s">
        <v>251</v>
      </c>
      <c r="D881" s="20" t="s">
        <v>232</v>
      </c>
      <c r="E881" s="20" t="s">
        <v>579</v>
      </c>
      <c r="F881" s="20" t="s">
        <v>149</v>
      </c>
      <c r="G881" s="26">
        <f>G882</f>
        <v>6302.4</v>
      </c>
      <c r="H881" s="187"/>
    </row>
    <row r="882" spans="1:9" ht="47.25">
      <c r="A882" s="25" t="s">
        <v>150</v>
      </c>
      <c r="B882" s="16">
        <v>908</v>
      </c>
      <c r="C882" s="20" t="s">
        <v>251</v>
      </c>
      <c r="D882" s="20" t="s">
        <v>232</v>
      </c>
      <c r="E882" s="20" t="s">
        <v>579</v>
      </c>
      <c r="F882" s="20" t="s">
        <v>151</v>
      </c>
      <c r="G882" s="26">
        <f>3907.3-814.9+3210</f>
        <v>6302.4</v>
      </c>
      <c r="H882" s="114"/>
      <c r="I882" s="123"/>
    </row>
    <row r="883" spans="1:8" ht="47.25">
      <c r="A883" s="25" t="s">
        <v>708</v>
      </c>
      <c r="B883" s="16">
        <v>908</v>
      </c>
      <c r="C883" s="20" t="s">
        <v>251</v>
      </c>
      <c r="D883" s="20" t="s">
        <v>232</v>
      </c>
      <c r="E883" s="20" t="s">
        <v>709</v>
      </c>
      <c r="F883" s="20"/>
      <c r="G883" s="26">
        <f>G884</f>
        <v>2132</v>
      </c>
      <c r="H883" s="187"/>
    </row>
    <row r="884" spans="1:8" ht="31.5">
      <c r="A884" s="25" t="s">
        <v>148</v>
      </c>
      <c r="B884" s="16">
        <v>908</v>
      </c>
      <c r="C884" s="20" t="s">
        <v>251</v>
      </c>
      <c r="D884" s="20" t="s">
        <v>232</v>
      </c>
      <c r="E884" s="20" t="s">
        <v>709</v>
      </c>
      <c r="F884" s="20" t="s">
        <v>149</v>
      </c>
      <c r="G884" s="26">
        <f>G885</f>
        <v>2132</v>
      </c>
      <c r="H884" s="187"/>
    </row>
    <row r="885" spans="1:8" ht="47.25">
      <c r="A885" s="25" t="s">
        <v>150</v>
      </c>
      <c r="B885" s="16">
        <v>908</v>
      </c>
      <c r="C885" s="20" t="s">
        <v>251</v>
      </c>
      <c r="D885" s="20" t="s">
        <v>232</v>
      </c>
      <c r="E885" s="20" t="s">
        <v>709</v>
      </c>
      <c r="F885" s="20" t="s">
        <v>151</v>
      </c>
      <c r="G885" s="26">
        <v>2132</v>
      </c>
      <c r="H885" s="114"/>
    </row>
    <row r="886" spans="1:8" ht="47.25">
      <c r="A886" s="25" t="s">
        <v>710</v>
      </c>
      <c r="B886" s="16">
        <v>908</v>
      </c>
      <c r="C886" s="20" t="s">
        <v>251</v>
      </c>
      <c r="D886" s="20" t="s">
        <v>232</v>
      </c>
      <c r="E886" s="20" t="s">
        <v>580</v>
      </c>
      <c r="F886" s="20"/>
      <c r="G886" s="26">
        <f>G887</f>
        <v>2000</v>
      </c>
      <c r="H886" s="187"/>
    </row>
    <row r="887" spans="1:8" ht="31.5">
      <c r="A887" s="25" t="s">
        <v>148</v>
      </c>
      <c r="B887" s="16">
        <v>908</v>
      </c>
      <c r="C887" s="20" t="s">
        <v>251</v>
      </c>
      <c r="D887" s="20" t="s">
        <v>232</v>
      </c>
      <c r="E887" s="20" t="s">
        <v>580</v>
      </c>
      <c r="F887" s="20" t="s">
        <v>149</v>
      </c>
      <c r="G887" s="26">
        <f>G888</f>
        <v>2000</v>
      </c>
      <c r="H887" s="187"/>
    </row>
    <row r="888" spans="1:8" ht="47.25">
      <c r="A888" s="25" t="s">
        <v>150</v>
      </c>
      <c r="B888" s="16">
        <v>908</v>
      </c>
      <c r="C888" s="20" t="s">
        <v>251</v>
      </c>
      <c r="D888" s="20" t="s">
        <v>232</v>
      </c>
      <c r="E888" s="20" t="s">
        <v>580</v>
      </c>
      <c r="F888" s="20" t="s">
        <v>151</v>
      </c>
      <c r="G888" s="26">
        <v>2000</v>
      </c>
      <c r="H888" s="114"/>
    </row>
    <row r="889" spans="1:8" ht="63">
      <c r="A889" s="25" t="s">
        <v>711</v>
      </c>
      <c r="B889" s="16">
        <v>908</v>
      </c>
      <c r="C889" s="20" t="s">
        <v>251</v>
      </c>
      <c r="D889" s="20" t="s">
        <v>232</v>
      </c>
      <c r="E889" s="20" t="s">
        <v>712</v>
      </c>
      <c r="F889" s="20"/>
      <c r="G889" s="26">
        <f>G890</f>
        <v>1598.8</v>
      </c>
      <c r="H889" s="116"/>
    </row>
    <row r="890" spans="1:8" ht="31.5">
      <c r="A890" s="25" t="s">
        <v>148</v>
      </c>
      <c r="B890" s="16">
        <v>908</v>
      </c>
      <c r="C890" s="20" t="s">
        <v>251</v>
      </c>
      <c r="D890" s="20" t="s">
        <v>232</v>
      </c>
      <c r="E890" s="20" t="s">
        <v>712</v>
      </c>
      <c r="F890" s="20" t="s">
        <v>149</v>
      </c>
      <c r="G890" s="26">
        <f>G891</f>
        <v>1598.8</v>
      </c>
      <c r="H890" s="116"/>
    </row>
    <row r="891" spans="1:8" ht="47.25">
      <c r="A891" s="25" t="s">
        <v>150</v>
      </c>
      <c r="B891" s="16">
        <v>908</v>
      </c>
      <c r="C891" s="20" t="s">
        <v>251</v>
      </c>
      <c r="D891" s="20" t="s">
        <v>232</v>
      </c>
      <c r="E891" s="20" t="s">
        <v>712</v>
      </c>
      <c r="F891" s="20" t="s">
        <v>151</v>
      </c>
      <c r="G891" s="26">
        <v>1598.8</v>
      </c>
      <c r="H891" s="116"/>
    </row>
    <row r="892" spans="1:8" ht="15.75">
      <c r="A892" s="25" t="s">
        <v>158</v>
      </c>
      <c r="B892" s="16">
        <v>908</v>
      </c>
      <c r="C892" s="20" t="s">
        <v>251</v>
      </c>
      <c r="D892" s="20" t="s">
        <v>232</v>
      </c>
      <c r="E892" s="20" t="s">
        <v>159</v>
      </c>
      <c r="F892" s="20"/>
      <c r="G892" s="26">
        <f>G893</f>
        <v>455.9</v>
      </c>
      <c r="H892" s="187"/>
    </row>
    <row r="893" spans="1:8" ht="15.75">
      <c r="A893" s="25" t="s">
        <v>581</v>
      </c>
      <c r="B893" s="16">
        <v>908</v>
      </c>
      <c r="C893" s="20" t="s">
        <v>251</v>
      </c>
      <c r="D893" s="20" t="s">
        <v>232</v>
      </c>
      <c r="E893" s="20" t="s">
        <v>582</v>
      </c>
      <c r="F893" s="20"/>
      <c r="G893" s="26">
        <f>G894</f>
        <v>455.9</v>
      </c>
      <c r="H893" s="187"/>
    </row>
    <row r="894" spans="1:8" ht="31.5">
      <c r="A894" s="25" t="s">
        <v>148</v>
      </c>
      <c r="B894" s="16">
        <v>908</v>
      </c>
      <c r="C894" s="20" t="s">
        <v>251</v>
      </c>
      <c r="D894" s="20" t="s">
        <v>232</v>
      </c>
      <c r="E894" s="20" t="s">
        <v>582</v>
      </c>
      <c r="F894" s="20" t="s">
        <v>149</v>
      </c>
      <c r="G894" s="26">
        <f>G895</f>
        <v>455.9</v>
      </c>
      <c r="H894" s="187"/>
    </row>
    <row r="895" spans="1:8" ht="47.25">
      <c r="A895" s="25" t="s">
        <v>150</v>
      </c>
      <c r="B895" s="16">
        <v>908</v>
      </c>
      <c r="C895" s="20" t="s">
        <v>251</v>
      </c>
      <c r="D895" s="20" t="s">
        <v>232</v>
      </c>
      <c r="E895" s="20" t="s">
        <v>582</v>
      </c>
      <c r="F895" s="20" t="s">
        <v>151</v>
      </c>
      <c r="G895" s="27">
        <v>455.9</v>
      </c>
      <c r="H895" s="187"/>
    </row>
    <row r="896" spans="1:8" ht="15.75" hidden="1">
      <c r="A896" s="25" t="s">
        <v>583</v>
      </c>
      <c r="B896" s="16">
        <v>908</v>
      </c>
      <c r="C896" s="20" t="s">
        <v>251</v>
      </c>
      <c r="D896" s="20" t="s">
        <v>232</v>
      </c>
      <c r="E896" s="20" t="s">
        <v>584</v>
      </c>
      <c r="F896" s="20"/>
      <c r="G896" s="27">
        <f>G897</f>
        <v>0</v>
      </c>
      <c r="H896" s="187"/>
    </row>
    <row r="897" spans="1:8" ht="15.75" hidden="1">
      <c r="A897" s="25" t="s">
        <v>152</v>
      </c>
      <c r="B897" s="16">
        <v>908</v>
      </c>
      <c r="C897" s="20" t="s">
        <v>251</v>
      </c>
      <c r="D897" s="20" t="s">
        <v>232</v>
      </c>
      <c r="E897" s="20" t="s">
        <v>584</v>
      </c>
      <c r="F897" s="20" t="s">
        <v>162</v>
      </c>
      <c r="G897" s="27">
        <f>G898</f>
        <v>0</v>
      </c>
      <c r="H897" s="187"/>
    </row>
    <row r="898" spans="1:8" ht="15.75" hidden="1">
      <c r="A898" s="25" t="s">
        <v>585</v>
      </c>
      <c r="B898" s="16">
        <v>908</v>
      </c>
      <c r="C898" s="20" t="s">
        <v>251</v>
      </c>
      <c r="D898" s="20" t="s">
        <v>232</v>
      </c>
      <c r="E898" s="20" t="s">
        <v>584</v>
      </c>
      <c r="F898" s="20" t="s">
        <v>155</v>
      </c>
      <c r="G898" s="27">
        <v>0</v>
      </c>
      <c r="H898" s="187"/>
    </row>
    <row r="899" spans="1:8" ht="31.5">
      <c r="A899" s="23" t="s">
        <v>586</v>
      </c>
      <c r="B899" s="19">
        <v>908</v>
      </c>
      <c r="C899" s="24" t="s">
        <v>251</v>
      </c>
      <c r="D899" s="24" t="s">
        <v>251</v>
      </c>
      <c r="E899" s="24"/>
      <c r="F899" s="24"/>
      <c r="G899" s="21">
        <f>G900</f>
        <v>21124.69</v>
      </c>
      <c r="H899" s="187"/>
    </row>
    <row r="900" spans="1:8" ht="15.75">
      <c r="A900" s="25" t="s">
        <v>138</v>
      </c>
      <c r="B900" s="16">
        <v>908</v>
      </c>
      <c r="C900" s="20" t="s">
        <v>251</v>
      </c>
      <c r="D900" s="20" t="s">
        <v>251</v>
      </c>
      <c r="E900" s="20" t="s">
        <v>139</v>
      </c>
      <c r="F900" s="20"/>
      <c r="G900" s="26">
        <f>G901+G909</f>
        <v>21124.69</v>
      </c>
      <c r="H900" s="187"/>
    </row>
    <row r="901" spans="1:8" ht="31.5">
      <c r="A901" s="25" t="s">
        <v>140</v>
      </c>
      <c r="B901" s="16">
        <v>908</v>
      </c>
      <c r="C901" s="20" t="s">
        <v>251</v>
      </c>
      <c r="D901" s="20" t="s">
        <v>251</v>
      </c>
      <c r="E901" s="20" t="s">
        <v>141</v>
      </c>
      <c r="F901" s="20"/>
      <c r="G901" s="26">
        <f>G902</f>
        <v>13501.699999999999</v>
      </c>
      <c r="H901" s="187"/>
    </row>
    <row r="902" spans="1:8" ht="47.25">
      <c r="A902" s="25" t="s">
        <v>142</v>
      </c>
      <c r="B902" s="16">
        <v>908</v>
      </c>
      <c r="C902" s="20" t="s">
        <v>251</v>
      </c>
      <c r="D902" s="20" t="s">
        <v>251</v>
      </c>
      <c r="E902" s="20" t="s">
        <v>143</v>
      </c>
      <c r="F902" s="20"/>
      <c r="G902" s="26">
        <f>G903+G907+G905</f>
        <v>13501.699999999999</v>
      </c>
      <c r="H902" s="187"/>
    </row>
    <row r="903" spans="1:8" ht="94.5">
      <c r="A903" s="25" t="s">
        <v>144</v>
      </c>
      <c r="B903" s="16">
        <v>908</v>
      </c>
      <c r="C903" s="20" t="s">
        <v>251</v>
      </c>
      <c r="D903" s="20" t="s">
        <v>251</v>
      </c>
      <c r="E903" s="20" t="s">
        <v>143</v>
      </c>
      <c r="F903" s="20" t="s">
        <v>145</v>
      </c>
      <c r="G903" s="26">
        <f>G904</f>
        <v>13327.8</v>
      </c>
      <c r="H903" s="187"/>
    </row>
    <row r="904" spans="1:10" ht="31.5">
      <c r="A904" s="25" t="s">
        <v>146</v>
      </c>
      <c r="B904" s="16">
        <v>908</v>
      </c>
      <c r="C904" s="20" t="s">
        <v>251</v>
      </c>
      <c r="D904" s="20" t="s">
        <v>251</v>
      </c>
      <c r="E904" s="20" t="s">
        <v>143</v>
      </c>
      <c r="F904" s="20" t="s">
        <v>147</v>
      </c>
      <c r="G904" s="176">
        <f>13259.3+28.4+100-59.9</f>
        <v>13327.8</v>
      </c>
      <c r="H904" s="114" t="s">
        <v>772</v>
      </c>
      <c r="I904" s="133"/>
      <c r="J904" s="181" t="s">
        <v>779</v>
      </c>
    </row>
    <row r="905" spans="1:8" ht="31.5">
      <c r="A905" s="25" t="s">
        <v>148</v>
      </c>
      <c r="B905" s="16">
        <v>908</v>
      </c>
      <c r="C905" s="20" t="s">
        <v>251</v>
      </c>
      <c r="D905" s="20" t="s">
        <v>251</v>
      </c>
      <c r="E905" s="20" t="s">
        <v>143</v>
      </c>
      <c r="F905" s="20" t="s">
        <v>149</v>
      </c>
      <c r="G905" s="26">
        <f>G906</f>
        <v>25</v>
      </c>
      <c r="H905" s="187"/>
    </row>
    <row r="906" spans="1:9" ht="47.25">
      <c r="A906" s="25" t="s">
        <v>150</v>
      </c>
      <c r="B906" s="16">
        <v>908</v>
      </c>
      <c r="C906" s="20" t="s">
        <v>251</v>
      </c>
      <c r="D906" s="20" t="s">
        <v>251</v>
      </c>
      <c r="E906" s="20" t="s">
        <v>143</v>
      </c>
      <c r="F906" s="20" t="s">
        <v>151</v>
      </c>
      <c r="G906" s="27">
        <v>25</v>
      </c>
      <c r="H906" s="114"/>
      <c r="I906" s="133"/>
    </row>
    <row r="907" spans="1:8" ht="15.75">
      <c r="A907" s="25" t="s">
        <v>152</v>
      </c>
      <c r="B907" s="16">
        <v>908</v>
      </c>
      <c r="C907" s="20" t="s">
        <v>251</v>
      </c>
      <c r="D907" s="20" t="s">
        <v>251</v>
      </c>
      <c r="E907" s="20" t="s">
        <v>143</v>
      </c>
      <c r="F907" s="20" t="s">
        <v>162</v>
      </c>
      <c r="G907" s="26">
        <f>G908</f>
        <v>148.9</v>
      </c>
      <c r="H907" s="187"/>
    </row>
    <row r="908" spans="1:8" ht="15.75">
      <c r="A908" s="25" t="s">
        <v>585</v>
      </c>
      <c r="B908" s="16">
        <v>908</v>
      </c>
      <c r="C908" s="20" t="s">
        <v>251</v>
      </c>
      <c r="D908" s="20" t="s">
        <v>251</v>
      </c>
      <c r="E908" s="20" t="s">
        <v>143</v>
      </c>
      <c r="F908" s="20" t="s">
        <v>155</v>
      </c>
      <c r="G908" s="172">
        <f>89+59.9</f>
        <v>148.9</v>
      </c>
      <c r="H908" s="167" t="s">
        <v>771</v>
      </c>
    </row>
    <row r="909" spans="1:8" ht="15.75">
      <c r="A909" s="25" t="s">
        <v>158</v>
      </c>
      <c r="B909" s="16">
        <v>908</v>
      </c>
      <c r="C909" s="20" t="s">
        <v>251</v>
      </c>
      <c r="D909" s="20" t="s">
        <v>251</v>
      </c>
      <c r="E909" s="20" t="s">
        <v>159</v>
      </c>
      <c r="F909" s="20"/>
      <c r="G909" s="26">
        <f>G913+G910</f>
        <v>7622.99</v>
      </c>
      <c r="H909" s="187"/>
    </row>
    <row r="910" spans="1:8" ht="31.5">
      <c r="A910" s="25" t="s">
        <v>587</v>
      </c>
      <c r="B910" s="16">
        <v>908</v>
      </c>
      <c r="C910" s="20" t="s">
        <v>251</v>
      </c>
      <c r="D910" s="20" t="s">
        <v>251</v>
      </c>
      <c r="E910" s="20" t="s">
        <v>588</v>
      </c>
      <c r="F910" s="20"/>
      <c r="G910" s="27">
        <f>G911</f>
        <v>1461</v>
      </c>
      <c r="H910" s="187"/>
    </row>
    <row r="911" spans="1:8" ht="15.75">
      <c r="A911" s="25" t="s">
        <v>152</v>
      </c>
      <c r="B911" s="16">
        <v>908</v>
      </c>
      <c r="C911" s="20" t="s">
        <v>251</v>
      </c>
      <c r="D911" s="20" t="s">
        <v>251</v>
      </c>
      <c r="E911" s="20" t="s">
        <v>588</v>
      </c>
      <c r="F911" s="20" t="s">
        <v>162</v>
      </c>
      <c r="G911" s="27">
        <f>G912</f>
        <v>1461</v>
      </c>
      <c r="H911" s="187"/>
    </row>
    <row r="912" spans="1:8" ht="63">
      <c r="A912" s="25" t="s">
        <v>201</v>
      </c>
      <c r="B912" s="16">
        <v>908</v>
      </c>
      <c r="C912" s="20" t="s">
        <v>251</v>
      </c>
      <c r="D912" s="20" t="s">
        <v>251</v>
      </c>
      <c r="E912" s="20" t="s">
        <v>588</v>
      </c>
      <c r="F912" s="20" t="s">
        <v>177</v>
      </c>
      <c r="G912" s="27">
        <v>1461</v>
      </c>
      <c r="H912" s="187"/>
    </row>
    <row r="913" spans="1:8" ht="31.5">
      <c r="A913" s="25" t="s">
        <v>357</v>
      </c>
      <c r="B913" s="16">
        <v>908</v>
      </c>
      <c r="C913" s="20" t="s">
        <v>251</v>
      </c>
      <c r="D913" s="20" t="s">
        <v>251</v>
      </c>
      <c r="E913" s="20" t="s">
        <v>358</v>
      </c>
      <c r="F913" s="20"/>
      <c r="G913" s="26">
        <f>G914+G916</f>
        <v>6161.99</v>
      </c>
      <c r="H913" s="187"/>
    </row>
    <row r="914" spans="1:8" ht="94.5">
      <c r="A914" s="25" t="s">
        <v>144</v>
      </c>
      <c r="B914" s="16">
        <v>908</v>
      </c>
      <c r="C914" s="20" t="s">
        <v>251</v>
      </c>
      <c r="D914" s="20" t="s">
        <v>251</v>
      </c>
      <c r="E914" s="20" t="s">
        <v>358</v>
      </c>
      <c r="F914" s="20" t="s">
        <v>145</v>
      </c>
      <c r="G914" s="26">
        <f>G915</f>
        <v>4505.49</v>
      </c>
      <c r="H914" s="187"/>
    </row>
    <row r="915" spans="1:10" ht="31.5">
      <c r="A915" s="25" t="s">
        <v>359</v>
      </c>
      <c r="B915" s="16">
        <v>908</v>
      </c>
      <c r="C915" s="20" t="s">
        <v>251</v>
      </c>
      <c r="D915" s="20" t="s">
        <v>251</v>
      </c>
      <c r="E915" s="20" t="s">
        <v>358</v>
      </c>
      <c r="F915" s="20" t="s">
        <v>226</v>
      </c>
      <c r="G915" s="166">
        <f>6196.89-1411.4-100-180</f>
        <v>4505.49</v>
      </c>
      <c r="H915" s="114" t="s">
        <v>785</v>
      </c>
      <c r="I915" s="133"/>
      <c r="J915" s="180" t="s">
        <v>784</v>
      </c>
    </row>
    <row r="916" spans="1:8" ht="31.5">
      <c r="A916" s="25" t="s">
        <v>148</v>
      </c>
      <c r="B916" s="16">
        <v>908</v>
      </c>
      <c r="C916" s="20" t="s">
        <v>251</v>
      </c>
      <c r="D916" s="20" t="s">
        <v>251</v>
      </c>
      <c r="E916" s="20" t="s">
        <v>358</v>
      </c>
      <c r="F916" s="20" t="s">
        <v>149</v>
      </c>
      <c r="G916" s="26">
        <f>G917</f>
        <v>1656.5</v>
      </c>
      <c r="H916" s="187"/>
    </row>
    <row r="917" spans="1:10" ht="47.25">
      <c r="A917" s="25" t="s">
        <v>150</v>
      </c>
      <c r="B917" s="16">
        <v>908</v>
      </c>
      <c r="C917" s="20" t="s">
        <v>251</v>
      </c>
      <c r="D917" s="20" t="s">
        <v>251</v>
      </c>
      <c r="E917" s="20" t="s">
        <v>358</v>
      </c>
      <c r="F917" s="20" t="s">
        <v>151</v>
      </c>
      <c r="G917" s="166">
        <f>1341.9+928.5-198.8-595.1+180</f>
        <v>1656.5</v>
      </c>
      <c r="H917" s="114" t="s">
        <v>786</v>
      </c>
      <c r="I917" s="134"/>
      <c r="J917" s="180"/>
    </row>
    <row r="918" spans="1:8" ht="15.75">
      <c r="A918" s="23" t="s">
        <v>260</v>
      </c>
      <c r="B918" s="19">
        <v>908</v>
      </c>
      <c r="C918" s="24" t="s">
        <v>261</v>
      </c>
      <c r="D918" s="24"/>
      <c r="E918" s="24"/>
      <c r="F918" s="24"/>
      <c r="G918" s="21">
        <f aca="true" t="shared" si="5" ref="G918:G923">G919</f>
        <v>87.1</v>
      </c>
      <c r="H918" s="187"/>
    </row>
    <row r="919" spans="1:8" ht="31.5">
      <c r="A919" s="23" t="s">
        <v>275</v>
      </c>
      <c r="B919" s="19">
        <v>908</v>
      </c>
      <c r="C919" s="24" t="s">
        <v>261</v>
      </c>
      <c r="D919" s="24" t="s">
        <v>137</v>
      </c>
      <c r="E919" s="24"/>
      <c r="F919" s="24"/>
      <c r="G919" s="21">
        <f t="shared" si="5"/>
        <v>87.1</v>
      </c>
      <c r="H919" s="187"/>
    </row>
    <row r="920" spans="1:8" ht="15.75">
      <c r="A920" s="25" t="s">
        <v>138</v>
      </c>
      <c r="B920" s="16">
        <v>908</v>
      </c>
      <c r="C920" s="20" t="s">
        <v>261</v>
      </c>
      <c r="D920" s="20" t="s">
        <v>137</v>
      </c>
      <c r="E920" s="20" t="s">
        <v>139</v>
      </c>
      <c r="F920" s="20"/>
      <c r="G920" s="21">
        <f t="shared" si="5"/>
        <v>87.1</v>
      </c>
      <c r="H920" s="187"/>
    </row>
    <row r="921" spans="1:8" ht="15.75">
      <c r="A921" s="25" t="s">
        <v>158</v>
      </c>
      <c r="B921" s="16">
        <v>908</v>
      </c>
      <c r="C921" s="20" t="s">
        <v>261</v>
      </c>
      <c r="D921" s="20" t="s">
        <v>137</v>
      </c>
      <c r="E921" s="20" t="s">
        <v>159</v>
      </c>
      <c r="F921" s="20"/>
      <c r="G921" s="26">
        <f t="shared" si="5"/>
        <v>87.1</v>
      </c>
      <c r="H921" s="187"/>
    </row>
    <row r="922" spans="1:8" ht="15.75">
      <c r="A922" s="25" t="s">
        <v>589</v>
      </c>
      <c r="B922" s="16">
        <v>908</v>
      </c>
      <c r="C922" s="20" t="s">
        <v>261</v>
      </c>
      <c r="D922" s="20" t="s">
        <v>137</v>
      </c>
      <c r="E922" s="20" t="s">
        <v>590</v>
      </c>
      <c r="F922" s="20"/>
      <c r="G922" s="26">
        <f t="shared" si="5"/>
        <v>87.1</v>
      </c>
      <c r="H922" s="187"/>
    </row>
    <row r="923" spans="1:8" ht="15.75">
      <c r="A923" s="25" t="s">
        <v>152</v>
      </c>
      <c r="B923" s="16">
        <v>908</v>
      </c>
      <c r="C923" s="20" t="s">
        <v>261</v>
      </c>
      <c r="D923" s="20" t="s">
        <v>137</v>
      </c>
      <c r="E923" s="20" t="s">
        <v>590</v>
      </c>
      <c r="F923" s="20" t="s">
        <v>162</v>
      </c>
      <c r="G923" s="26">
        <f t="shared" si="5"/>
        <v>87.1</v>
      </c>
      <c r="H923" s="187"/>
    </row>
    <row r="924" spans="1:8" ht="63">
      <c r="A924" s="25" t="s">
        <v>201</v>
      </c>
      <c r="B924" s="16">
        <v>908</v>
      </c>
      <c r="C924" s="20" t="s">
        <v>261</v>
      </c>
      <c r="D924" s="20" t="s">
        <v>137</v>
      </c>
      <c r="E924" s="20" t="s">
        <v>590</v>
      </c>
      <c r="F924" s="20" t="s">
        <v>177</v>
      </c>
      <c r="G924" s="26">
        <v>87.1</v>
      </c>
      <c r="H924" s="187"/>
    </row>
    <row r="925" spans="1:8" ht="31.5">
      <c r="A925" s="19" t="s">
        <v>591</v>
      </c>
      <c r="B925" s="19">
        <v>910</v>
      </c>
      <c r="C925" s="48"/>
      <c r="D925" s="48"/>
      <c r="E925" s="48"/>
      <c r="F925" s="48"/>
      <c r="G925" s="21">
        <f>G926</f>
        <v>7042.5</v>
      </c>
      <c r="H925" s="187"/>
    </row>
    <row r="926" spans="1:8" ht="15.75">
      <c r="A926" s="23" t="s">
        <v>134</v>
      </c>
      <c r="B926" s="19">
        <v>910</v>
      </c>
      <c r="C926" s="24" t="s">
        <v>135</v>
      </c>
      <c r="D926" s="24"/>
      <c r="E926" s="24"/>
      <c r="F926" s="24"/>
      <c r="G926" s="21">
        <f>G927+G935+G945+G953</f>
        <v>7042.5</v>
      </c>
      <c r="H926" s="187"/>
    </row>
    <row r="927" spans="1:8" ht="47.25">
      <c r="A927" s="23" t="s">
        <v>592</v>
      </c>
      <c r="B927" s="19">
        <v>910</v>
      </c>
      <c r="C927" s="24" t="s">
        <v>135</v>
      </c>
      <c r="D927" s="24" t="s">
        <v>230</v>
      </c>
      <c r="E927" s="24"/>
      <c r="F927" s="24"/>
      <c r="G927" s="21">
        <f>G928</f>
        <v>4188.8</v>
      </c>
      <c r="H927" s="187"/>
    </row>
    <row r="928" spans="1:8" ht="15.75">
      <c r="A928" s="25" t="s">
        <v>138</v>
      </c>
      <c r="B928" s="16">
        <v>910</v>
      </c>
      <c r="C928" s="20" t="s">
        <v>135</v>
      </c>
      <c r="D928" s="20" t="s">
        <v>230</v>
      </c>
      <c r="E928" s="20" t="s">
        <v>139</v>
      </c>
      <c r="F928" s="20"/>
      <c r="G928" s="26">
        <f>G929</f>
        <v>4188.8</v>
      </c>
      <c r="H928" s="187"/>
    </row>
    <row r="929" spans="1:8" ht="31.5">
      <c r="A929" s="25" t="s">
        <v>140</v>
      </c>
      <c r="B929" s="16">
        <v>910</v>
      </c>
      <c r="C929" s="20" t="s">
        <v>135</v>
      </c>
      <c r="D929" s="20" t="s">
        <v>230</v>
      </c>
      <c r="E929" s="20" t="s">
        <v>141</v>
      </c>
      <c r="F929" s="20"/>
      <c r="G929" s="26">
        <f>G930</f>
        <v>4188.8</v>
      </c>
      <c r="H929" s="187"/>
    </row>
    <row r="930" spans="1:8" ht="47.25">
      <c r="A930" s="25" t="s">
        <v>593</v>
      </c>
      <c r="B930" s="16">
        <v>910</v>
      </c>
      <c r="C930" s="20" t="s">
        <v>135</v>
      </c>
      <c r="D930" s="20" t="s">
        <v>230</v>
      </c>
      <c r="E930" s="20" t="s">
        <v>594</v>
      </c>
      <c r="F930" s="20"/>
      <c r="G930" s="26">
        <f>G931+G933</f>
        <v>4188.8</v>
      </c>
      <c r="H930" s="187"/>
    </row>
    <row r="931" spans="1:8" ht="94.5">
      <c r="A931" s="25" t="s">
        <v>144</v>
      </c>
      <c r="B931" s="16">
        <v>910</v>
      </c>
      <c r="C931" s="20" t="s">
        <v>135</v>
      </c>
      <c r="D931" s="20" t="s">
        <v>230</v>
      </c>
      <c r="E931" s="20" t="s">
        <v>594</v>
      </c>
      <c r="F931" s="20" t="s">
        <v>145</v>
      </c>
      <c r="G931" s="26">
        <f>G932+G933</f>
        <v>4188.8</v>
      </c>
      <c r="H931" s="187"/>
    </row>
    <row r="932" spans="1:10" ht="31.5">
      <c r="A932" s="25" t="s">
        <v>146</v>
      </c>
      <c r="B932" s="16">
        <v>910</v>
      </c>
      <c r="C932" s="20" t="s">
        <v>135</v>
      </c>
      <c r="D932" s="20" t="s">
        <v>230</v>
      </c>
      <c r="E932" s="20" t="s">
        <v>594</v>
      </c>
      <c r="F932" s="20" t="s">
        <v>147</v>
      </c>
      <c r="G932" s="27">
        <v>4188.8</v>
      </c>
      <c r="H932" s="187"/>
      <c r="J932" s="180" t="s">
        <v>780</v>
      </c>
    </row>
    <row r="933" spans="1:8" ht="47.25" hidden="1">
      <c r="A933" s="25" t="s">
        <v>215</v>
      </c>
      <c r="B933" s="16">
        <v>910</v>
      </c>
      <c r="C933" s="20" t="s">
        <v>135</v>
      </c>
      <c r="D933" s="20" t="s">
        <v>230</v>
      </c>
      <c r="E933" s="20" t="s">
        <v>594</v>
      </c>
      <c r="F933" s="20" t="s">
        <v>149</v>
      </c>
      <c r="G933" s="26">
        <f>G934</f>
        <v>0</v>
      </c>
      <c r="H933" s="187"/>
    </row>
    <row r="934" spans="1:8" ht="47.25" hidden="1">
      <c r="A934" s="25" t="s">
        <v>150</v>
      </c>
      <c r="B934" s="16">
        <v>910</v>
      </c>
      <c r="C934" s="20" t="s">
        <v>135</v>
      </c>
      <c r="D934" s="20" t="s">
        <v>230</v>
      </c>
      <c r="E934" s="20" t="s">
        <v>594</v>
      </c>
      <c r="F934" s="20" t="s">
        <v>151</v>
      </c>
      <c r="G934" s="26"/>
      <c r="H934" s="187"/>
    </row>
    <row r="935" spans="1:8" ht="78.75">
      <c r="A935" s="23" t="s">
        <v>595</v>
      </c>
      <c r="B935" s="19">
        <v>910</v>
      </c>
      <c r="C935" s="24" t="s">
        <v>135</v>
      </c>
      <c r="D935" s="24" t="s">
        <v>232</v>
      </c>
      <c r="E935" s="24"/>
      <c r="F935" s="24"/>
      <c r="G935" s="21">
        <f>G936</f>
        <v>1138.7</v>
      </c>
      <c r="H935" s="187"/>
    </row>
    <row r="936" spans="1:8" ht="15.75">
      <c r="A936" s="25" t="s">
        <v>138</v>
      </c>
      <c r="B936" s="16">
        <v>910</v>
      </c>
      <c r="C936" s="20" t="s">
        <v>135</v>
      </c>
      <c r="D936" s="20" t="s">
        <v>232</v>
      </c>
      <c r="E936" s="20" t="s">
        <v>139</v>
      </c>
      <c r="F936" s="24"/>
      <c r="G936" s="26">
        <f>G937</f>
        <v>1138.7</v>
      </c>
      <c r="H936" s="187"/>
    </row>
    <row r="937" spans="1:8" ht="31.5">
      <c r="A937" s="25" t="s">
        <v>140</v>
      </c>
      <c r="B937" s="16">
        <v>910</v>
      </c>
      <c r="C937" s="20" t="s">
        <v>135</v>
      </c>
      <c r="D937" s="20" t="s">
        <v>232</v>
      </c>
      <c r="E937" s="20" t="s">
        <v>141</v>
      </c>
      <c r="F937" s="24"/>
      <c r="G937" s="26">
        <f>G938</f>
        <v>1138.7</v>
      </c>
      <c r="H937" s="187"/>
    </row>
    <row r="938" spans="1:8" ht="47.25">
      <c r="A938" s="25" t="s">
        <v>596</v>
      </c>
      <c r="B938" s="16">
        <v>910</v>
      </c>
      <c r="C938" s="20" t="s">
        <v>135</v>
      </c>
      <c r="D938" s="20" t="s">
        <v>232</v>
      </c>
      <c r="E938" s="20" t="s">
        <v>597</v>
      </c>
      <c r="F938" s="20"/>
      <c r="G938" s="26">
        <f>G939+G941+G943</f>
        <v>1138.7</v>
      </c>
      <c r="H938" s="187"/>
    </row>
    <row r="939" spans="1:8" ht="94.5">
      <c r="A939" s="25" t="s">
        <v>144</v>
      </c>
      <c r="B939" s="16">
        <v>910</v>
      </c>
      <c r="C939" s="20" t="s">
        <v>135</v>
      </c>
      <c r="D939" s="20" t="s">
        <v>232</v>
      </c>
      <c r="E939" s="20" t="s">
        <v>597</v>
      </c>
      <c r="F939" s="20" t="s">
        <v>145</v>
      </c>
      <c r="G939" s="26">
        <f>G940</f>
        <v>1003.7</v>
      </c>
      <c r="H939" s="187"/>
    </row>
    <row r="940" spans="1:8" ht="31.5">
      <c r="A940" s="25" t="s">
        <v>146</v>
      </c>
      <c r="B940" s="16">
        <v>910</v>
      </c>
      <c r="C940" s="20" t="s">
        <v>135</v>
      </c>
      <c r="D940" s="20" t="s">
        <v>232</v>
      </c>
      <c r="E940" s="20" t="s">
        <v>597</v>
      </c>
      <c r="F940" s="20" t="s">
        <v>147</v>
      </c>
      <c r="G940" s="26">
        <v>1003.7</v>
      </c>
      <c r="H940" s="187"/>
    </row>
    <row r="941" spans="1:8" ht="47.25">
      <c r="A941" s="25" t="s">
        <v>215</v>
      </c>
      <c r="B941" s="16">
        <v>910</v>
      </c>
      <c r="C941" s="20" t="s">
        <v>135</v>
      </c>
      <c r="D941" s="20" t="s">
        <v>232</v>
      </c>
      <c r="E941" s="20" t="s">
        <v>597</v>
      </c>
      <c r="F941" s="20" t="s">
        <v>149</v>
      </c>
      <c r="G941" s="26">
        <f>G942</f>
        <v>135</v>
      </c>
      <c r="H941" s="187"/>
    </row>
    <row r="942" spans="1:8" ht="47.25">
      <c r="A942" s="25" t="s">
        <v>150</v>
      </c>
      <c r="B942" s="16">
        <v>910</v>
      </c>
      <c r="C942" s="20" t="s">
        <v>135</v>
      </c>
      <c r="D942" s="20" t="s">
        <v>232</v>
      </c>
      <c r="E942" s="20" t="s">
        <v>597</v>
      </c>
      <c r="F942" s="20" t="s">
        <v>151</v>
      </c>
      <c r="G942" s="26">
        <v>135</v>
      </c>
      <c r="H942" s="187"/>
    </row>
    <row r="943" spans="1:8" ht="15.75" hidden="1">
      <c r="A943" s="25" t="s">
        <v>152</v>
      </c>
      <c r="B943" s="16">
        <v>910</v>
      </c>
      <c r="C943" s="20" t="s">
        <v>135</v>
      </c>
      <c r="D943" s="20" t="s">
        <v>232</v>
      </c>
      <c r="E943" s="20" t="s">
        <v>597</v>
      </c>
      <c r="F943" s="20" t="s">
        <v>162</v>
      </c>
      <c r="G943" s="26">
        <f>G944</f>
        <v>0</v>
      </c>
      <c r="H943" s="187"/>
    </row>
    <row r="944" spans="1:8" ht="15.75" hidden="1">
      <c r="A944" s="25" t="s">
        <v>585</v>
      </c>
      <c r="B944" s="16">
        <v>910</v>
      </c>
      <c r="C944" s="20" t="s">
        <v>135</v>
      </c>
      <c r="D944" s="20" t="s">
        <v>232</v>
      </c>
      <c r="E944" s="20" t="s">
        <v>597</v>
      </c>
      <c r="F944" s="20" t="s">
        <v>155</v>
      </c>
      <c r="G944" s="26">
        <v>0</v>
      </c>
      <c r="H944" s="187"/>
    </row>
    <row r="945" spans="1:8" ht="63">
      <c r="A945" s="23" t="s">
        <v>136</v>
      </c>
      <c r="B945" s="19">
        <v>910</v>
      </c>
      <c r="C945" s="24" t="s">
        <v>135</v>
      </c>
      <c r="D945" s="24" t="s">
        <v>137</v>
      </c>
      <c r="E945" s="24"/>
      <c r="F945" s="24"/>
      <c r="G945" s="21">
        <f>G946</f>
        <v>1682.5</v>
      </c>
      <c r="H945" s="187"/>
    </row>
    <row r="946" spans="1:9" s="120" customFormat="1" ht="15.75">
      <c r="A946" s="25" t="s">
        <v>138</v>
      </c>
      <c r="B946" s="16">
        <v>910</v>
      </c>
      <c r="C946" s="20" t="s">
        <v>135</v>
      </c>
      <c r="D946" s="20" t="s">
        <v>137</v>
      </c>
      <c r="E946" s="20" t="s">
        <v>139</v>
      </c>
      <c r="F946" s="20"/>
      <c r="G946" s="26">
        <f>G947</f>
        <v>1682.5</v>
      </c>
      <c r="H946" s="187"/>
      <c r="I946" s="137"/>
    </row>
    <row r="947" spans="1:9" s="120" customFormat="1" ht="31.5">
      <c r="A947" s="25" t="s">
        <v>140</v>
      </c>
      <c r="B947" s="16">
        <v>910</v>
      </c>
      <c r="C947" s="20" t="s">
        <v>135</v>
      </c>
      <c r="D947" s="20" t="s">
        <v>137</v>
      </c>
      <c r="E947" s="20" t="s">
        <v>141</v>
      </c>
      <c r="F947" s="20"/>
      <c r="G947" s="26">
        <f>G948</f>
        <v>1682.5</v>
      </c>
      <c r="H947" s="187"/>
      <c r="I947" s="137"/>
    </row>
    <row r="948" spans="1:9" s="120" customFormat="1" ht="47.25">
      <c r="A948" s="25" t="s">
        <v>142</v>
      </c>
      <c r="B948" s="16">
        <v>910</v>
      </c>
      <c r="C948" s="20" t="s">
        <v>135</v>
      </c>
      <c r="D948" s="20" t="s">
        <v>137</v>
      </c>
      <c r="E948" s="20" t="s">
        <v>143</v>
      </c>
      <c r="F948" s="20"/>
      <c r="G948" s="26">
        <f>G949+G951</f>
        <v>1682.5</v>
      </c>
      <c r="H948" s="187"/>
      <c r="I948" s="137"/>
    </row>
    <row r="949" spans="1:8" ht="94.5">
      <c r="A949" s="25" t="s">
        <v>144</v>
      </c>
      <c r="B949" s="16">
        <v>910</v>
      </c>
      <c r="C949" s="20" t="s">
        <v>135</v>
      </c>
      <c r="D949" s="20" t="s">
        <v>137</v>
      </c>
      <c r="E949" s="20" t="s">
        <v>143</v>
      </c>
      <c r="F949" s="20" t="s">
        <v>145</v>
      </c>
      <c r="G949" s="26">
        <f>G950</f>
        <v>1664.2</v>
      </c>
      <c r="H949" s="187"/>
    </row>
    <row r="950" spans="1:10" ht="31.5">
      <c r="A950" s="25" t="s">
        <v>146</v>
      </c>
      <c r="B950" s="16">
        <v>910</v>
      </c>
      <c r="C950" s="20" t="s">
        <v>135</v>
      </c>
      <c r="D950" s="20" t="s">
        <v>137</v>
      </c>
      <c r="E950" s="20" t="s">
        <v>143</v>
      </c>
      <c r="F950" s="20" t="s">
        <v>147</v>
      </c>
      <c r="G950" s="26">
        <v>1664.2</v>
      </c>
      <c r="H950" s="187"/>
      <c r="J950" s="183" t="s">
        <v>781</v>
      </c>
    </row>
    <row r="951" spans="1:8" ht="47.25">
      <c r="A951" s="25" t="s">
        <v>215</v>
      </c>
      <c r="B951" s="16">
        <v>910</v>
      </c>
      <c r="C951" s="20" t="s">
        <v>135</v>
      </c>
      <c r="D951" s="20" t="s">
        <v>137</v>
      </c>
      <c r="E951" s="20" t="s">
        <v>143</v>
      </c>
      <c r="F951" s="20" t="s">
        <v>149</v>
      </c>
      <c r="G951" s="26">
        <f>G952</f>
        <v>18.3</v>
      </c>
      <c r="H951" s="187"/>
    </row>
    <row r="952" spans="1:8" ht="47.25">
      <c r="A952" s="25" t="s">
        <v>150</v>
      </c>
      <c r="B952" s="16">
        <v>910</v>
      </c>
      <c r="C952" s="20" t="s">
        <v>135</v>
      </c>
      <c r="D952" s="20" t="s">
        <v>137</v>
      </c>
      <c r="E952" s="20" t="s">
        <v>143</v>
      </c>
      <c r="F952" s="20" t="s">
        <v>151</v>
      </c>
      <c r="G952" s="26">
        <v>18.3</v>
      </c>
      <c r="H952" s="187"/>
    </row>
    <row r="953" spans="1:8" ht="15.75">
      <c r="A953" s="23" t="s">
        <v>156</v>
      </c>
      <c r="B953" s="19">
        <v>910</v>
      </c>
      <c r="C953" s="24" t="s">
        <v>135</v>
      </c>
      <c r="D953" s="24" t="s">
        <v>157</v>
      </c>
      <c r="E953" s="118"/>
      <c r="F953" s="20"/>
      <c r="G953" s="21">
        <f>G954+G958</f>
        <v>32.5</v>
      </c>
      <c r="H953" s="187"/>
    </row>
    <row r="954" spans="1:8" ht="47.25">
      <c r="A954" s="25" t="s">
        <v>178</v>
      </c>
      <c r="B954" s="16">
        <v>910</v>
      </c>
      <c r="C954" s="20" t="s">
        <v>135</v>
      </c>
      <c r="D954" s="20" t="s">
        <v>157</v>
      </c>
      <c r="E954" s="20" t="s">
        <v>179</v>
      </c>
      <c r="F954" s="20"/>
      <c r="G954" s="26">
        <f>G955</f>
        <v>0.5</v>
      </c>
      <c r="H954" s="187"/>
    </row>
    <row r="955" spans="1:8" ht="63">
      <c r="A955" s="32" t="s">
        <v>713</v>
      </c>
      <c r="B955" s="16">
        <v>910</v>
      </c>
      <c r="C955" s="20" t="s">
        <v>135</v>
      </c>
      <c r="D955" s="20" t="s">
        <v>157</v>
      </c>
      <c r="E955" s="41" t="s">
        <v>714</v>
      </c>
      <c r="F955" s="20"/>
      <c r="G955" s="26">
        <f>G956</f>
        <v>0.5</v>
      </c>
      <c r="H955" s="187"/>
    </row>
    <row r="956" spans="1:8" ht="31.5">
      <c r="A956" s="25" t="s">
        <v>148</v>
      </c>
      <c r="B956" s="16">
        <v>910</v>
      </c>
      <c r="C956" s="20" t="s">
        <v>135</v>
      </c>
      <c r="D956" s="20" t="s">
        <v>157</v>
      </c>
      <c r="E956" s="41" t="s">
        <v>714</v>
      </c>
      <c r="F956" s="20" t="s">
        <v>149</v>
      </c>
      <c r="G956" s="26">
        <f>G957</f>
        <v>0.5</v>
      </c>
      <c r="H956" s="187"/>
    </row>
    <row r="957" spans="1:8" ht="47.25">
      <c r="A957" s="25" t="s">
        <v>150</v>
      </c>
      <c r="B957" s="16">
        <v>910</v>
      </c>
      <c r="C957" s="20" t="s">
        <v>135</v>
      </c>
      <c r="D957" s="20" t="s">
        <v>157</v>
      </c>
      <c r="E957" s="41" t="s">
        <v>714</v>
      </c>
      <c r="F957" s="20" t="s">
        <v>151</v>
      </c>
      <c r="G957" s="26">
        <v>0.5</v>
      </c>
      <c r="H957" s="187"/>
    </row>
    <row r="958" spans="1:8" ht="15.75">
      <c r="A958" s="32" t="s">
        <v>138</v>
      </c>
      <c r="B958" s="16">
        <v>910</v>
      </c>
      <c r="C958" s="20" t="s">
        <v>135</v>
      </c>
      <c r="D958" s="20" t="s">
        <v>157</v>
      </c>
      <c r="E958" s="20" t="s">
        <v>139</v>
      </c>
      <c r="F958" s="20"/>
      <c r="G958" s="26">
        <f>G959</f>
        <v>32</v>
      </c>
      <c r="H958" s="187"/>
    </row>
    <row r="959" spans="1:8" ht="31.5">
      <c r="A959" s="32" t="s">
        <v>202</v>
      </c>
      <c r="B959" s="16">
        <v>910</v>
      </c>
      <c r="C959" s="20" t="s">
        <v>135</v>
      </c>
      <c r="D959" s="20" t="s">
        <v>157</v>
      </c>
      <c r="E959" s="20" t="s">
        <v>203</v>
      </c>
      <c r="F959" s="20"/>
      <c r="G959" s="26">
        <f>G960</f>
        <v>32</v>
      </c>
      <c r="H959" s="187"/>
    </row>
    <row r="960" spans="1:8" ht="63">
      <c r="A960" s="32" t="s">
        <v>713</v>
      </c>
      <c r="B960" s="16">
        <v>910</v>
      </c>
      <c r="C960" s="20" t="s">
        <v>135</v>
      </c>
      <c r="D960" s="20" t="s">
        <v>157</v>
      </c>
      <c r="E960" s="20" t="s">
        <v>715</v>
      </c>
      <c r="F960" s="20"/>
      <c r="G960" s="26">
        <f>G961</f>
        <v>32</v>
      </c>
      <c r="H960" s="187"/>
    </row>
    <row r="961" spans="1:8" ht="31.5">
      <c r="A961" s="25" t="s">
        <v>148</v>
      </c>
      <c r="B961" s="16">
        <v>910</v>
      </c>
      <c r="C961" s="20" t="s">
        <v>135</v>
      </c>
      <c r="D961" s="20" t="s">
        <v>157</v>
      </c>
      <c r="E961" s="20" t="s">
        <v>715</v>
      </c>
      <c r="F961" s="20" t="s">
        <v>149</v>
      </c>
      <c r="G961" s="26">
        <f>G962</f>
        <v>32</v>
      </c>
      <c r="H961" s="187"/>
    </row>
    <row r="962" spans="1:8" ht="47.25">
      <c r="A962" s="25" t="s">
        <v>150</v>
      </c>
      <c r="B962" s="16">
        <v>910</v>
      </c>
      <c r="C962" s="20" t="s">
        <v>135</v>
      </c>
      <c r="D962" s="20" t="s">
        <v>157</v>
      </c>
      <c r="E962" s="20" t="s">
        <v>715</v>
      </c>
      <c r="F962" s="20" t="s">
        <v>151</v>
      </c>
      <c r="G962" s="26">
        <v>32</v>
      </c>
      <c r="H962" s="119"/>
    </row>
    <row r="963" spans="1:8" ht="31.5">
      <c r="A963" s="23" t="s">
        <v>598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87"/>
    </row>
    <row r="964" spans="1:8" ht="15.75">
      <c r="A964" s="23" t="s">
        <v>599</v>
      </c>
      <c r="B964" s="19">
        <v>913</v>
      </c>
      <c r="C964" s="24" t="s">
        <v>255</v>
      </c>
      <c r="D964" s="20"/>
      <c r="E964" s="20"/>
      <c r="F964" s="20"/>
      <c r="G964" s="26">
        <f>G965</f>
        <v>6309.8</v>
      </c>
      <c r="H964" s="187"/>
    </row>
    <row r="965" spans="1:8" ht="15.75">
      <c r="A965" s="23" t="s">
        <v>600</v>
      </c>
      <c r="B965" s="19">
        <v>913</v>
      </c>
      <c r="C965" s="24" t="s">
        <v>255</v>
      </c>
      <c r="D965" s="24" t="s">
        <v>230</v>
      </c>
      <c r="E965" s="24"/>
      <c r="F965" s="24"/>
      <c r="G965" s="26">
        <f>G966</f>
        <v>6309.8</v>
      </c>
      <c r="H965" s="187"/>
    </row>
    <row r="966" spans="1:8" ht="15.75">
      <c r="A966" s="25" t="s">
        <v>138</v>
      </c>
      <c r="B966" s="16">
        <v>913</v>
      </c>
      <c r="C966" s="20" t="s">
        <v>255</v>
      </c>
      <c r="D966" s="20" t="s">
        <v>230</v>
      </c>
      <c r="E966" s="20" t="s">
        <v>139</v>
      </c>
      <c r="F966" s="20"/>
      <c r="G966" s="26">
        <f>G967</f>
        <v>6309.8</v>
      </c>
      <c r="H966" s="187"/>
    </row>
    <row r="967" spans="1:8" ht="31.5">
      <c r="A967" s="25" t="s">
        <v>601</v>
      </c>
      <c r="B967" s="16">
        <v>913</v>
      </c>
      <c r="C967" s="20" t="s">
        <v>255</v>
      </c>
      <c r="D967" s="20" t="s">
        <v>230</v>
      </c>
      <c r="E967" s="20" t="s">
        <v>602</v>
      </c>
      <c r="F967" s="20"/>
      <c r="G967" s="26">
        <f>G968</f>
        <v>6309.8</v>
      </c>
      <c r="H967" s="187"/>
    </row>
    <row r="968" spans="1:8" ht="31.5">
      <c r="A968" s="25" t="s">
        <v>327</v>
      </c>
      <c r="B968" s="16">
        <v>913</v>
      </c>
      <c r="C968" s="20" t="s">
        <v>255</v>
      </c>
      <c r="D968" s="20" t="s">
        <v>230</v>
      </c>
      <c r="E968" s="20" t="s">
        <v>603</v>
      </c>
      <c r="F968" s="20"/>
      <c r="G968" s="26">
        <f>G969+G971+G973</f>
        <v>6309.8</v>
      </c>
      <c r="H968" s="187"/>
    </row>
    <row r="969" spans="1:8" ht="94.5">
      <c r="A969" s="25" t="s">
        <v>144</v>
      </c>
      <c r="B969" s="16">
        <v>913</v>
      </c>
      <c r="C969" s="20" t="s">
        <v>255</v>
      </c>
      <c r="D969" s="20" t="s">
        <v>230</v>
      </c>
      <c r="E969" s="20" t="s">
        <v>603</v>
      </c>
      <c r="F969" s="20" t="s">
        <v>145</v>
      </c>
      <c r="G969" s="26">
        <f>G970</f>
        <v>5371.7</v>
      </c>
      <c r="H969" s="187"/>
    </row>
    <row r="970" spans="1:8" ht="31.5">
      <c r="A970" s="25" t="s">
        <v>225</v>
      </c>
      <c r="B970" s="16">
        <v>913</v>
      </c>
      <c r="C970" s="20" t="s">
        <v>255</v>
      </c>
      <c r="D970" s="20" t="s">
        <v>230</v>
      </c>
      <c r="E970" s="20" t="s">
        <v>603</v>
      </c>
      <c r="F970" s="20" t="s">
        <v>226</v>
      </c>
      <c r="G970" s="27">
        <v>5371.7</v>
      </c>
      <c r="H970" s="187"/>
    </row>
    <row r="971" spans="1:8" ht="31.5">
      <c r="A971" s="25" t="s">
        <v>148</v>
      </c>
      <c r="B971" s="16">
        <v>913</v>
      </c>
      <c r="C971" s="20" t="s">
        <v>255</v>
      </c>
      <c r="D971" s="20" t="s">
        <v>230</v>
      </c>
      <c r="E971" s="20" t="s">
        <v>603</v>
      </c>
      <c r="F971" s="20" t="s">
        <v>149</v>
      </c>
      <c r="G971" s="26">
        <f>G972</f>
        <v>928.1</v>
      </c>
      <c r="H971" s="187"/>
    </row>
    <row r="972" spans="1:9" ht="47.25">
      <c r="A972" s="25" t="s">
        <v>150</v>
      </c>
      <c r="B972" s="16">
        <v>913</v>
      </c>
      <c r="C972" s="20" t="s">
        <v>255</v>
      </c>
      <c r="D972" s="20" t="s">
        <v>230</v>
      </c>
      <c r="E972" s="20" t="s">
        <v>603</v>
      </c>
      <c r="F972" s="20" t="s">
        <v>151</v>
      </c>
      <c r="G972" s="27">
        <f>898.3+28.1+1.7</f>
        <v>928.1</v>
      </c>
      <c r="H972" s="114"/>
      <c r="I972" s="134"/>
    </row>
    <row r="973" spans="1:8" ht="15.75">
      <c r="A973" s="25" t="s">
        <v>152</v>
      </c>
      <c r="B973" s="16">
        <v>913</v>
      </c>
      <c r="C973" s="20" t="s">
        <v>255</v>
      </c>
      <c r="D973" s="20" t="s">
        <v>230</v>
      </c>
      <c r="E973" s="20" t="s">
        <v>603</v>
      </c>
      <c r="F973" s="20" t="s">
        <v>162</v>
      </c>
      <c r="G973" s="26">
        <f>G974</f>
        <v>10</v>
      </c>
      <c r="H973" s="187"/>
    </row>
    <row r="974" spans="1:8" ht="15.75">
      <c r="A974" s="25" t="s">
        <v>585</v>
      </c>
      <c r="B974" s="16">
        <v>913</v>
      </c>
      <c r="C974" s="20" t="s">
        <v>255</v>
      </c>
      <c r="D974" s="20" t="s">
        <v>230</v>
      </c>
      <c r="E974" s="20" t="s">
        <v>603</v>
      </c>
      <c r="F974" s="20" t="s">
        <v>155</v>
      </c>
      <c r="G974" s="26">
        <v>10</v>
      </c>
      <c r="H974" s="187"/>
    </row>
    <row r="975" spans="1:12" ht="18.75">
      <c r="A975" s="49" t="s">
        <v>604</v>
      </c>
      <c r="B975" s="49"/>
      <c r="C975" s="24"/>
      <c r="D975" s="24"/>
      <c r="E975" s="24"/>
      <c r="F975" s="24"/>
      <c r="G975" s="50">
        <f>G963+G925+G748+G673+G498+G459+G220+G27+G10</f>
        <v>665442.19</v>
      </c>
      <c r="H975" s="187"/>
      <c r="L975" s="124"/>
    </row>
    <row r="976" spans="1:9" ht="15">
      <c r="A976" s="51"/>
      <c r="B976" s="51"/>
      <c r="C976" s="51"/>
      <c r="D976" s="51"/>
      <c r="E976" s="51"/>
      <c r="F976" s="51"/>
      <c r="G976" s="51"/>
      <c r="I976" s="122"/>
    </row>
    <row r="977" spans="1:7" ht="18.75">
      <c r="A977" s="51"/>
      <c r="B977" s="51"/>
      <c r="C977" s="52"/>
      <c r="D977" s="52"/>
      <c r="E977" s="52"/>
      <c r="F977" s="110" t="s">
        <v>605</v>
      </c>
      <c r="G977" s="53">
        <f>G975-G978</f>
        <v>460911.0899999999</v>
      </c>
    </row>
    <row r="978" spans="1:9" ht="18.75">
      <c r="A978" s="51"/>
      <c r="B978" s="51"/>
      <c r="C978" s="52"/>
      <c r="D978" s="52"/>
      <c r="E978" s="52"/>
      <c r="F978" s="110" t="s">
        <v>606</v>
      </c>
      <c r="G978" s="53">
        <f>G98+G180+G186+G208+G214+G261+G273+G338+G444+G480+G494+G527+G581+G640+G694+G787+G827+G879+G623+G959</f>
        <v>204531.10000000003</v>
      </c>
      <c r="I978" s="126"/>
    </row>
    <row r="979" spans="1:7" ht="15.75">
      <c r="A979" s="51"/>
      <c r="B979" s="51"/>
      <c r="C979" s="52"/>
      <c r="D979" s="54"/>
      <c r="E979" s="54"/>
      <c r="F979" s="54"/>
      <c r="G979" s="111"/>
    </row>
    <row r="980" spans="1:7" ht="15.75">
      <c r="A980" s="51"/>
      <c r="B980" s="51"/>
      <c r="C980" s="52"/>
      <c r="D980" s="54"/>
      <c r="E980" s="54"/>
      <c r="F980" s="54"/>
      <c r="G980" s="52"/>
    </row>
    <row r="981" spans="1:12" ht="15.75">
      <c r="A981" s="51"/>
      <c r="B981" s="51"/>
      <c r="C981" s="55">
        <v>1</v>
      </c>
      <c r="D981" s="54"/>
      <c r="E981" s="54"/>
      <c r="F981" s="54"/>
      <c r="G981" s="56">
        <f>G11+G28+G460+G499+G926+G749+G228</f>
        <v>118780.1</v>
      </c>
      <c r="H981" s="113"/>
      <c r="I981" s="127" t="e">
        <f>#REF!</f>
        <v>#REF!</v>
      </c>
      <c r="L981" s="113"/>
    </row>
    <row r="982" spans="1:12" ht="15.75">
      <c r="A982" s="51"/>
      <c r="B982" s="51"/>
      <c r="C982" s="55">
        <v>2</v>
      </c>
      <c r="D982" s="54"/>
      <c r="E982" s="54"/>
      <c r="F982" s="54"/>
      <c r="G982" s="56">
        <f>G147</f>
        <v>0</v>
      </c>
      <c r="H982" s="113"/>
      <c r="I982" s="127">
        <v>0</v>
      </c>
      <c r="L982" s="113"/>
    </row>
    <row r="983" spans="1:12" ht="15.75">
      <c r="A983" s="51"/>
      <c r="B983" s="51"/>
      <c r="C983" s="55">
        <v>3</v>
      </c>
      <c r="D983" s="54"/>
      <c r="E983" s="54"/>
      <c r="F983" s="54"/>
      <c r="G983" s="56">
        <f>G763+G159</f>
        <v>7209.400000000001</v>
      </c>
      <c r="H983" s="113"/>
      <c r="I983" s="127" t="e">
        <f>#REF!</f>
        <v>#REF!</v>
      </c>
      <c r="L983" s="113"/>
    </row>
    <row r="984" spans="1:12" ht="15.75">
      <c r="A984" s="51"/>
      <c r="B984" s="51"/>
      <c r="C984" s="55">
        <v>4</v>
      </c>
      <c r="D984" s="54"/>
      <c r="E984" s="54"/>
      <c r="F984" s="54"/>
      <c r="G984" s="56">
        <f>G177+G770</f>
        <v>20153.2</v>
      </c>
      <c r="H984" s="113"/>
      <c r="I984" s="127" t="e">
        <f>#REF!</f>
        <v>#REF!</v>
      </c>
      <c r="L984" s="113"/>
    </row>
    <row r="985" spans="1:12" ht="15.75">
      <c r="A985" s="51"/>
      <c r="B985" s="51"/>
      <c r="C985" s="55">
        <v>5</v>
      </c>
      <c r="D985" s="54"/>
      <c r="E985" s="54"/>
      <c r="F985" s="54"/>
      <c r="G985" s="56">
        <f>G784+G477</f>
        <v>109165.59000000001</v>
      </c>
      <c r="H985" s="113"/>
      <c r="I985" s="127" t="e">
        <f>#REF!</f>
        <v>#REF!</v>
      </c>
      <c r="L985" s="113"/>
    </row>
    <row r="986" spans="1:12" ht="15.75">
      <c r="A986" s="51"/>
      <c r="B986" s="51"/>
      <c r="C986" s="55">
        <v>7</v>
      </c>
      <c r="D986" s="54"/>
      <c r="E986" s="54"/>
      <c r="F986" s="54"/>
      <c r="G986" s="56">
        <f>G674+G506+G235</f>
        <v>290484.60000000003</v>
      </c>
      <c r="H986" s="113"/>
      <c r="I986" s="127" t="e">
        <f>#REF!</f>
        <v>#REF!</v>
      </c>
      <c r="L986" s="113"/>
    </row>
    <row r="987" spans="1:12" ht="15.75">
      <c r="A987" s="51"/>
      <c r="B987" s="51"/>
      <c r="C987" s="55">
        <v>8</v>
      </c>
      <c r="D987" s="54"/>
      <c r="E987" s="54"/>
      <c r="F987" s="54"/>
      <c r="G987" s="56">
        <f>G277</f>
        <v>61699.8</v>
      </c>
      <c r="H987" s="113"/>
      <c r="I987" s="127" t="e">
        <f>#REF!</f>
        <v>#REF!</v>
      </c>
      <c r="L987" s="113"/>
    </row>
    <row r="988" spans="1:12" ht="15.75">
      <c r="A988" s="51"/>
      <c r="B988" s="51"/>
      <c r="C988" s="55">
        <v>10</v>
      </c>
      <c r="D988" s="54"/>
      <c r="E988" s="54"/>
      <c r="F988" s="54"/>
      <c r="G988" s="56">
        <f>G918+G492+G388+G195</f>
        <v>16937</v>
      </c>
      <c r="H988" s="113"/>
      <c r="I988" s="127" t="e">
        <f>#REF!</f>
        <v>#REF!</v>
      </c>
      <c r="L988" s="113"/>
    </row>
    <row r="989" spans="1:12" ht="15.75">
      <c r="A989" s="51"/>
      <c r="B989" s="51"/>
      <c r="C989" s="55">
        <v>11</v>
      </c>
      <c r="D989" s="54"/>
      <c r="E989" s="54"/>
      <c r="F989" s="54"/>
      <c r="G989" s="56">
        <f>G704</f>
        <v>34702.7</v>
      </c>
      <c r="H989" s="113"/>
      <c r="I989" s="127" t="e">
        <f>#REF!</f>
        <v>#REF!</v>
      </c>
      <c r="L989" s="113"/>
    </row>
    <row r="990" spans="1:12" ht="15.75">
      <c r="A990" s="51"/>
      <c r="B990" s="51"/>
      <c r="C990" s="55">
        <v>12</v>
      </c>
      <c r="D990" s="54"/>
      <c r="E990" s="54"/>
      <c r="F990" s="54"/>
      <c r="G990" s="56">
        <f>G964</f>
        <v>6309.8</v>
      </c>
      <c r="H990" s="113"/>
      <c r="I990" s="127" t="e">
        <f>#REF!</f>
        <v>#REF!</v>
      </c>
      <c r="L990" s="113"/>
    </row>
    <row r="991" spans="1:12" ht="15.75">
      <c r="A991" s="51"/>
      <c r="B991" s="51"/>
      <c r="C991" s="56"/>
      <c r="D991" s="54"/>
      <c r="E991" s="54"/>
      <c r="F991" s="54"/>
      <c r="G991" s="112">
        <f>SUM(G981:G990)</f>
        <v>665442.1900000002</v>
      </c>
      <c r="H991" s="113"/>
      <c r="I991" s="127" t="e">
        <f>#REF!</f>
        <v>#REF!</v>
      </c>
      <c r="L991" s="113"/>
    </row>
    <row r="992" spans="7:9" ht="15">
      <c r="G992" s="113"/>
      <c r="H992" s="113"/>
      <c r="I992" s="127"/>
    </row>
    <row r="993" spans="4:9" ht="15">
      <c r="D993" s="1" t="s">
        <v>607</v>
      </c>
      <c r="E993" s="1">
        <v>50</v>
      </c>
      <c r="G993" s="113">
        <f>G778</f>
        <v>15124.1</v>
      </c>
      <c r="H993" s="113"/>
      <c r="I993" s="127"/>
    </row>
    <row r="994" spans="5:9" ht="15">
      <c r="E994" s="1">
        <v>51</v>
      </c>
      <c r="G994" s="113">
        <f>G390</f>
        <v>3693</v>
      </c>
      <c r="H994" s="113"/>
      <c r="I994" s="127"/>
    </row>
    <row r="995" spans="5:9" ht="15">
      <c r="E995" s="1">
        <v>52</v>
      </c>
      <c r="G995" s="113">
        <f>G508+G547+G634+G613</f>
        <v>89244.70000000001</v>
      </c>
      <c r="H995" s="113"/>
      <c r="I995" s="127"/>
    </row>
    <row r="996" spans="5:9" ht="15">
      <c r="E996" s="1">
        <v>53</v>
      </c>
      <c r="G996" s="113">
        <f>G57</f>
        <v>250</v>
      </c>
      <c r="H996" s="113"/>
      <c r="I996" s="127"/>
    </row>
    <row r="997" spans="5:9" ht="15">
      <c r="E997" s="1">
        <v>54</v>
      </c>
      <c r="G997" s="113">
        <f>G61+G954</f>
        <v>654</v>
      </c>
      <c r="H997" s="113"/>
      <c r="I997" s="127"/>
    </row>
    <row r="998" spans="5:9" ht="15">
      <c r="E998" s="1">
        <v>55</v>
      </c>
      <c r="G998" s="113">
        <f>G203</f>
        <v>10</v>
      </c>
      <c r="H998" s="113"/>
      <c r="I998" s="127"/>
    </row>
    <row r="999" spans="5:9" ht="15">
      <c r="E999" s="1">
        <v>56</v>
      </c>
      <c r="G999" s="113">
        <f>G73</f>
        <v>80</v>
      </c>
      <c r="H999" s="113"/>
      <c r="I999" s="127"/>
    </row>
    <row r="1000" spans="5:9" ht="15">
      <c r="E1000" s="1">
        <v>57</v>
      </c>
      <c r="G1000" s="113">
        <f>G726+G706+G676</f>
        <v>36478.9</v>
      </c>
      <c r="H1000" s="113"/>
      <c r="I1000" s="127"/>
    </row>
    <row r="1001" spans="5:9" ht="15">
      <c r="E1001" s="1">
        <v>58</v>
      </c>
      <c r="G1001" s="113">
        <f>G279+G237</f>
        <v>58528.700000000004</v>
      </c>
      <c r="H1001" s="113"/>
      <c r="I1001" s="127"/>
    </row>
    <row r="1002" spans="5:9" ht="15">
      <c r="E1002" s="1">
        <v>59</v>
      </c>
      <c r="G1002" s="113">
        <f>G333</f>
        <v>200</v>
      </c>
      <c r="H1002" s="113"/>
      <c r="I1002" s="127"/>
    </row>
    <row r="1003" spans="5:9" ht="15">
      <c r="E1003" s="1">
        <v>60</v>
      </c>
      <c r="G1003" s="113">
        <f>G848</f>
        <v>12375.499999999998</v>
      </c>
      <c r="H1003" s="113"/>
      <c r="I1003" s="127"/>
    </row>
    <row r="1004" spans="5:9" ht="15">
      <c r="E1004" s="1">
        <v>61</v>
      </c>
      <c r="G1004" s="113">
        <f>G86</f>
        <v>120</v>
      </c>
      <c r="H1004" s="113"/>
      <c r="I1004" s="127"/>
    </row>
    <row r="1005" spans="5:9" ht="15">
      <c r="E1005" s="1">
        <v>62</v>
      </c>
      <c r="G1005" s="113">
        <f>G801</f>
        <v>5567.900000000001</v>
      </c>
      <c r="H1005" s="113"/>
      <c r="I1005" s="127"/>
    </row>
    <row r="1006" spans="5:9" ht="15">
      <c r="E1006" s="1">
        <v>63</v>
      </c>
      <c r="G1006" s="113">
        <f>G359+G646</f>
        <v>145</v>
      </c>
      <c r="H1006" s="113"/>
      <c r="I1006" s="127"/>
    </row>
    <row r="1007" spans="5:9" ht="15">
      <c r="E1007" s="1">
        <v>64</v>
      </c>
      <c r="G1007" s="113">
        <f>G90+G369</f>
        <v>34</v>
      </c>
      <c r="H1007" s="113"/>
      <c r="I1007" s="127"/>
    </row>
    <row r="1008" spans="5:9" ht="15">
      <c r="E1008" s="1">
        <v>65</v>
      </c>
      <c r="G1008" s="113">
        <f>G874</f>
        <v>600</v>
      </c>
      <c r="H1008" s="113"/>
      <c r="I1008" s="127"/>
    </row>
    <row r="1009" spans="7:9" ht="15">
      <c r="G1009" s="113">
        <f>SUM(G993:G1008)</f>
        <v>223105.80000000002</v>
      </c>
      <c r="H1009" s="113"/>
      <c r="I1009" s="127"/>
    </row>
    <row r="1010" spans="7:9" ht="15">
      <c r="G1010" s="113"/>
      <c r="H1010" s="113"/>
      <c r="I1010" s="127"/>
    </row>
  </sheetData>
  <mergeCells count="5">
    <mergeCell ref="A4:G4"/>
    <mergeCell ref="A5:G5"/>
    <mergeCell ref="J381:K387"/>
    <mergeCell ref="J666:K672"/>
    <mergeCell ref="J741:K747"/>
  </mergeCells>
  <printOptions/>
  <pageMargins left="0.3937007874015748" right="0.3937007874015748" top="1.1811023622047245" bottom="0.3937007874015748" header="0.31496062992125984" footer="0.31496062992125984"/>
  <pageSetup horizontalDpi="600" verticalDpi="600" orientation="portrait" paperSize="9" scale="65" r:id="rId1"/>
  <rowBreaks count="1" manualBreakCount="1">
    <brk id="975" max="16383" man="1"/>
  </rowBreaks>
  <colBreaks count="1" manualBreakCount="1">
    <brk id="8" max="16383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6"/>
  <sheetViews>
    <sheetView workbookViewId="0" topLeftCell="A40">
      <selection activeCell="A1054" sqref="A1054:XFD1109"/>
    </sheetView>
  </sheetViews>
  <sheetFormatPr defaultColWidth="9.140625" defaultRowHeight="15"/>
  <cols>
    <col min="1" max="1" width="55.00390625" style="0" customWidth="1"/>
    <col min="2" max="2" width="6.421875" style="0" customWidth="1"/>
    <col min="3" max="3" width="6.00390625" style="0" customWidth="1"/>
    <col min="4" max="4" width="5.140625" style="0" customWidth="1"/>
    <col min="5" max="5" width="15.8515625" style="0" customWidth="1"/>
    <col min="6" max="6" width="7.00390625" style="0" customWidth="1"/>
    <col min="7" max="7" width="14.421875" style="0" customWidth="1"/>
    <col min="8" max="8" width="15.00390625" style="0" customWidth="1"/>
    <col min="9" max="9" width="13.28125" style="0" customWidth="1"/>
  </cols>
  <sheetData>
    <row r="1" spans="1:8" ht="18.75">
      <c r="A1" s="264"/>
      <c r="B1" s="264"/>
      <c r="C1" s="264"/>
      <c r="D1" s="264"/>
      <c r="E1" s="228"/>
      <c r="F1" s="228"/>
      <c r="G1" s="265"/>
      <c r="H1" s="345" t="s">
        <v>1298</v>
      </c>
    </row>
    <row r="2" spans="1:8" ht="18.75">
      <c r="A2" s="264"/>
      <c r="B2" s="264"/>
      <c r="C2" s="264"/>
      <c r="D2" s="264"/>
      <c r="E2" s="228"/>
      <c r="F2" s="228"/>
      <c r="G2" s="265"/>
      <c r="H2" s="345" t="s">
        <v>1</v>
      </c>
    </row>
    <row r="3" spans="1:8" ht="15.75">
      <c r="A3" s="408"/>
      <c r="B3" s="408"/>
      <c r="C3" s="408"/>
      <c r="D3" s="408"/>
      <c r="E3" s="408"/>
      <c r="F3" s="408"/>
      <c r="G3" s="228"/>
      <c r="H3" s="228"/>
    </row>
    <row r="4" spans="1:8" ht="15.75">
      <c r="A4" s="410" t="s">
        <v>1389</v>
      </c>
      <c r="B4" s="410"/>
      <c r="C4" s="410"/>
      <c r="D4" s="410"/>
      <c r="E4" s="410"/>
      <c r="F4" s="410"/>
      <c r="G4" s="410"/>
      <c r="H4" s="410"/>
    </row>
    <row r="5" spans="1:8" ht="15.75">
      <c r="A5" s="330"/>
      <c r="B5" s="330"/>
      <c r="C5" s="330"/>
      <c r="D5" s="330"/>
      <c r="E5" s="330"/>
      <c r="F5" s="330"/>
      <c r="G5" s="228"/>
      <c r="H5" s="228"/>
    </row>
    <row r="6" spans="1:8" ht="15.75">
      <c r="A6" s="267"/>
      <c r="B6" s="267"/>
      <c r="C6" s="267"/>
      <c r="D6" s="267"/>
      <c r="E6" s="267"/>
      <c r="F6" s="267"/>
      <c r="G6" s="268" t="s">
        <v>2</v>
      </c>
      <c r="H6" s="268"/>
    </row>
    <row r="7" spans="1:8" ht="63">
      <c r="A7" s="269" t="s">
        <v>127</v>
      </c>
      <c r="B7" s="269" t="s">
        <v>128</v>
      </c>
      <c r="C7" s="270" t="s">
        <v>129</v>
      </c>
      <c r="D7" s="270" t="s">
        <v>130</v>
      </c>
      <c r="E7" s="270" t="s">
        <v>131</v>
      </c>
      <c r="F7" s="270" t="s">
        <v>132</v>
      </c>
      <c r="G7" s="271" t="s">
        <v>1208</v>
      </c>
      <c r="H7" s="271" t="s">
        <v>1209</v>
      </c>
    </row>
    <row r="8" spans="1:8" ht="31.5">
      <c r="A8" s="19" t="s">
        <v>133</v>
      </c>
      <c r="B8" s="19">
        <v>901</v>
      </c>
      <c r="C8" s="20"/>
      <c r="D8" s="20"/>
      <c r="E8" s="20"/>
      <c r="F8" s="20"/>
      <c r="G8" s="21">
        <f aca="true" t="shared" si="0" ref="G8:H11">G9</f>
        <v>14033.71</v>
      </c>
      <c r="H8" s="21">
        <f t="shared" si="0"/>
        <v>14033.71</v>
      </c>
    </row>
    <row r="9" spans="1:8" ht="15.75">
      <c r="A9" s="23" t="s">
        <v>134</v>
      </c>
      <c r="B9" s="19">
        <v>901</v>
      </c>
      <c r="C9" s="24" t="s">
        <v>135</v>
      </c>
      <c r="D9" s="20"/>
      <c r="E9" s="20"/>
      <c r="F9" s="20"/>
      <c r="G9" s="21">
        <f t="shared" si="0"/>
        <v>14033.71</v>
      </c>
      <c r="H9" s="21">
        <f t="shared" si="0"/>
        <v>14033.71</v>
      </c>
    </row>
    <row r="10" spans="1:8" ht="51" customHeight="1">
      <c r="A10" s="23" t="s">
        <v>136</v>
      </c>
      <c r="B10" s="19">
        <v>901</v>
      </c>
      <c r="C10" s="24" t="s">
        <v>135</v>
      </c>
      <c r="D10" s="24" t="s">
        <v>137</v>
      </c>
      <c r="E10" s="24"/>
      <c r="F10" s="24"/>
      <c r="G10" s="21">
        <f t="shared" si="0"/>
        <v>14033.71</v>
      </c>
      <c r="H10" s="21">
        <f t="shared" si="0"/>
        <v>14033.71</v>
      </c>
    </row>
    <row r="11" spans="1:8" ht="31.5">
      <c r="A11" s="23" t="s">
        <v>995</v>
      </c>
      <c r="B11" s="19">
        <v>901</v>
      </c>
      <c r="C11" s="24" t="s">
        <v>135</v>
      </c>
      <c r="D11" s="24" t="s">
        <v>137</v>
      </c>
      <c r="E11" s="24" t="s">
        <v>909</v>
      </c>
      <c r="F11" s="24"/>
      <c r="G11" s="21">
        <f t="shared" si="0"/>
        <v>14033.71</v>
      </c>
      <c r="H11" s="21">
        <f t="shared" si="0"/>
        <v>14033.71</v>
      </c>
    </row>
    <row r="12" spans="1:8" ht="15.75">
      <c r="A12" s="23" t="s">
        <v>996</v>
      </c>
      <c r="B12" s="19">
        <v>901</v>
      </c>
      <c r="C12" s="24" t="s">
        <v>135</v>
      </c>
      <c r="D12" s="24" t="s">
        <v>137</v>
      </c>
      <c r="E12" s="24" t="s">
        <v>910</v>
      </c>
      <c r="F12" s="24"/>
      <c r="G12" s="21">
        <f>G13+G20</f>
        <v>14033.71</v>
      </c>
      <c r="H12" s="21">
        <f>H13+H20</f>
        <v>14033.71</v>
      </c>
    </row>
    <row r="13" spans="1:8" ht="31.5">
      <c r="A13" s="25" t="s">
        <v>972</v>
      </c>
      <c r="B13" s="16">
        <v>901</v>
      </c>
      <c r="C13" s="20" t="s">
        <v>135</v>
      </c>
      <c r="D13" s="20" t="s">
        <v>137</v>
      </c>
      <c r="E13" s="20" t="s">
        <v>911</v>
      </c>
      <c r="F13" s="20"/>
      <c r="G13" s="26">
        <f>'Пр.6 ведом.20'!G13</f>
        <v>13689.71</v>
      </c>
      <c r="H13" s="26">
        <f aca="true" t="shared" si="1" ref="H13:H72">G13</f>
        <v>13689.71</v>
      </c>
    </row>
    <row r="14" spans="1:8" ht="78.75">
      <c r="A14" s="25" t="s">
        <v>144</v>
      </c>
      <c r="B14" s="16">
        <v>901</v>
      </c>
      <c r="C14" s="20" t="s">
        <v>135</v>
      </c>
      <c r="D14" s="20" t="s">
        <v>137</v>
      </c>
      <c r="E14" s="20" t="s">
        <v>911</v>
      </c>
      <c r="F14" s="20" t="s">
        <v>145</v>
      </c>
      <c r="G14" s="26">
        <f>'Пр.6 ведом.20'!G14</f>
        <v>12484.71</v>
      </c>
      <c r="H14" s="26">
        <f t="shared" si="1"/>
        <v>12484.71</v>
      </c>
    </row>
    <row r="15" spans="1:8" ht="31.5">
      <c r="A15" s="25" t="s">
        <v>146</v>
      </c>
      <c r="B15" s="16">
        <v>901</v>
      </c>
      <c r="C15" s="20" t="s">
        <v>135</v>
      </c>
      <c r="D15" s="20" t="s">
        <v>137</v>
      </c>
      <c r="E15" s="20" t="s">
        <v>911</v>
      </c>
      <c r="F15" s="20" t="s">
        <v>147</v>
      </c>
      <c r="G15" s="26">
        <f>'Пр.6 ведом.20'!G15</f>
        <v>12484.71</v>
      </c>
      <c r="H15" s="26">
        <f t="shared" si="1"/>
        <v>12484.71</v>
      </c>
    </row>
    <row r="16" spans="1:8" ht="31.5">
      <c r="A16" s="25" t="s">
        <v>148</v>
      </c>
      <c r="B16" s="16">
        <v>901</v>
      </c>
      <c r="C16" s="20" t="s">
        <v>135</v>
      </c>
      <c r="D16" s="20" t="s">
        <v>137</v>
      </c>
      <c r="E16" s="20" t="s">
        <v>911</v>
      </c>
      <c r="F16" s="20" t="s">
        <v>149</v>
      </c>
      <c r="G16" s="26">
        <f>'Пр.6 ведом.20'!G16</f>
        <v>1177</v>
      </c>
      <c r="H16" s="26">
        <f t="shared" si="1"/>
        <v>1177</v>
      </c>
    </row>
    <row r="17" spans="1:8" ht="31.5">
      <c r="A17" s="25" t="s">
        <v>150</v>
      </c>
      <c r="B17" s="16">
        <v>901</v>
      </c>
      <c r="C17" s="20" t="s">
        <v>135</v>
      </c>
      <c r="D17" s="20" t="s">
        <v>137</v>
      </c>
      <c r="E17" s="20" t="s">
        <v>911</v>
      </c>
      <c r="F17" s="20" t="s">
        <v>151</v>
      </c>
      <c r="G17" s="26">
        <f>'Пр.6 ведом.20'!G17</f>
        <v>1177</v>
      </c>
      <c r="H17" s="26">
        <f t="shared" si="1"/>
        <v>1177</v>
      </c>
    </row>
    <row r="18" spans="1:8" ht="15.75">
      <c r="A18" s="25" t="s">
        <v>152</v>
      </c>
      <c r="B18" s="16">
        <v>901</v>
      </c>
      <c r="C18" s="20" t="s">
        <v>135</v>
      </c>
      <c r="D18" s="20" t="s">
        <v>137</v>
      </c>
      <c r="E18" s="20" t="s">
        <v>911</v>
      </c>
      <c r="F18" s="20" t="s">
        <v>153</v>
      </c>
      <c r="G18" s="26">
        <f>'Пр.6 ведом.20'!G18</f>
        <v>28</v>
      </c>
      <c r="H18" s="26">
        <f t="shared" si="1"/>
        <v>28</v>
      </c>
    </row>
    <row r="19" spans="1:8" ht="15.75">
      <c r="A19" s="25" t="s">
        <v>585</v>
      </c>
      <c r="B19" s="16">
        <v>901</v>
      </c>
      <c r="C19" s="20" t="s">
        <v>135</v>
      </c>
      <c r="D19" s="20" t="s">
        <v>137</v>
      </c>
      <c r="E19" s="20" t="s">
        <v>911</v>
      </c>
      <c r="F19" s="20" t="s">
        <v>155</v>
      </c>
      <c r="G19" s="26">
        <f>'Пр.6 ведом.20'!G19</f>
        <v>28</v>
      </c>
      <c r="H19" s="26">
        <f t="shared" si="1"/>
        <v>28</v>
      </c>
    </row>
    <row r="20" spans="1:8" ht="47.25">
      <c r="A20" s="25" t="s">
        <v>889</v>
      </c>
      <c r="B20" s="16">
        <v>901</v>
      </c>
      <c r="C20" s="20" t="s">
        <v>135</v>
      </c>
      <c r="D20" s="20" t="s">
        <v>137</v>
      </c>
      <c r="E20" s="20" t="s">
        <v>913</v>
      </c>
      <c r="F20" s="20"/>
      <c r="G20" s="26">
        <f>'Пр.6 ведом.20'!G20</f>
        <v>344</v>
      </c>
      <c r="H20" s="26">
        <f t="shared" si="1"/>
        <v>344</v>
      </c>
    </row>
    <row r="21" spans="1:8" ht="78.75">
      <c r="A21" s="25" t="s">
        <v>144</v>
      </c>
      <c r="B21" s="16">
        <v>901</v>
      </c>
      <c r="C21" s="20" t="s">
        <v>135</v>
      </c>
      <c r="D21" s="20" t="s">
        <v>137</v>
      </c>
      <c r="E21" s="20" t="s">
        <v>913</v>
      </c>
      <c r="F21" s="20" t="s">
        <v>145</v>
      </c>
      <c r="G21" s="26">
        <f>'Пр.6 ведом.20'!G21</f>
        <v>344</v>
      </c>
      <c r="H21" s="26">
        <f t="shared" si="1"/>
        <v>344</v>
      </c>
    </row>
    <row r="22" spans="1:8" ht="31.5">
      <c r="A22" s="25" t="s">
        <v>146</v>
      </c>
      <c r="B22" s="16">
        <v>901</v>
      </c>
      <c r="C22" s="20" t="s">
        <v>135</v>
      </c>
      <c r="D22" s="20" t="s">
        <v>137</v>
      </c>
      <c r="E22" s="20" t="s">
        <v>913</v>
      </c>
      <c r="F22" s="20" t="s">
        <v>147</v>
      </c>
      <c r="G22" s="26">
        <f>'Пр.6 ведом.20'!G22</f>
        <v>344</v>
      </c>
      <c r="H22" s="26">
        <f t="shared" si="1"/>
        <v>344</v>
      </c>
    </row>
    <row r="23" spans="1:8" ht="15.75">
      <c r="A23" s="19" t="s">
        <v>165</v>
      </c>
      <c r="B23" s="19">
        <v>902</v>
      </c>
      <c r="C23" s="20"/>
      <c r="D23" s="20"/>
      <c r="E23" s="20"/>
      <c r="F23" s="20"/>
      <c r="G23" s="21">
        <f>G24+G128+G147+G177+G121</f>
        <v>88119.75899999999</v>
      </c>
      <c r="H23" s="21">
        <f>H24+H128+H147+H177+H121</f>
        <v>88119.75899999999</v>
      </c>
    </row>
    <row r="24" spans="1:8" ht="15.75">
      <c r="A24" s="23" t="s">
        <v>134</v>
      </c>
      <c r="B24" s="19">
        <v>902</v>
      </c>
      <c r="C24" s="24" t="s">
        <v>135</v>
      </c>
      <c r="D24" s="20"/>
      <c r="E24" s="20"/>
      <c r="F24" s="20"/>
      <c r="G24" s="21">
        <f>G25+G82+G91</f>
        <v>65826.015</v>
      </c>
      <c r="H24" s="21">
        <f>H25+H82+H91</f>
        <v>65826.015</v>
      </c>
    </row>
    <row r="25" spans="1:8" ht="63">
      <c r="A25" s="23" t="s">
        <v>166</v>
      </c>
      <c r="B25" s="19">
        <v>902</v>
      </c>
      <c r="C25" s="24" t="s">
        <v>135</v>
      </c>
      <c r="D25" s="24" t="s">
        <v>167</v>
      </c>
      <c r="E25" s="24"/>
      <c r="F25" s="24"/>
      <c r="G25" s="21">
        <f>G26+G64</f>
        <v>58408.08500000001</v>
      </c>
      <c r="H25" s="21">
        <f>H26+H64</f>
        <v>58408.08500000001</v>
      </c>
    </row>
    <row r="26" spans="1:8" ht="31.5">
      <c r="A26" s="23" t="s">
        <v>995</v>
      </c>
      <c r="B26" s="19">
        <v>902</v>
      </c>
      <c r="C26" s="24" t="s">
        <v>135</v>
      </c>
      <c r="D26" s="24" t="s">
        <v>167</v>
      </c>
      <c r="E26" s="24" t="s">
        <v>909</v>
      </c>
      <c r="F26" s="24"/>
      <c r="G26" s="45">
        <f>G27+G43</f>
        <v>57627.58500000001</v>
      </c>
      <c r="H26" s="45">
        <f>H27+H43</f>
        <v>57627.58500000001</v>
      </c>
    </row>
    <row r="27" spans="1:8" ht="15.75">
      <c r="A27" s="23" t="s">
        <v>996</v>
      </c>
      <c r="B27" s="19">
        <v>902</v>
      </c>
      <c r="C27" s="24" t="s">
        <v>135</v>
      </c>
      <c r="D27" s="24" t="s">
        <v>167</v>
      </c>
      <c r="E27" s="24" t="s">
        <v>910</v>
      </c>
      <c r="F27" s="24"/>
      <c r="G27" s="45">
        <f>G28+G37+G40</f>
        <v>54435.785</v>
      </c>
      <c r="H27" s="45">
        <f>H28+H37+H40</f>
        <v>54435.785</v>
      </c>
    </row>
    <row r="28" spans="1:8" ht="31.5">
      <c r="A28" s="25" t="s">
        <v>972</v>
      </c>
      <c r="B28" s="16">
        <v>902</v>
      </c>
      <c r="C28" s="20" t="s">
        <v>135</v>
      </c>
      <c r="D28" s="20" t="s">
        <v>167</v>
      </c>
      <c r="E28" s="20" t="s">
        <v>911</v>
      </c>
      <c r="F28" s="20"/>
      <c r="G28" s="26">
        <f>'Пр.6 ведом.20'!G28</f>
        <v>50435.714</v>
      </c>
      <c r="H28" s="26">
        <f t="shared" si="1"/>
        <v>50435.714</v>
      </c>
    </row>
    <row r="29" spans="1:8" ht="78.75">
      <c r="A29" s="25" t="s">
        <v>144</v>
      </c>
      <c r="B29" s="16">
        <v>902</v>
      </c>
      <c r="C29" s="20" t="s">
        <v>135</v>
      </c>
      <c r="D29" s="20" t="s">
        <v>167</v>
      </c>
      <c r="E29" s="20" t="s">
        <v>911</v>
      </c>
      <c r="F29" s="20" t="s">
        <v>145</v>
      </c>
      <c r="G29" s="26">
        <f>'Пр.6 ведом.20'!G29</f>
        <v>42343.714</v>
      </c>
      <c r="H29" s="26">
        <f t="shared" si="1"/>
        <v>42343.714</v>
      </c>
    </row>
    <row r="30" spans="1:8" ht="31.5">
      <c r="A30" s="25" t="s">
        <v>146</v>
      </c>
      <c r="B30" s="16">
        <v>902</v>
      </c>
      <c r="C30" s="20" t="s">
        <v>135</v>
      </c>
      <c r="D30" s="20" t="s">
        <v>167</v>
      </c>
      <c r="E30" s="20" t="s">
        <v>911</v>
      </c>
      <c r="F30" s="20" t="s">
        <v>147</v>
      </c>
      <c r="G30" s="26">
        <f>'Пр.6 ведом.20'!G30</f>
        <v>42343.714</v>
      </c>
      <c r="H30" s="26">
        <f t="shared" si="1"/>
        <v>42343.714</v>
      </c>
    </row>
    <row r="31" spans="1:8" ht="31.5">
      <c r="A31" s="25" t="s">
        <v>148</v>
      </c>
      <c r="B31" s="16">
        <v>902</v>
      </c>
      <c r="C31" s="20" t="s">
        <v>135</v>
      </c>
      <c r="D31" s="20" t="s">
        <v>167</v>
      </c>
      <c r="E31" s="20" t="s">
        <v>911</v>
      </c>
      <c r="F31" s="20" t="s">
        <v>149</v>
      </c>
      <c r="G31" s="26">
        <f>'Пр.6 ведом.20'!G31</f>
        <v>7262</v>
      </c>
      <c r="H31" s="26">
        <f t="shared" si="1"/>
        <v>7262</v>
      </c>
    </row>
    <row r="32" spans="1:8" ht="31.5">
      <c r="A32" s="25" t="s">
        <v>150</v>
      </c>
      <c r="B32" s="16">
        <v>902</v>
      </c>
      <c r="C32" s="20" t="s">
        <v>135</v>
      </c>
      <c r="D32" s="20" t="s">
        <v>167</v>
      </c>
      <c r="E32" s="20" t="s">
        <v>911</v>
      </c>
      <c r="F32" s="20" t="s">
        <v>151</v>
      </c>
      <c r="G32" s="26">
        <f>'Пр.6 ведом.20'!G32</f>
        <v>7262</v>
      </c>
      <c r="H32" s="26">
        <f t="shared" si="1"/>
        <v>7262</v>
      </c>
    </row>
    <row r="33" spans="1:8" ht="31.5">
      <c r="A33" s="25" t="s">
        <v>265</v>
      </c>
      <c r="B33" s="16">
        <v>902</v>
      </c>
      <c r="C33" s="20" t="s">
        <v>135</v>
      </c>
      <c r="D33" s="20" t="s">
        <v>167</v>
      </c>
      <c r="E33" s="20" t="s">
        <v>911</v>
      </c>
      <c r="F33" s="20" t="s">
        <v>266</v>
      </c>
      <c r="G33" s="26">
        <f>'Пр.6 ведом.20'!G33</f>
        <v>755</v>
      </c>
      <c r="H33" s="26">
        <f t="shared" si="1"/>
        <v>755</v>
      </c>
    </row>
    <row r="34" spans="1:8" ht="31.5">
      <c r="A34" s="25" t="s">
        <v>267</v>
      </c>
      <c r="B34" s="16">
        <v>902</v>
      </c>
      <c r="C34" s="20" t="s">
        <v>135</v>
      </c>
      <c r="D34" s="20" t="s">
        <v>167</v>
      </c>
      <c r="E34" s="20" t="s">
        <v>911</v>
      </c>
      <c r="F34" s="20" t="s">
        <v>268</v>
      </c>
      <c r="G34" s="26">
        <f>'Пр.6 ведом.20'!G34</f>
        <v>755</v>
      </c>
      <c r="H34" s="26">
        <f t="shared" si="1"/>
        <v>755</v>
      </c>
    </row>
    <row r="35" spans="1:8" ht="15.75">
      <c r="A35" s="25" t="s">
        <v>152</v>
      </c>
      <c r="B35" s="16">
        <v>902</v>
      </c>
      <c r="C35" s="20" t="s">
        <v>135</v>
      </c>
      <c r="D35" s="20" t="s">
        <v>167</v>
      </c>
      <c r="E35" s="20" t="s">
        <v>911</v>
      </c>
      <c r="F35" s="20" t="s">
        <v>162</v>
      </c>
      <c r="G35" s="26">
        <f>'Пр.6 ведом.20'!G35</f>
        <v>75.00000000000001</v>
      </c>
      <c r="H35" s="26">
        <f t="shared" si="1"/>
        <v>75.00000000000001</v>
      </c>
    </row>
    <row r="36" spans="1:8" ht="15.75">
      <c r="A36" s="25" t="s">
        <v>585</v>
      </c>
      <c r="B36" s="16">
        <v>902</v>
      </c>
      <c r="C36" s="20" t="s">
        <v>135</v>
      </c>
      <c r="D36" s="20" t="s">
        <v>167</v>
      </c>
      <c r="E36" s="20" t="s">
        <v>911</v>
      </c>
      <c r="F36" s="20" t="s">
        <v>155</v>
      </c>
      <c r="G36" s="26">
        <f>'Пр.6 ведом.20'!G36</f>
        <v>75.00000000000001</v>
      </c>
      <c r="H36" s="26">
        <f t="shared" si="1"/>
        <v>75.00000000000001</v>
      </c>
    </row>
    <row r="37" spans="1:8" ht="31.5">
      <c r="A37" s="25" t="s">
        <v>890</v>
      </c>
      <c r="B37" s="16">
        <v>902</v>
      </c>
      <c r="C37" s="20" t="s">
        <v>135</v>
      </c>
      <c r="D37" s="20" t="s">
        <v>167</v>
      </c>
      <c r="E37" s="20" t="s">
        <v>912</v>
      </c>
      <c r="F37" s="20"/>
      <c r="G37" s="26">
        <f>'Пр.6 ведом.20'!G37</f>
        <v>2500.071</v>
      </c>
      <c r="H37" s="26">
        <f t="shared" si="1"/>
        <v>2500.071</v>
      </c>
    </row>
    <row r="38" spans="1:8" ht="78.75">
      <c r="A38" s="25" t="s">
        <v>144</v>
      </c>
      <c r="B38" s="16">
        <v>902</v>
      </c>
      <c r="C38" s="20" t="s">
        <v>135</v>
      </c>
      <c r="D38" s="20" t="s">
        <v>167</v>
      </c>
      <c r="E38" s="20" t="s">
        <v>912</v>
      </c>
      <c r="F38" s="20" t="s">
        <v>145</v>
      </c>
      <c r="G38" s="26">
        <f>'Пр.6 ведом.20'!G38</f>
        <v>2500.071</v>
      </c>
      <c r="H38" s="26">
        <f t="shared" si="1"/>
        <v>2500.071</v>
      </c>
    </row>
    <row r="39" spans="1:8" ht="31.5">
      <c r="A39" s="25" t="s">
        <v>146</v>
      </c>
      <c r="B39" s="16">
        <v>902</v>
      </c>
      <c r="C39" s="20" t="s">
        <v>135</v>
      </c>
      <c r="D39" s="20" t="s">
        <v>167</v>
      </c>
      <c r="E39" s="20" t="s">
        <v>912</v>
      </c>
      <c r="F39" s="20" t="s">
        <v>147</v>
      </c>
      <c r="G39" s="26">
        <f>'Пр.6 ведом.20'!G39</f>
        <v>2500.071</v>
      </c>
      <c r="H39" s="26">
        <f t="shared" si="1"/>
        <v>2500.071</v>
      </c>
    </row>
    <row r="40" spans="1:8" ht="47.25">
      <c r="A40" s="25" t="s">
        <v>889</v>
      </c>
      <c r="B40" s="16">
        <v>902</v>
      </c>
      <c r="C40" s="20" t="s">
        <v>135</v>
      </c>
      <c r="D40" s="20" t="s">
        <v>167</v>
      </c>
      <c r="E40" s="20" t="s">
        <v>913</v>
      </c>
      <c r="F40" s="20"/>
      <c r="G40" s="26">
        <f>'Пр.6 ведом.20'!G40</f>
        <v>1500</v>
      </c>
      <c r="H40" s="26">
        <f t="shared" si="1"/>
        <v>1500</v>
      </c>
    </row>
    <row r="41" spans="1:8" ht="78.75">
      <c r="A41" s="25" t="s">
        <v>144</v>
      </c>
      <c r="B41" s="16">
        <v>902</v>
      </c>
      <c r="C41" s="20" t="s">
        <v>135</v>
      </c>
      <c r="D41" s="20" t="s">
        <v>167</v>
      </c>
      <c r="E41" s="20" t="s">
        <v>913</v>
      </c>
      <c r="F41" s="20" t="s">
        <v>145</v>
      </c>
      <c r="G41" s="26">
        <f>'Пр.6 ведом.20'!G41</f>
        <v>1500</v>
      </c>
      <c r="H41" s="26">
        <f t="shared" si="1"/>
        <v>1500</v>
      </c>
    </row>
    <row r="42" spans="1:8" ht="31.5">
      <c r="A42" s="25" t="s">
        <v>146</v>
      </c>
      <c r="B42" s="16">
        <v>902</v>
      </c>
      <c r="C42" s="20" t="s">
        <v>135</v>
      </c>
      <c r="D42" s="20" t="s">
        <v>167</v>
      </c>
      <c r="E42" s="20" t="s">
        <v>913</v>
      </c>
      <c r="F42" s="20" t="s">
        <v>147</v>
      </c>
      <c r="G42" s="26">
        <f>'Пр.6 ведом.20'!G42</f>
        <v>1500</v>
      </c>
      <c r="H42" s="26">
        <f t="shared" si="1"/>
        <v>1500</v>
      </c>
    </row>
    <row r="43" spans="1:8" ht="31.5">
      <c r="A43" s="23" t="s">
        <v>937</v>
      </c>
      <c r="B43" s="19">
        <v>902</v>
      </c>
      <c r="C43" s="24" t="s">
        <v>135</v>
      </c>
      <c r="D43" s="24" t="s">
        <v>167</v>
      </c>
      <c r="E43" s="24" t="s">
        <v>914</v>
      </c>
      <c r="F43" s="24"/>
      <c r="G43" s="21">
        <f>G44+G49+G54+G59</f>
        <v>3191.8</v>
      </c>
      <c r="H43" s="21">
        <f>H44+H49+H54+H59</f>
        <v>3191.8</v>
      </c>
    </row>
    <row r="44" spans="1:8" ht="47.25" hidden="1">
      <c r="A44" s="25" t="s">
        <v>804</v>
      </c>
      <c r="B44" s="16">
        <v>902</v>
      </c>
      <c r="C44" s="20" t="s">
        <v>135</v>
      </c>
      <c r="D44" s="20" t="s">
        <v>167</v>
      </c>
      <c r="E44" s="20" t="s">
        <v>999</v>
      </c>
      <c r="F44" s="24"/>
      <c r="G44" s="26">
        <f>'Пр.6 ведом.20'!G44</f>
        <v>0</v>
      </c>
      <c r="H44" s="26">
        <f t="shared" si="1"/>
        <v>0</v>
      </c>
    </row>
    <row r="45" spans="1:8" ht="78.75" hidden="1">
      <c r="A45" s="25" t="s">
        <v>144</v>
      </c>
      <c r="B45" s="16">
        <v>902</v>
      </c>
      <c r="C45" s="20" t="s">
        <v>135</v>
      </c>
      <c r="D45" s="20" t="s">
        <v>167</v>
      </c>
      <c r="E45" s="20" t="s">
        <v>999</v>
      </c>
      <c r="F45" s="20" t="s">
        <v>145</v>
      </c>
      <c r="G45" s="26">
        <f>'Пр.6 ведом.20'!G45</f>
        <v>0</v>
      </c>
      <c r="H45" s="26">
        <f t="shared" si="1"/>
        <v>0</v>
      </c>
    </row>
    <row r="46" spans="1:8" ht="31.5" hidden="1">
      <c r="A46" s="25" t="s">
        <v>146</v>
      </c>
      <c r="B46" s="16">
        <v>902</v>
      </c>
      <c r="C46" s="20" t="s">
        <v>135</v>
      </c>
      <c r="D46" s="20" t="s">
        <v>167</v>
      </c>
      <c r="E46" s="20" t="s">
        <v>999</v>
      </c>
      <c r="F46" s="20" t="s">
        <v>147</v>
      </c>
      <c r="G46" s="26">
        <f>'Пр.6 ведом.20'!G46</f>
        <v>0</v>
      </c>
      <c r="H46" s="26">
        <f t="shared" si="1"/>
        <v>0</v>
      </c>
    </row>
    <row r="47" spans="1:8" ht="31.5" hidden="1">
      <c r="A47" s="25" t="s">
        <v>148</v>
      </c>
      <c r="B47" s="16">
        <v>902</v>
      </c>
      <c r="C47" s="20" t="s">
        <v>135</v>
      </c>
      <c r="D47" s="20" t="s">
        <v>167</v>
      </c>
      <c r="E47" s="20" t="s">
        <v>999</v>
      </c>
      <c r="F47" s="20" t="s">
        <v>149</v>
      </c>
      <c r="G47" s="26">
        <f>'Пр.6 ведом.20'!G47</f>
        <v>0</v>
      </c>
      <c r="H47" s="26">
        <f t="shared" si="1"/>
        <v>0</v>
      </c>
    </row>
    <row r="48" spans="1:8" ht="31.5" hidden="1">
      <c r="A48" s="25" t="s">
        <v>150</v>
      </c>
      <c r="B48" s="16">
        <v>902</v>
      </c>
      <c r="C48" s="20" t="s">
        <v>135</v>
      </c>
      <c r="D48" s="20" t="s">
        <v>167</v>
      </c>
      <c r="E48" s="20" t="s">
        <v>999</v>
      </c>
      <c r="F48" s="20" t="s">
        <v>151</v>
      </c>
      <c r="G48" s="26">
        <f>'Пр.6 ведом.20'!G48</f>
        <v>0</v>
      </c>
      <c r="H48" s="26">
        <f t="shared" si="1"/>
        <v>0</v>
      </c>
    </row>
    <row r="49" spans="1:8" ht="47.25">
      <c r="A49" s="32" t="s">
        <v>206</v>
      </c>
      <c r="B49" s="16">
        <v>902</v>
      </c>
      <c r="C49" s="20" t="s">
        <v>135</v>
      </c>
      <c r="D49" s="20" t="s">
        <v>167</v>
      </c>
      <c r="E49" s="20" t="s">
        <v>1000</v>
      </c>
      <c r="F49" s="20"/>
      <c r="G49" s="26">
        <f>'Пр.6 ведом.20'!G49</f>
        <v>741.4000000000001</v>
      </c>
      <c r="H49" s="26">
        <f t="shared" si="1"/>
        <v>741.4000000000001</v>
      </c>
    </row>
    <row r="50" spans="1:8" ht="78.75">
      <c r="A50" s="25" t="s">
        <v>144</v>
      </c>
      <c r="B50" s="16">
        <v>902</v>
      </c>
      <c r="C50" s="20" t="s">
        <v>135</v>
      </c>
      <c r="D50" s="20" t="s">
        <v>167</v>
      </c>
      <c r="E50" s="20" t="s">
        <v>1000</v>
      </c>
      <c r="F50" s="20" t="s">
        <v>145</v>
      </c>
      <c r="G50" s="26">
        <f>'Пр.6 ведом.20'!G50</f>
        <v>528.7</v>
      </c>
      <c r="H50" s="26">
        <f t="shared" si="1"/>
        <v>528.7</v>
      </c>
    </row>
    <row r="51" spans="1:8" ht="31.5">
      <c r="A51" s="25" t="s">
        <v>146</v>
      </c>
      <c r="B51" s="16">
        <v>902</v>
      </c>
      <c r="C51" s="20" t="s">
        <v>135</v>
      </c>
      <c r="D51" s="20" t="s">
        <v>167</v>
      </c>
      <c r="E51" s="20" t="s">
        <v>1000</v>
      </c>
      <c r="F51" s="20" t="s">
        <v>147</v>
      </c>
      <c r="G51" s="26">
        <f>'Пр.6 ведом.20'!G51</f>
        <v>528.7</v>
      </c>
      <c r="H51" s="26">
        <f t="shared" si="1"/>
        <v>528.7</v>
      </c>
    </row>
    <row r="52" spans="1:8" ht="31.5">
      <c r="A52" s="25" t="s">
        <v>148</v>
      </c>
      <c r="B52" s="16">
        <v>902</v>
      </c>
      <c r="C52" s="20" t="s">
        <v>135</v>
      </c>
      <c r="D52" s="20" t="s">
        <v>167</v>
      </c>
      <c r="E52" s="20" t="s">
        <v>1000</v>
      </c>
      <c r="F52" s="20" t="s">
        <v>149</v>
      </c>
      <c r="G52" s="26">
        <f>'Пр.6 ведом.20'!G52</f>
        <v>212.7</v>
      </c>
      <c r="H52" s="26">
        <f t="shared" si="1"/>
        <v>212.7</v>
      </c>
    </row>
    <row r="53" spans="1:8" ht="31.5">
      <c r="A53" s="25" t="s">
        <v>150</v>
      </c>
      <c r="B53" s="16">
        <v>902</v>
      </c>
      <c r="C53" s="20" t="s">
        <v>135</v>
      </c>
      <c r="D53" s="20" t="s">
        <v>167</v>
      </c>
      <c r="E53" s="20" t="s">
        <v>1000</v>
      </c>
      <c r="F53" s="20" t="s">
        <v>151</v>
      </c>
      <c r="G53" s="26">
        <f>'Пр.6 ведом.20'!G53</f>
        <v>212.7</v>
      </c>
      <c r="H53" s="26">
        <f t="shared" si="1"/>
        <v>212.7</v>
      </c>
    </row>
    <row r="54" spans="1:8" ht="47.25">
      <c r="A54" s="32" t="s">
        <v>211</v>
      </c>
      <c r="B54" s="16">
        <v>902</v>
      </c>
      <c r="C54" s="20" t="s">
        <v>135</v>
      </c>
      <c r="D54" s="20" t="s">
        <v>167</v>
      </c>
      <c r="E54" s="20" t="s">
        <v>1212</v>
      </c>
      <c r="F54" s="20"/>
      <c r="G54" s="26">
        <f>'Пр.6 ведом.20'!G54</f>
        <v>1333.1</v>
      </c>
      <c r="H54" s="26">
        <f t="shared" si="1"/>
        <v>1333.1</v>
      </c>
    </row>
    <row r="55" spans="1:8" ht="78.75">
      <c r="A55" s="25" t="s">
        <v>144</v>
      </c>
      <c r="B55" s="16">
        <v>902</v>
      </c>
      <c r="C55" s="20" t="s">
        <v>135</v>
      </c>
      <c r="D55" s="20" t="s">
        <v>167</v>
      </c>
      <c r="E55" s="20" t="s">
        <v>1212</v>
      </c>
      <c r="F55" s="20" t="s">
        <v>145</v>
      </c>
      <c r="G55" s="26">
        <f>'Пр.6 ведом.20'!G55</f>
        <v>1271.8999999999999</v>
      </c>
      <c r="H55" s="26">
        <f t="shared" si="1"/>
        <v>1271.8999999999999</v>
      </c>
    </row>
    <row r="56" spans="1:8" ht="31.5">
      <c r="A56" s="25" t="s">
        <v>146</v>
      </c>
      <c r="B56" s="16">
        <v>902</v>
      </c>
      <c r="C56" s="20" t="s">
        <v>135</v>
      </c>
      <c r="D56" s="20" t="s">
        <v>167</v>
      </c>
      <c r="E56" s="20" t="s">
        <v>1212</v>
      </c>
      <c r="F56" s="20" t="s">
        <v>147</v>
      </c>
      <c r="G56" s="26">
        <f>'Пр.6 ведом.20'!G56</f>
        <v>1271.8999999999999</v>
      </c>
      <c r="H56" s="26">
        <f t="shared" si="1"/>
        <v>1271.8999999999999</v>
      </c>
    </row>
    <row r="57" spans="1:8" ht="31.5">
      <c r="A57" s="25" t="s">
        <v>148</v>
      </c>
      <c r="B57" s="16">
        <v>902</v>
      </c>
      <c r="C57" s="20" t="s">
        <v>135</v>
      </c>
      <c r="D57" s="20" t="s">
        <v>167</v>
      </c>
      <c r="E57" s="20" t="s">
        <v>1212</v>
      </c>
      <c r="F57" s="20" t="s">
        <v>149</v>
      </c>
      <c r="G57" s="26">
        <f>'Пр.6 ведом.20'!G57</f>
        <v>61.2</v>
      </c>
      <c r="H57" s="26">
        <f t="shared" si="1"/>
        <v>61.2</v>
      </c>
    </row>
    <row r="58" spans="1:8" ht="31.5">
      <c r="A58" s="25" t="s">
        <v>150</v>
      </c>
      <c r="B58" s="16">
        <v>902</v>
      </c>
      <c r="C58" s="20" t="s">
        <v>135</v>
      </c>
      <c r="D58" s="20" t="s">
        <v>167</v>
      </c>
      <c r="E58" s="20" t="s">
        <v>1212</v>
      </c>
      <c r="F58" s="20" t="s">
        <v>151</v>
      </c>
      <c r="G58" s="26">
        <f>'Пр.6 ведом.20'!G58</f>
        <v>61.2</v>
      </c>
      <c r="H58" s="26">
        <f t="shared" si="1"/>
        <v>61.2</v>
      </c>
    </row>
    <row r="59" spans="1:8" ht="47.25">
      <c r="A59" s="32" t="s">
        <v>213</v>
      </c>
      <c r="B59" s="16">
        <v>902</v>
      </c>
      <c r="C59" s="20" t="s">
        <v>135</v>
      </c>
      <c r="D59" s="20" t="s">
        <v>167</v>
      </c>
      <c r="E59" s="20" t="s">
        <v>1001</v>
      </c>
      <c r="F59" s="20"/>
      <c r="G59" s="26">
        <f>'Пр.6 ведом.20'!G59</f>
        <v>1117.3</v>
      </c>
      <c r="H59" s="26">
        <f t="shared" si="1"/>
        <v>1117.3</v>
      </c>
    </row>
    <row r="60" spans="1:8" ht="78.75">
      <c r="A60" s="25" t="s">
        <v>144</v>
      </c>
      <c r="B60" s="16">
        <v>902</v>
      </c>
      <c r="C60" s="20" t="s">
        <v>135</v>
      </c>
      <c r="D60" s="20" t="s">
        <v>167</v>
      </c>
      <c r="E60" s="20" t="s">
        <v>1001</v>
      </c>
      <c r="F60" s="20" t="s">
        <v>145</v>
      </c>
      <c r="G60" s="26">
        <f>'Пр.6 ведом.20'!G60</f>
        <v>1026.5</v>
      </c>
      <c r="H60" s="26">
        <f t="shared" si="1"/>
        <v>1026.5</v>
      </c>
    </row>
    <row r="61" spans="1:8" ht="31.5">
      <c r="A61" s="25" t="s">
        <v>146</v>
      </c>
      <c r="B61" s="16">
        <v>902</v>
      </c>
      <c r="C61" s="20" t="s">
        <v>135</v>
      </c>
      <c r="D61" s="20" t="s">
        <v>167</v>
      </c>
      <c r="E61" s="20" t="s">
        <v>1001</v>
      </c>
      <c r="F61" s="20" t="s">
        <v>147</v>
      </c>
      <c r="G61" s="26">
        <f>'Пр.6 ведом.20'!G61</f>
        <v>1026.5</v>
      </c>
      <c r="H61" s="26">
        <f t="shared" si="1"/>
        <v>1026.5</v>
      </c>
    </row>
    <row r="62" spans="1:8" ht="31.5">
      <c r="A62" s="25" t="s">
        <v>215</v>
      </c>
      <c r="B62" s="16">
        <v>902</v>
      </c>
      <c r="C62" s="20" t="s">
        <v>135</v>
      </c>
      <c r="D62" s="20" t="s">
        <v>167</v>
      </c>
      <c r="E62" s="20" t="s">
        <v>1001</v>
      </c>
      <c r="F62" s="20" t="s">
        <v>149</v>
      </c>
      <c r="G62" s="26">
        <f>'Пр.6 ведом.20'!G62</f>
        <v>90.8</v>
      </c>
      <c r="H62" s="26">
        <f t="shared" si="1"/>
        <v>90.8</v>
      </c>
    </row>
    <row r="63" spans="1:8" ht="31.5">
      <c r="A63" s="25" t="s">
        <v>150</v>
      </c>
      <c r="B63" s="16">
        <v>902</v>
      </c>
      <c r="C63" s="20" t="s">
        <v>135</v>
      </c>
      <c r="D63" s="20" t="s">
        <v>167</v>
      </c>
      <c r="E63" s="20" t="s">
        <v>1001</v>
      </c>
      <c r="F63" s="20" t="s">
        <v>151</v>
      </c>
      <c r="G63" s="26">
        <f>'Пр.6 ведом.20'!G63</f>
        <v>90.8</v>
      </c>
      <c r="H63" s="26">
        <f t="shared" si="1"/>
        <v>90.8</v>
      </c>
    </row>
    <row r="64" spans="1:8" ht="47.25">
      <c r="A64" s="23" t="s">
        <v>822</v>
      </c>
      <c r="B64" s="19">
        <v>902</v>
      </c>
      <c r="C64" s="24" t="s">
        <v>135</v>
      </c>
      <c r="D64" s="24" t="s">
        <v>167</v>
      </c>
      <c r="E64" s="24" t="s">
        <v>179</v>
      </c>
      <c r="F64" s="24"/>
      <c r="G64" s="21">
        <f>G65+G69+G75</f>
        <v>780.5</v>
      </c>
      <c r="H64" s="21">
        <f>H65+H69+H75</f>
        <v>780.5</v>
      </c>
    </row>
    <row r="65" spans="1:8" ht="63">
      <c r="A65" s="322" t="s">
        <v>1164</v>
      </c>
      <c r="B65" s="19">
        <v>902</v>
      </c>
      <c r="C65" s="24" t="s">
        <v>135</v>
      </c>
      <c r="D65" s="24" t="s">
        <v>167</v>
      </c>
      <c r="E65" s="7" t="s">
        <v>900</v>
      </c>
      <c r="F65" s="24"/>
      <c r="G65" s="21">
        <f>G66</f>
        <v>491</v>
      </c>
      <c r="H65" s="21">
        <f>H66</f>
        <v>491</v>
      </c>
    </row>
    <row r="66" spans="1:8" ht="31.5">
      <c r="A66" s="30" t="s">
        <v>1163</v>
      </c>
      <c r="B66" s="16">
        <v>902</v>
      </c>
      <c r="C66" s="20" t="s">
        <v>135</v>
      </c>
      <c r="D66" s="20" t="s">
        <v>167</v>
      </c>
      <c r="E66" s="41" t="s">
        <v>892</v>
      </c>
      <c r="F66" s="20"/>
      <c r="G66" s="26">
        <f>'Пр.6 ведом.20'!G66</f>
        <v>491</v>
      </c>
      <c r="H66" s="26">
        <f t="shared" si="1"/>
        <v>491</v>
      </c>
    </row>
    <row r="67" spans="1:8" ht="31.5">
      <c r="A67" s="25" t="s">
        <v>148</v>
      </c>
      <c r="B67" s="16">
        <v>902</v>
      </c>
      <c r="C67" s="20" t="s">
        <v>135</v>
      </c>
      <c r="D67" s="20" t="s">
        <v>167</v>
      </c>
      <c r="E67" s="41" t="s">
        <v>892</v>
      </c>
      <c r="F67" s="20" t="s">
        <v>149</v>
      </c>
      <c r="G67" s="26">
        <f>'Пр.6 ведом.20'!G67</f>
        <v>491</v>
      </c>
      <c r="H67" s="26">
        <f t="shared" si="1"/>
        <v>491</v>
      </c>
    </row>
    <row r="68" spans="1:8" ht="31.5">
      <c r="A68" s="25" t="s">
        <v>150</v>
      </c>
      <c r="B68" s="16">
        <v>902</v>
      </c>
      <c r="C68" s="20" t="s">
        <v>135</v>
      </c>
      <c r="D68" s="20" t="s">
        <v>167</v>
      </c>
      <c r="E68" s="41" t="s">
        <v>892</v>
      </c>
      <c r="F68" s="20" t="s">
        <v>151</v>
      </c>
      <c r="G68" s="26">
        <f>'Пр.6 ведом.20'!G68</f>
        <v>491</v>
      </c>
      <c r="H68" s="26">
        <f t="shared" si="1"/>
        <v>491</v>
      </c>
    </row>
    <row r="69" spans="1:8" ht="63">
      <c r="A69" s="321" t="s">
        <v>894</v>
      </c>
      <c r="B69" s="19">
        <v>902</v>
      </c>
      <c r="C69" s="24" t="s">
        <v>135</v>
      </c>
      <c r="D69" s="24" t="s">
        <v>167</v>
      </c>
      <c r="E69" s="7" t="s">
        <v>901</v>
      </c>
      <c r="F69" s="24"/>
      <c r="G69" s="21">
        <f>G70</f>
        <v>249</v>
      </c>
      <c r="H69" s="21">
        <f>H70</f>
        <v>249</v>
      </c>
    </row>
    <row r="70" spans="1:8" ht="47.25">
      <c r="A70" s="188" t="s">
        <v>182</v>
      </c>
      <c r="B70" s="16">
        <v>902</v>
      </c>
      <c r="C70" s="20" t="s">
        <v>135</v>
      </c>
      <c r="D70" s="20" t="s">
        <v>167</v>
      </c>
      <c r="E70" s="41" t="s">
        <v>893</v>
      </c>
      <c r="F70" s="20"/>
      <c r="G70" s="26">
        <f>'Пр.6 ведом.20'!G70</f>
        <v>249</v>
      </c>
      <c r="H70" s="26">
        <f t="shared" si="1"/>
        <v>249</v>
      </c>
    </row>
    <row r="71" spans="1:8" ht="78.75">
      <c r="A71" s="25" t="s">
        <v>144</v>
      </c>
      <c r="B71" s="16">
        <v>902</v>
      </c>
      <c r="C71" s="20" t="s">
        <v>135</v>
      </c>
      <c r="D71" s="20" t="s">
        <v>167</v>
      </c>
      <c r="E71" s="41" t="s">
        <v>893</v>
      </c>
      <c r="F71" s="20" t="s">
        <v>145</v>
      </c>
      <c r="G71" s="26">
        <f>'Пр.6 ведом.20'!G71</f>
        <v>159.7</v>
      </c>
      <c r="H71" s="26">
        <f t="shared" si="1"/>
        <v>159.7</v>
      </c>
    </row>
    <row r="72" spans="1:8" ht="31.5">
      <c r="A72" s="25" t="s">
        <v>146</v>
      </c>
      <c r="B72" s="16">
        <v>902</v>
      </c>
      <c r="C72" s="20" t="s">
        <v>135</v>
      </c>
      <c r="D72" s="20" t="s">
        <v>167</v>
      </c>
      <c r="E72" s="41" t="s">
        <v>893</v>
      </c>
      <c r="F72" s="20" t="s">
        <v>147</v>
      </c>
      <c r="G72" s="26">
        <f>'Пр.6 ведом.20'!G72</f>
        <v>159.7</v>
      </c>
      <c r="H72" s="26">
        <f t="shared" si="1"/>
        <v>159.7</v>
      </c>
    </row>
    <row r="73" spans="1:8" ht="31.5">
      <c r="A73" s="25" t="s">
        <v>148</v>
      </c>
      <c r="B73" s="16">
        <v>902</v>
      </c>
      <c r="C73" s="20" t="s">
        <v>135</v>
      </c>
      <c r="D73" s="20" t="s">
        <v>167</v>
      </c>
      <c r="E73" s="41" t="s">
        <v>893</v>
      </c>
      <c r="F73" s="20" t="s">
        <v>149</v>
      </c>
      <c r="G73" s="26">
        <f>'Пр.6 ведом.20'!G73</f>
        <v>89.30000000000001</v>
      </c>
      <c r="H73" s="26">
        <f aca="true" t="shared" si="2" ref="H73:H136">G73</f>
        <v>89.30000000000001</v>
      </c>
    </row>
    <row r="74" spans="1:8" ht="31.5">
      <c r="A74" s="25" t="s">
        <v>150</v>
      </c>
      <c r="B74" s="16">
        <v>902</v>
      </c>
      <c r="C74" s="20" t="s">
        <v>135</v>
      </c>
      <c r="D74" s="20" t="s">
        <v>167</v>
      </c>
      <c r="E74" s="41" t="s">
        <v>893</v>
      </c>
      <c r="F74" s="20" t="s">
        <v>151</v>
      </c>
      <c r="G74" s="26">
        <f>'Пр.6 ведом.20'!G74</f>
        <v>89.30000000000001</v>
      </c>
      <c r="H74" s="26">
        <f t="shared" si="2"/>
        <v>89.30000000000001</v>
      </c>
    </row>
    <row r="75" spans="1:8" ht="63">
      <c r="A75" s="323" t="s">
        <v>1165</v>
      </c>
      <c r="B75" s="19">
        <v>902</v>
      </c>
      <c r="C75" s="24" t="s">
        <v>135</v>
      </c>
      <c r="D75" s="24" t="s">
        <v>167</v>
      </c>
      <c r="E75" s="7" t="s">
        <v>902</v>
      </c>
      <c r="F75" s="24"/>
      <c r="G75" s="21">
        <f>G76+G79</f>
        <v>40.5</v>
      </c>
      <c r="H75" s="21">
        <f>H76+H79</f>
        <v>40.5</v>
      </c>
    </row>
    <row r="76" spans="1:8" ht="47.25">
      <c r="A76" s="34" t="s">
        <v>208</v>
      </c>
      <c r="B76" s="16">
        <v>902</v>
      </c>
      <c r="C76" s="20" t="s">
        <v>135</v>
      </c>
      <c r="D76" s="20" t="s">
        <v>167</v>
      </c>
      <c r="E76" s="41" t="s">
        <v>895</v>
      </c>
      <c r="F76" s="20"/>
      <c r="G76" s="26">
        <f>'Пр.6 ведом.20'!G76</f>
        <v>0.5</v>
      </c>
      <c r="H76" s="26">
        <f t="shared" si="2"/>
        <v>0.5</v>
      </c>
    </row>
    <row r="77" spans="1:8" ht="31.5">
      <c r="A77" s="25" t="s">
        <v>148</v>
      </c>
      <c r="B77" s="16">
        <v>902</v>
      </c>
      <c r="C77" s="20" t="s">
        <v>135</v>
      </c>
      <c r="D77" s="20" t="s">
        <v>167</v>
      </c>
      <c r="E77" s="41" t="s">
        <v>895</v>
      </c>
      <c r="F77" s="20" t="s">
        <v>149</v>
      </c>
      <c r="G77" s="26">
        <f>'Пр.6 ведом.20'!G77</f>
        <v>0.5</v>
      </c>
      <c r="H77" s="26">
        <f t="shared" si="2"/>
        <v>0.5</v>
      </c>
    </row>
    <row r="78" spans="1:8" ht="31.5">
      <c r="A78" s="25" t="s">
        <v>150</v>
      </c>
      <c r="B78" s="16">
        <v>902</v>
      </c>
      <c r="C78" s="20" t="s">
        <v>135</v>
      </c>
      <c r="D78" s="20" t="s">
        <v>167</v>
      </c>
      <c r="E78" s="41" t="s">
        <v>895</v>
      </c>
      <c r="F78" s="20" t="s">
        <v>151</v>
      </c>
      <c r="G78" s="26">
        <f>'Пр.6 ведом.20'!G78</f>
        <v>0.5</v>
      </c>
      <c r="H78" s="26">
        <f t="shared" si="2"/>
        <v>0.5</v>
      </c>
    </row>
    <row r="79" spans="1:8" ht="47.25">
      <c r="A79" s="34" t="s">
        <v>208</v>
      </c>
      <c r="B79" s="16">
        <v>902</v>
      </c>
      <c r="C79" s="20" t="s">
        <v>135</v>
      </c>
      <c r="D79" s="20" t="s">
        <v>167</v>
      </c>
      <c r="E79" s="20" t="s">
        <v>896</v>
      </c>
      <c r="F79" s="20"/>
      <c r="G79" s="26">
        <f>'Пр.6 ведом.20'!G79</f>
        <v>40</v>
      </c>
      <c r="H79" s="26">
        <f t="shared" si="2"/>
        <v>40</v>
      </c>
    </row>
    <row r="80" spans="1:8" ht="31.5">
      <c r="A80" s="25" t="s">
        <v>148</v>
      </c>
      <c r="B80" s="16">
        <v>902</v>
      </c>
      <c r="C80" s="20" t="s">
        <v>135</v>
      </c>
      <c r="D80" s="20" t="s">
        <v>167</v>
      </c>
      <c r="E80" s="20" t="s">
        <v>896</v>
      </c>
      <c r="F80" s="20" t="s">
        <v>149</v>
      </c>
      <c r="G80" s="26">
        <f>'Пр.6 ведом.20'!G80</f>
        <v>40</v>
      </c>
      <c r="H80" s="26">
        <f t="shared" si="2"/>
        <v>40</v>
      </c>
    </row>
    <row r="81" spans="1:8" ht="31.5">
      <c r="A81" s="25" t="s">
        <v>150</v>
      </c>
      <c r="B81" s="16">
        <v>902</v>
      </c>
      <c r="C81" s="20" t="s">
        <v>135</v>
      </c>
      <c r="D81" s="20" t="s">
        <v>167</v>
      </c>
      <c r="E81" s="20" t="s">
        <v>896</v>
      </c>
      <c r="F81" s="20" t="s">
        <v>151</v>
      </c>
      <c r="G81" s="26">
        <f>'Пр.6 ведом.20'!G81</f>
        <v>40</v>
      </c>
      <c r="H81" s="26">
        <f t="shared" si="2"/>
        <v>40</v>
      </c>
    </row>
    <row r="82" spans="1:8" ht="47.25">
      <c r="A82" s="23" t="s">
        <v>136</v>
      </c>
      <c r="B82" s="19">
        <v>902</v>
      </c>
      <c r="C82" s="24" t="s">
        <v>135</v>
      </c>
      <c r="D82" s="24" t="s">
        <v>137</v>
      </c>
      <c r="E82" s="24"/>
      <c r="F82" s="20"/>
      <c r="G82" s="21">
        <f>G83</f>
        <v>1441.234</v>
      </c>
      <c r="H82" s="21">
        <f>H83</f>
        <v>1441.234</v>
      </c>
    </row>
    <row r="83" spans="1:8" ht="31.5">
      <c r="A83" s="23" t="s">
        <v>995</v>
      </c>
      <c r="B83" s="19">
        <v>902</v>
      </c>
      <c r="C83" s="24" t="s">
        <v>135</v>
      </c>
      <c r="D83" s="24" t="s">
        <v>137</v>
      </c>
      <c r="E83" s="24" t="s">
        <v>909</v>
      </c>
      <c r="F83" s="24"/>
      <c r="G83" s="21">
        <f>G84</f>
        <v>1441.234</v>
      </c>
      <c r="H83" s="21">
        <f>H84</f>
        <v>1441.234</v>
      </c>
    </row>
    <row r="84" spans="1:8" ht="15.75">
      <c r="A84" s="23" t="s">
        <v>996</v>
      </c>
      <c r="B84" s="19">
        <v>902</v>
      </c>
      <c r="C84" s="24" t="s">
        <v>135</v>
      </c>
      <c r="D84" s="24" t="s">
        <v>137</v>
      </c>
      <c r="E84" s="24" t="s">
        <v>910</v>
      </c>
      <c r="F84" s="24"/>
      <c r="G84" s="21">
        <f>G85+G88</f>
        <v>1441.234</v>
      </c>
      <c r="H84" s="21">
        <f>H85+H88</f>
        <v>1441.234</v>
      </c>
    </row>
    <row r="85" spans="1:8" ht="31.5">
      <c r="A85" s="25" t="s">
        <v>972</v>
      </c>
      <c r="B85" s="16">
        <v>902</v>
      </c>
      <c r="C85" s="20" t="s">
        <v>135</v>
      </c>
      <c r="D85" s="20" t="s">
        <v>137</v>
      </c>
      <c r="E85" s="20" t="s">
        <v>911</v>
      </c>
      <c r="F85" s="20"/>
      <c r="G85" s="26">
        <f>'Пр.6 ведом.20'!G85</f>
        <v>1291.234</v>
      </c>
      <c r="H85" s="26">
        <f t="shared" si="2"/>
        <v>1291.234</v>
      </c>
    </row>
    <row r="86" spans="1:8" ht="78.75">
      <c r="A86" s="25" t="s">
        <v>144</v>
      </c>
      <c r="B86" s="16">
        <v>902</v>
      </c>
      <c r="C86" s="20" t="s">
        <v>135</v>
      </c>
      <c r="D86" s="20" t="s">
        <v>137</v>
      </c>
      <c r="E86" s="20" t="s">
        <v>911</v>
      </c>
      <c r="F86" s="20" t="s">
        <v>145</v>
      </c>
      <c r="G86" s="26">
        <f>'Пр.6 ведом.20'!G86</f>
        <v>1291.234</v>
      </c>
      <c r="H86" s="26">
        <f t="shared" si="2"/>
        <v>1291.234</v>
      </c>
    </row>
    <row r="87" spans="1:8" ht="31.5">
      <c r="A87" s="25" t="s">
        <v>146</v>
      </c>
      <c r="B87" s="16">
        <v>902</v>
      </c>
      <c r="C87" s="20" t="s">
        <v>135</v>
      </c>
      <c r="D87" s="20" t="s">
        <v>137</v>
      </c>
      <c r="E87" s="20" t="s">
        <v>911</v>
      </c>
      <c r="F87" s="20" t="s">
        <v>147</v>
      </c>
      <c r="G87" s="26">
        <f>'Пр.6 ведом.20'!G87</f>
        <v>1291.234</v>
      </c>
      <c r="H87" s="26">
        <f t="shared" si="2"/>
        <v>1291.234</v>
      </c>
    </row>
    <row r="88" spans="1:8" ht="47.25">
      <c r="A88" s="25" t="s">
        <v>889</v>
      </c>
      <c r="B88" s="16">
        <v>902</v>
      </c>
      <c r="C88" s="20" t="s">
        <v>135</v>
      </c>
      <c r="D88" s="20" t="s">
        <v>137</v>
      </c>
      <c r="E88" s="20" t="s">
        <v>913</v>
      </c>
      <c r="F88" s="20"/>
      <c r="G88" s="26">
        <f>'Пр.6 ведом.20'!G88</f>
        <v>150</v>
      </c>
      <c r="H88" s="26">
        <f t="shared" si="2"/>
        <v>150</v>
      </c>
    </row>
    <row r="89" spans="1:8" ht="78.75">
      <c r="A89" s="25" t="s">
        <v>144</v>
      </c>
      <c r="B89" s="16">
        <v>902</v>
      </c>
      <c r="C89" s="20" t="s">
        <v>135</v>
      </c>
      <c r="D89" s="20" t="s">
        <v>137</v>
      </c>
      <c r="E89" s="20" t="s">
        <v>913</v>
      </c>
      <c r="F89" s="20" t="s">
        <v>145</v>
      </c>
      <c r="G89" s="26">
        <f>'Пр.6 ведом.20'!G89</f>
        <v>150</v>
      </c>
      <c r="H89" s="26">
        <f t="shared" si="2"/>
        <v>150</v>
      </c>
    </row>
    <row r="90" spans="1:8" ht="31.5">
      <c r="A90" s="25" t="s">
        <v>146</v>
      </c>
      <c r="B90" s="16">
        <v>902</v>
      </c>
      <c r="C90" s="20" t="s">
        <v>135</v>
      </c>
      <c r="D90" s="20" t="s">
        <v>137</v>
      </c>
      <c r="E90" s="20" t="s">
        <v>913</v>
      </c>
      <c r="F90" s="20" t="s">
        <v>147</v>
      </c>
      <c r="G90" s="26">
        <f>'Пр.6 ведом.20'!G90</f>
        <v>150</v>
      </c>
      <c r="H90" s="26">
        <f t="shared" si="2"/>
        <v>150</v>
      </c>
    </row>
    <row r="91" spans="1:8" ht="15.75">
      <c r="A91" s="23" t="s">
        <v>156</v>
      </c>
      <c r="B91" s="19">
        <v>902</v>
      </c>
      <c r="C91" s="24" t="s">
        <v>135</v>
      </c>
      <c r="D91" s="24" t="s">
        <v>157</v>
      </c>
      <c r="E91" s="24"/>
      <c r="F91" s="24"/>
      <c r="G91" s="21">
        <f>G102+G111+G92+G116</f>
        <v>5976.696</v>
      </c>
      <c r="H91" s="21">
        <f>H102+H111+H92+H116</f>
        <v>5976.696</v>
      </c>
    </row>
    <row r="92" spans="1:8" ht="15.75">
      <c r="A92" s="23" t="s">
        <v>158</v>
      </c>
      <c r="B92" s="19">
        <v>902</v>
      </c>
      <c r="C92" s="24" t="s">
        <v>135</v>
      </c>
      <c r="D92" s="24" t="s">
        <v>157</v>
      </c>
      <c r="E92" s="24" t="s">
        <v>917</v>
      </c>
      <c r="F92" s="24"/>
      <c r="G92" s="21">
        <f>G93</f>
        <v>5796.696</v>
      </c>
      <c r="H92" s="21">
        <f>H93</f>
        <v>5796.696</v>
      </c>
    </row>
    <row r="93" spans="1:8" ht="31.5">
      <c r="A93" s="23" t="s">
        <v>1002</v>
      </c>
      <c r="B93" s="19">
        <v>902</v>
      </c>
      <c r="C93" s="24" t="s">
        <v>135</v>
      </c>
      <c r="D93" s="24" t="s">
        <v>157</v>
      </c>
      <c r="E93" s="24" t="s">
        <v>918</v>
      </c>
      <c r="F93" s="24"/>
      <c r="G93" s="21">
        <f>G94+G99</f>
        <v>5796.696</v>
      </c>
      <c r="H93" s="21">
        <f>H94+H99</f>
        <v>5796.696</v>
      </c>
    </row>
    <row r="94" spans="1:8" ht="31.5">
      <c r="A94" s="25" t="s">
        <v>1008</v>
      </c>
      <c r="B94" s="16">
        <v>902</v>
      </c>
      <c r="C94" s="20" t="s">
        <v>135</v>
      </c>
      <c r="D94" s="20" t="s">
        <v>157</v>
      </c>
      <c r="E94" s="20" t="s">
        <v>919</v>
      </c>
      <c r="F94" s="20"/>
      <c r="G94" s="26">
        <f>'Пр.6 ведом.20'!G94</f>
        <v>5666.696</v>
      </c>
      <c r="H94" s="26">
        <f t="shared" si="2"/>
        <v>5666.696</v>
      </c>
    </row>
    <row r="95" spans="1:8" ht="78.75">
      <c r="A95" s="25" t="s">
        <v>144</v>
      </c>
      <c r="B95" s="16">
        <v>902</v>
      </c>
      <c r="C95" s="20" t="s">
        <v>135</v>
      </c>
      <c r="D95" s="20" t="s">
        <v>157</v>
      </c>
      <c r="E95" s="20" t="s">
        <v>919</v>
      </c>
      <c r="F95" s="20" t="s">
        <v>145</v>
      </c>
      <c r="G95" s="26">
        <f>'Пр.6 ведом.20'!G95</f>
        <v>4455.696</v>
      </c>
      <c r="H95" s="26">
        <f t="shared" si="2"/>
        <v>4455.696</v>
      </c>
    </row>
    <row r="96" spans="1:8" ht="15.75">
      <c r="A96" s="25" t="s">
        <v>225</v>
      </c>
      <c r="B96" s="16">
        <v>902</v>
      </c>
      <c r="C96" s="20" t="s">
        <v>135</v>
      </c>
      <c r="D96" s="20" t="s">
        <v>157</v>
      </c>
      <c r="E96" s="20" t="s">
        <v>919</v>
      </c>
      <c r="F96" s="20" t="s">
        <v>226</v>
      </c>
      <c r="G96" s="26">
        <f>'Пр.6 ведом.20'!G96</f>
        <v>4455.696</v>
      </c>
      <c r="H96" s="26">
        <f t="shared" si="2"/>
        <v>4455.696</v>
      </c>
    </row>
    <row r="97" spans="1:8" ht="31.5">
      <c r="A97" s="25" t="s">
        <v>215</v>
      </c>
      <c r="B97" s="16">
        <v>902</v>
      </c>
      <c r="C97" s="20" t="s">
        <v>135</v>
      </c>
      <c r="D97" s="20" t="s">
        <v>157</v>
      </c>
      <c r="E97" s="20" t="s">
        <v>919</v>
      </c>
      <c r="F97" s="20" t="s">
        <v>149</v>
      </c>
      <c r="G97" s="26">
        <f>'Пр.6 ведом.20'!G97</f>
        <v>1211</v>
      </c>
      <c r="H97" s="26">
        <f t="shared" si="2"/>
        <v>1211</v>
      </c>
    </row>
    <row r="98" spans="1:8" ht="31.5">
      <c r="A98" s="25" t="s">
        <v>150</v>
      </c>
      <c r="B98" s="16">
        <v>902</v>
      </c>
      <c r="C98" s="20" t="s">
        <v>135</v>
      </c>
      <c r="D98" s="20" t="s">
        <v>157</v>
      </c>
      <c r="E98" s="20" t="s">
        <v>919</v>
      </c>
      <c r="F98" s="20" t="s">
        <v>151</v>
      </c>
      <c r="G98" s="26">
        <f>'Пр.6 ведом.20'!G98</f>
        <v>1211</v>
      </c>
      <c r="H98" s="26">
        <f t="shared" si="2"/>
        <v>1211</v>
      </c>
    </row>
    <row r="99" spans="1:8" ht="47.25">
      <c r="A99" s="25" t="s">
        <v>889</v>
      </c>
      <c r="B99" s="16">
        <v>902</v>
      </c>
      <c r="C99" s="20" t="s">
        <v>135</v>
      </c>
      <c r="D99" s="20" t="s">
        <v>157</v>
      </c>
      <c r="E99" s="20" t="s">
        <v>920</v>
      </c>
      <c r="F99" s="20"/>
      <c r="G99" s="26">
        <f>'Пр.6 ведом.20'!G99</f>
        <v>130</v>
      </c>
      <c r="H99" s="26">
        <f t="shared" si="2"/>
        <v>130</v>
      </c>
    </row>
    <row r="100" spans="1:8" ht="78.75">
      <c r="A100" s="25" t="s">
        <v>144</v>
      </c>
      <c r="B100" s="16">
        <v>902</v>
      </c>
      <c r="C100" s="20" t="s">
        <v>135</v>
      </c>
      <c r="D100" s="20" t="s">
        <v>157</v>
      </c>
      <c r="E100" s="20" t="s">
        <v>920</v>
      </c>
      <c r="F100" s="20" t="s">
        <v>145</v>
      </c>
      <c r="G100" s="26">
        <f>'Пр.6 ведом.20'!G100</f>
        <v>130</v>
      </c>
      <c r="H100" s="26">
        <f t="shared" si="2"/>
        <v>130</v>
      </c>
    </row>
    <row r="101" spans="1:8" ht="15.75">
      <c r="A101" s="25" t="s">
        <v>225</v>
      </c>
      <c r="B101" s="16">
        <v>902</v>
      </c>
      <c r="C101" s="20" t="s">
        <v>135</v>
      </c>
      <c r="D101" s="20" t="s">
        <v>157</v>
      </c>
      <c r="E101" s="20" t="s">
        <v>920</v>
      </c>
      <c r="F101" s="20" t="s">
        <v>226</v>
      </c>
      <c r="G101" s="26">
        <f>'Пр.6 ведом.20'!G101</f>
        <v>130</v>
      </c>
      <c r="H101" s="26">
        <f t="shared" si="2"/>
        <v>130</v>
      </c>
    </row>
    <row r="102" spans="1:8" ht="63">
      <c r="A102" s="42" t="s">
        <v>1196</v>
      </c>
      <c r="B102" s="19">
        <v>902</v>
      </c>
      <c r="C102" s="24" t="s">
        <v>135</v>
      </c>
      <c r="D102" s="24" t="s">
        <v>157</v>
      </c>
      <c r="E102" s="24" t="s">
        <v>730</v>
      </c>
      <c r="F102" s="324"/>
      <c r="G102" s="21">
        <f>G103+G107</f>
        <v>40</v>
      </c>
      <c r="H102" s="21">
        <f>H103+H107</f>
        <v>40</v>
      </c>
    </row>
    <row r="103" spans="1:8" ht="47.25">
      <c r="A103" s="311" t="s">
        <v>897</v>
      </c>
      <c r="B103" s="19">
        <v>902</v>
      </c>
      <c r="C103" s="24" t="s">
        <v>135</v>
      </c>
      <c r="D103" s="24" t="s">
        <v>157</v>
      </c>
      <c r="E103" s="24" t="s">
        <v>903</v>
      </c>
      <c r="F103" s="324"/>
      <c r="G103" s="21">
        <f aca="true" t="shared" si="3" ref="G103:H105">G104</f>
        <v>25</v>
      </c>
      <c r="H103" s="21">
        <f t="shared" si="3"/>
        <v>25</v>
      </c>
    </row>
    <row r="104" spans="1:8" ht="31.5">
      <c r="A104" s="107" t="s">
        <v>801</v>
      </c>
      <c r="B104" s="16">
        <v>902</v>
      </c>
      <c r="C104" s="20" t="s">
        <v>135</v>
      </c>
      <c r="D104" s="20" t="s">
        <v>157</v>
      </c>
      <c r="E104" s="20" t="s">
        <v>898</v>
      </c>
      <c r="F104" s="33"/>
      <c r="G104" s="26">
        <f t="shared" si="3"/>
        <v>25</v>
      </c>
      <c r="H104" s="26">
        <f t="shared" si="3"/>
        <v>25</v>
      </c>
    </row>
    <row r="105" spans="1:8" ht="31.5">
      <c r="A105" s="25" t="s">
        <v>148</v>
      </c>
      <c r="B105" s="16">
        <v>902</v>
      </c>
      <c r="C105" s="20" t="s">
        <v>135</v>
      </c>
      <c r="D105" s="20" t="s">
        <v>157</v>
      </c>
      <c r="E105" s="20" t="s">
        <v>898</v>
      </c>
      <c r="F105" s="33" t="s">
        <v>149</v>
      </c>
      <c r="G105" s="26">
        <f t="shared" si="3"/>
        <v>25</v>
      </c>
      <c r="H105" s="26">
        <f t="shared" si="3"/>
        <v>25</v>
      </c>
    </row>
    <row r="106" spans="1:8" ht="31.5">
      <c r="A106" s="25" t="s">
        <v>150</v>
      </c>
      <c r="B106" s="16">
        <v>902</v>
      </c>
      <c r="C106" s="20" t="s">
        <v>135</v>
      </c>
      <c r="D106" s="20" t="s">
        <v>157</v>
      </c>
      <c r="E106" s="20" t="s">
        <v>898</v>
      </c>
      <c r="F106" s="33" t="s">
        <v>151</v>
      </c>
      <c r="G106" s="26">
        <v>25</v>
      </c>
      <c r="H106" s="26">
        <v>25</v>
      </c>
    </row>
    <row r="107" spans="1:8" ht="31.5">
      <c r="A107" s="312" t="s">
        <v>1199</v>
      </c>
      <c r="B107" s="19">
        <v>902</v>
      </c>
      <c r="C107" s="24" t="s">
        <v>135</v>
      </c>
      <c r="D107" s="24" t="s">
        <v>157</v>
      </c>
      <c r="E107" s="24" t="s">
        <v>904</v>
      </c>
      <c r="F107" s="324"/>
      <c r="G107" s="21">
        <f>'Пр.6 ведом.20'!G107</f>
        <v>15</v>
      </c>
      <c r="H107" s="21">
        <f t="shared" si="2"/>
        <v>15</v>
      </c>
    </row>
    <row r="108" spans="1:8" ht="31.5">
      <c r="A108" s="107" t="s">
        <v>802</v>
      </c>
      <c r="B108" s="16">
        <v>902</v>
      </c>
      <c r="C108" s="20" t="s">
        <v>135</v>
      </c>
      <c r="D108" s="20" t="s">
        <v>157</v>
      </c>
      <c r="E108" s="20" t="s">
        <v>899</v>
      </c>
      <c r="F108" s="33"/>
      <c r="G108" s="26">
        <f>'Пр.6 ведом.20'!G108</f>
        <v>15</v>
      </c>
      <c r="H108" s="26">
        <f t="shared" si="2"/>
        <v>15</v>
      </c>
    </row>
    <row r="109" spans="1:8" ht="31.5">
      <c r="A109" s="25" t="s">
        <v>148</v>
      </c>
      <c r="B109" s="16">
        <v>902</v>
      </c>
      <c r="C109" s="20" t="s">
        <v>135</v>
      </c>
      <c r="D109" s="20" t="s">
        <v>157</v>
      </c>
      <c r="E109" s="20" t="s">
        <v>899</v>
      </c>
      <c r="F109" s="33" t="s">
        <v>149</v>
      </c>
      <c r="G109" s="26">
        <f>'Пр.6 ведом.20'!G109</f>
        <v>15</v>
      </c>
      <c r="H109" s="26">
        <f t="shared" si="2"/>
        <v>15</v>
      </c>
    </row>
    <row r="110" spans="1:8" ht="31.5">
      <c r="A110" s="25" t="s">
        <v>150</v>
      </c>
      <c r="B110" s="16">
        <v>902</v>
      </c>
      <c r="C110" s="20" t="s">
        <v>135</v>
      </c>
      <c r="D110" s="20" t="s">
        <v>157</v>
      </c>
      <c r="E110" s="20" t="s">
        <v>899</v>
      </c>
      <c r="F110" s="33" t="s">
        <v>151</v>
      </c>
      <c r="G110" s="26">
        <f>'Пр.6 ведом.20'!G110</f>
        <v>15</v>
      </c>
      <c r="H110" s="26">
        <f t="shared" si="2"/>
        <v>15</v>
      </c>
    </row>
    <row r="111" spans="1:8" ht="78.75">
      <c r="A111" s="42" t="s">
        <v>1195</v>
      </c>
      <c r="B111" s="19">
        <v>902</v>
      </c>
      <c r="C111" s="8" t="s">
        <v>135</v>
      </c>
      <c r="D111" s="8" t="s">
        <v>157</v>
      </c>
      <c r="E111" s="380" t="s">
        <v>865</v>
      </c>
      <c r="F111" s="8"/>
      <c r="G111" s="21">
        <f aca="true" t="shared" si="4" ref="G111:H114">G112</f>
        <v>40</v>
      </c>
      <c r="H111" s="21">
        <f t="shared" si="4"/>
        <v>40</v>
      </c>
    </row>
    <row r="112" spans="1:8" ht="47.25">
      <c r="A112" s="313" t="s">
        <v>905</v>
      </c>
      <c r="B112" s="19">
        <v>902</v>
      </c>
      <c r="C112" s="8" t="s">
        <v>135</v>
      </c>
      <c r="D112" s="8" t="s">
        <v>157</v>
      </c>
      <c r="E112" s="232" t="s">
        <v>1279</v>
      </c>
      <c r="F112" s="8"/>
      <c r="G112" s="21">
        <f t="shared" si="4"/>
        <v>40</v>
      </c>
      <c r="H112" s="21">
        <f t="shared" si="4"/>
        <v>40</v>
      </c>
    </row>
    <row r="113" spans="1:8" ht="31.5">
      <c r="A113" s="105" t="s">
        <v>188</v>
      </c>
      <c r="B113" s="16">
        <v>902</v>
      </c>
      <c r="C113" s="9" t="s">
        <v>135</v>
      </c>
      <c r="D113" s="9" t="s">
        <v>157</v>
      </c>
      <c r="E113" s="5" t="s">
        <v>906</v>
      </c>
      <c r="F113" s="9"/>
      <c r="G113" s="26">
        <f t="shared" si="4"/>
        <v>40</v>
      </c>
      <c r="H113" s="26">
        <f t="shared" si="4"/>
        <v>40</v>
      </c>
    </row>
    <row r="114" spans="1:8" ht="31.5">
      <c r="A114" s="25" t="s">
        <v>148</v>
      </c>
      <c r="B114" s="16">
        <v>902</v>
      </c>
      <c r="C114" s="9" t="s">
        <v>135</v>
      </c>
      <c r="D114" s="9" t="s">
        <v>157</v>
      </c>
      <c r="E114" s="5" t="s">
        <v>906</v>
      </c>
      <c r="F114" s="9" t="s">
        <v>149</v>
      </c>
      <c r="G114" s="26">
        <f t="shared" si="4"/>
        <v>40</v>
      </c>
      <c r="H114" s="26">
        <f t="shared" si="4"/>
        <v>40</v>
      </c>
    </row>
    <row r="115" spans="1:8" ht="31.5">
      <c r="A115" s="25" t="s">
        <v>150</v>
      </c>
      <c r="B115" s="16">
        <v>902</v>
      </c>
      <c r="C115" s="9" t="s">
        <v>135</v>
      </c>
      <c r="D115" s="9" t="s">
        <v>157</v>
      </c>
      <c r="E115" s="5" t="s">
        <v>906</v>
      </c>
      <c r="F115" s="9" t="s">
        <v>151</v>
      </c>
      <c r="G115" s="26">
        <v>40</v>
      </c>
      <c r="H115" s="26">
        <v>40</v>
      </c>
    </row>
    <row r="116" spans="1:8" ht="63">
      <c r="A116" s="42" t="s">
        <v>1197</v>
      </c>
      <c r="B116" s="19">
        <v>902</v>
      </c>
      <c r="C116" s="8" t="s">
        <v>135</v>
      </c>
      <c r="D116" s="8" t="s">
        <v>157</v>
      </c>
      <c r="E116" s="232" t="s">
        <v>866</v>
      </c>
      <c r="F116" s="8"/>
      <c r="G116" s="21">
        <f>G118</f>
        <v>100</v>
      </c>
      <c r="H116" s="21">
        <f>H118</f>
        <v>100</v>
      </c>
    </row>
    <row r="117" spans="1:8" ht="31.5">
      <c r="A117" s="60" t="s">
        <v>907</v>
      </c>
      <c r="B117" s="19">
        <v>902</v>
      </c>
      <c r="C117" s="8" t="s">
        <v>135</v>
      </c>
      <c r="D117" s="8" t="s">
        <v>157</v>
      </c>
      <c r="E117" s="232" t="s">
        <v>915</v>
      </c>
      <c r="F117" s="8"/>
      <c r="G117" s="21">
        <f aca="true" t="shared" si="5" ref="G117:H119">G118</f>
        <v>100</v>
      </c>
      <c r="H117" s="21">
        <f t="shared" si="5"/>
        <v>100</v>
      </c>
    </row>
    <row r="118" spans="1:8" ht="15.75">
      <c r="A118" s="46" t="s">
        <v>871</v>
      </c>
      <c r="B118" s="16">
        <v>902</v>
      </c>
      <c r="C118" s="9" t="s">
        <v>135</v>
      </c>
      <c r="D118" s="9" t="s">
        <v>157</v>
      </c>
      <c r="E118" s="5" t="s">
        <v>908</v>
      </c>
      <c r="F118" s="9"/>
      <c r="G118" s="26">
        <f t="shared" si="5"/>
        <v>100</v>
      </c>
      <c r="H118" s="26">
        <f t="shared" si="5"/>
        <v>100</v>
      </c>
    </row>
    <row r="119" spans="1:8" ht="31.5">
      <c r="A119" s="25" t="s">
        <v>148</v>
      </c>
      <c r="B119" s="16">
        <v>902</v>
      </c>
      <c r="C119" s="9" t="s">
        <v>135</v>
      </c>
      <c r="D119" s="9" t="s">
        <v>157</v>
      </c>
      <c r="E119" s="5" t="s">
        <v>908</v>
      </c>
      <c r="F119" s="9" t="s">
        <v>149</v>
      </c>
      <c r="G119" s="26">
        <f t="shared" si="5"/>
        <v>100</v>
      </c>
      <c r="H119" s="26">
        <f t="shared" si="5"/>
        <v>100</v>
      </c>
    </row>
    <row r="120" spans="1:8" ht="31.5">
      <c r="A120" s="25" t="s">
        <v>150</v>
      </c>
      <c r="B120" s="16">
        <v>902</v>
      </c>
      <c r="C120" s="9" t="s">
        <v>135</v>
      </c>
      <c r="D120" s="9" t="s">
        <v>157</v>
      </c>
      <c r="E120" s="5" t="s">
        <v>908</v>
      </c>
      <c r="F120" s="9" t="s">
        <v>151</v>
      </c>
      <c r="G120" s="26">
        <v>100</v>
      </c>
      <c r="H120" s="26">
        <v>100</v>
      </c>
    </row>
    <row r="121" spans="1:8" ht="15.75" hidden="1">
      <c r="A121" s="23" t="s">
        <v>229</v>
      </c>
      <c r="B121" s="19">
        <v>902</v>
      </c>
      <c r="C121" s="24" t="s">
        <v>230</v>
      </c>
      <c r="D121" s="24"/>
      <c r="E121" s="24"/>
      <c r="F121" s="24"/>
      <c r="G121" s="21">
        <f aca="true" t="shared" si="6" ref="G121:H124">G122</f>
        <v>0</v>
      </c>
      <c r="H121" s="21">
        <f t="shared" si="6"/>
        <v>0</v>
      </c>
    </row>
    <row r="122" spans="1:8" ht="15.75" hidden="1">
      <c r="A122" s="23" t="s">
        <v>235</v>
      </c>
      <c r="B122" s="19">
        <v>902</v>
      </c>
      <c r="C122" s="24" t="s">
        <v>230</v>
      </c>
      <c r="D122" s="24" t="s">
        <v>236</v>
      </c>
      <c r="E122" s="24"/>
      <c r="F122" s="24"/>
      <c r="G122" s="21">
        <f t="shared" si="6"/>
        <v>0</v>
      </c>
      <c r="H122" s="21">
        <f t="shared" si="6"/>
        <v>0</v>
      </c>
    </row>
    <row r="123" spans="1:8" ht="15.75" hidden="1">
      <c r="A123" s="23" t="s">
        <v>158</v>
      </c>
      <c r="B123" s="19">
        <v>902</v>
      </c>
      <c r="C123" s="24" t="s">
        <v>230</v>
      </c>
      <c r="D123" s="24" t="s">
        <v>236</v>
      </c>
      <c r="E123" s="24" t="s">
        <v>917</v>
      </c>
      <c r="F123" s="24"/>
      <c r="G123" s="21">
        <f t="shared" si="6"/>
        <v>0</v>
      </c>
      <c r="H123" s="21">
        <f t="shared" si="6"/>
        <v>0</v>
      </c>
    </row>
    <row r="124" spans="1:8" ht="31.5" hidden="1">
      <c r="A124" s="23" t="s">
        <v>921</v>
      </c>
      <c r="B124" s="19">
        <v>902</v>
      </c>
      <c r="C124" s="24" t="s">
        <v>230</v>
      </c>
      <c r="D124" s="24" t="s">
        <v>236</v>
      </c>
      <c r="E124" s="24" t="s">
        <v>916</v>
      </c>
      <c r="F124" s="24"/>
      <c r="G124" s="21">
        <f t="shared" si="6"/>
        <v>0</v>
      </c>
      <c r="H124" s="21">
        <f t="shared" si="6"/>
        <v>0</v>
      </c>
    </row>
    <row r="125" spans="1:8" ht="15.75" hidden="1">
      <c r="A125" s="25" t="s">
        <v>237</v>
      </c>
      <c r="B125" s="16">
        <v>902</v>
      </c>
      <c r="C125" s="20" t="s">
        <v>230</v>
      </c>
      <c r="D125" s="20" t="s">
        <v>236</v>
      </c>
      <c r="E125" s="20" t="s">
        <v>922</v>
      </c>
      <c r="F125" s="20"/>
      <c r="G125" s="26">
        <f>'Пр.6 ведом.20'!G125</f>
        <v>0</v>
      </c>
      <c r="H125" s="26">
        <f t="shared" si="2"/>
        <v>0</v>
      </c>
    </row>
    <row r="126" spans="1:8" ht="31.5" hidden="1">
      <c r="A126" s="25" t="s">
        <v>215</v>
      </c>
      <c r="B126" s="16">
        <v>902</v>
      </c>
      <c r="C126" s="20" t="s">
        <v>230</v>
      </c>
      <c r="D126" s="20" t="s">
        <v>236</v>
      </c>
      <c r="E126" s="20" t="s">
        <v>922</v>
      </c>
      <c r="F126" s="20" t="s">
        <v>149</v>
      </c>
      <c r="G126" s="26">
        <f>'Пр.6 ведом.20'!G126</f>
        <v>0</v>
      </c>
      <c r="H126" s="26">
        <f t="shared" si="2"/>
        <v>0</v>
      </c>
    </row>
    <row r="127" spans="1:8" ht="31.5" hidden="1">
      <c r="A127" s="25" t="s">
        <v>150</v>
      </c>
      <c r="B127" s="16">
        <v>902</v>
      </c>
      <c r="C127" s="20" t="s">
        <v>230</v>
      </c>
      <c r="D127" s="20" t="s">
        <v>236</v>
      </c>
      <c r="E127" s="20" t="s">
        <v>922</v>
      </c>
      <c r="F127" s="20" t="s">
        <v>151</v>
      </c>
      <c r="G127" s="26">
        <f>'Пр.6 ведом.20'!G127</f>
        <v>0</v>
      </c>
      <c r="H127" s="26">
        <f t="shared" si="2"/>
        <v>0</v>
      </c>
    </row>
    <row r="128" spans="1:8" ht="31.5">
      <c r="A128" s="23" t="s">
        <v>239</v>
      </c>
      <c r="B128" s="19">
        <v>902</v>
      </c>
      <c r="C128" s="24" t="s">
        <v>232</v>
      </c>
      <c r="D128" s="24"/>
      <c r="E128" s="24"/>
      <c r="F128" s="24"/>
      <c r="G128" s="21">
        <f>G129</f>
        <v>8503.844000000001</v>
      </c>
      <c r="H128" s="21">
        <f>H129</f>
        <v>8503.844000000001</v>
      </c>
    </row>
    <row r="129" spans="1:8" ht="47.25">
      <c r="A129" s="23" t="s">
        <v>240</v>
      </c>
      <c r="B129" s="19">
        <v>902</v>
      </c>
      <c r="C129" s="24" t="s">
        <v>232</v>
      </c>
      <c r="D129" s="24" t="s">
        <v>236</v>
      </c>
      <c r="E129" s="20"/>
      <c r="F129" s="20"/>
      <c r="G129" s="21">
        <f>G130</f>
        <v>8503.844000000001</v>
      </c>
      <c r="H129" s="21">
        <f>H130</f>
        <v>8503.844000000001</v>
      </c>
    </row>
    <row r="130" spans="1:8" ht="15.75">
      <c r="A130" s="23" t="s">
        <v>158</v>
      </c>
      <c r="B130" s="19">
        <v>902</v>
      </c>
      <c r="C130" s="24" t="s">
        <v>232</v>
      </c>
      <c r="D130" s="24" t="s">
        <v>236</v>
      </c>
      <c r="E130" s="24" t="s">
        <v>917</v>
      </c>
      <c r="F130" s="24"/>
      <c r="G130" s="21">
        <f>G131+G138</f>
        <v>8503.844000000001</v>
      </c>
      <c r="H130" s="21">
        <f>H131+H138</f>
        <v>8503.844000000001</v>
      </c>
    </row>
    <row r="131" spans="1:8" ht="31.5">
      <c r="A131" s="23" t="s">
        <v>921</v>
      </c>
      <c r="B131" s="19">
        <v>902</v>
      </c>
      <c r="C131" s="24" t="s">
        <v>232</v>
      </c>
      <c r="D131" s="24" t="s">
        <v>236</v>
      </c>
      <c r="E131" s="24" t="s">
        <v>916</v>
      </c>
      <c r="F131" s="24"/>
      <c r="G131" s="21">
        <f>G132+G135</f>
        <v>2250</v>
      </c>
      <c r="H131" s="21">
        <f>H132+H135</f>
        <v>2250</v>
      </c>
    </row>
    <row r="132" spans="1:8" ht="47.25">
      <c r="A132" s="25" t="s">
        <v>241</v>
      </c>
      <c r="B132" s="16">
        <v>902</v>
      </c>
      <c r="C132" s="20" t="s">
        <v>232</v>
      </c>
      <c r="D132" s="20" t="s">
        <v>236</v>
      </c>
      <c r="E132" s="20" t="s">
        <v>926</v>
      </c>
      <c r="F132" s="20"/>
      <c r="G132" s="26">
        <f>'Пр.6 ведом.20'!G132</f>
        <v>2053</v>
      </c>
      <c r="H132" s="26">
        <f t="shared" si="2"/>
        <v>2053</v>
      </c>
    </row>
    <row r="133" spans="1:8" ht="31.5">
      <c r="A133" s="25" t="s">
        <v>215</v>
      </c>
      <c r="B133" s="16">
        <v>902</v>
      </c>
      <c r="C133" s="20" t="s">
        <v>232</v>
      </c>
      <c r="D133" s="20" t="s">
        <v>236</v>
      </c>
      <c r="E133" s="20" t="s">
        <v>926</v>
      </c>
      <c r="F133" s="20" t="s">
        <v>149</v>
      </c>
      <c r="G133" s="26">
        <f>'Пр.6 ведом.20'!G133</f>
        <v>2053</v>
      </c>
      <c r="H133" s="26">
        <f t="shared" si="2"/>
        <v>2053</v>
      </c>
    </row>
    <row r="134" spans="1:8" ht="31.5">
      <c r="A134" s="25" t="s">
        <v>150</v>
      </c>
      <c r="B134" s="16">
        <v>902</v>
      </c>
      <c r="C134" s="20" t="s">
        <v>232</v>
      </c>
      <c r="D134" s="20" t="s">
        <v>236</v>
      </c>
      <c r="E134" s="20" t="s">
        <v>926</v>
      </c>
      <c r="F134" s="20" t="s">
        <v>151</v>
      </c>
      <c r="G134" s="26">
        <f>'Пр.6 ведом.20'!G134</f>
        <v>2053</v>
      </c>
      <c r="H134" s="26">
        <f t="shared" si="2"/>
        <v>2053</v>
      </c>
    </row>
    <row r="135" spans="1:8" ht="15.75">
      <c r="A135" s="25" t="s">
        <v>247</v>
      </c>
      <c r="B135" s="16">
        <v>902</v>
      </c>
      <c r="C135" s="20" t="s">
        <v>232</v>
      </c>
      <c r="D135" s="20" t="s">
        <v>236</v>
      </c>
      <c r="E135" s="20" t="s">
        <v>927</v>
      </c>
      <c r="F135" s="20"/>
      <c r="G135" s="26">
        <f>'Пр.6 ведом.20'!G135</f>
        <v>197</v>
      </c>
      <c r="H135" s="26">
        <f t="shared" si="2"/>
        <v>197</v>
      </c>
    </row>
    <row r="136" spans="1:8" ht="31.5">
      <c r="A136" s="25" t="s">
        <v>215</v>
      </c>
      <c r="B136" s="16">
        <v>902</v>
      </c>
      <c r="C136" s="20" t="s">
        <v>232</v>
      </c>
      <c r="D136" s="20" t="s">
        <v>236</v>
      </c>
      <c r="E136" s="20" t="s">
        <v>927</v>
      </c>
      <c r="F136" s="20" t="s">
        <v>149</v>
      </c>
      <c r="G136" s="26">
        <f>'Пр.6 ведом.20'!G136</f>
        <v>197</v>
      </c>
      <c r="H136" s="26">
        <f t="shared" si="2"/>
        <v>197</v>
      </c>
    </row>
    <row r="137" spans="1:8" ht="31.5">
      <c r="A137" s="25" t="s">
        <v>150</v>
      </c>
      <c r="B137" s="16">
        <v>902</v>
      </c>
      <c r="C137" s="20" t="s">
        <v>232</v>
      </c>
      <c r="D137" s="20" t="s">
        <v>236</v>
      </c>
      <c r="E137" s="20" t="s">
        <v>927</v>
      </c>
      <c r="F137" s="20" t="s">
        <v>151</v>
      </c>
      <c r="G137" s="26">
        <f>'Пр.6 ведом.20'!G137</f>
        <v>197</v>
      </c>
      <c r="H137" s="26">
        <f aca="true" t="shared" si="7" ref="H137:H197">G137</f>
        <v>197</v>
      </c>
    </row>
    <row r="138" spans="1:8" ht="31.5">
      <c r="A138" s="23" t="s">
        <v>1003</v>
      </c>
      <c r="B138" s="19">
        <v>902</v>
      </c>
      <c r="C138" s="24" t="s">
        <v>232</v>
      </c>
      <c r="D138" s="24" t="s">
        <v>236</v>
      </c>
      <c r="E138" s="24" t="s">
        <v>923</v>
      </c>
      <c r="F138" s="24"/>
      <c r="G138" s="21">
        <f>G139+G144</f>
        <v>6253.844</v>
      </c>
      <c r="H138" s="21">
        <f>H139+H144</f>
        <v>6253.844</v>
      </c>
    </row>
    <row r="139" spans="1:8" ht="31.5">
      <c r="A139" s="25" t="s">
        <v>1007</v>
      </c>
      <c r="B139" s="16">
        <v>902</v>
      </c>
      <c r="C139" s="20" t="s">
        <v>232</v>
      </c>
      <c r="D139" s="20" t="s">
        <v>236</v>
      </c>
      <c r="E139" s="20" t="s">
        <v>924</v>
      </c>
      <c r="F139" s="20"/>
      <c r="G139" s="26">
        <f>'Пр.6 ведом.20'!G139</f>
        <v>5943.844</v>
      </c>
      <c r="H139" s="26">
        <f t="shared" si="7"/>
        <v>5943.844</v>
      </c>
    </row>
    <row r="140" spans="1:8" ht="78.75">
      <c r="A140" s="25" t="s">
        <v>144</v>
      </c>
      <c r="B140" s="16">
        <v>902</v>
      </c>
      <c r="C140" s="20" t="s">
        <v>232</v>
      </c>
      <c r="D140" s="20" t="s">
        <v>236</v>
      </c>
      <c r="E140" s="20" t="s">
        <v>924</v>
      </c>
      <c r="F140" s="20" t="s">
        <v>145</v>
      </c>
      <c r="G140" s="26">
        <f>'Пр.6 ведом.20'!G140</f>
        <v>4701.844</v>
      </c>
      <c r="H140" s="26">
        <f t="shared" si="7"/>
        <v>4701.844</v>
      </c>
    </row>
    <row r="141" spans="1:8" ht="15.75">
      <c r="A141" s="25" t="s">
        <v>225</v>
      </c>
      <c r="B141" s="16">
        <v>902</v>
      </c>
      <c r="C141" s="20" t="s">
        <v>232</v>
      </c>
      <c r="D141" s="20" t="s">
        <v>236</v>
      </c>
      <c r="E141" s="20" t="s">
        <v>924</v>
      </c>
      <c r="F141" s="20" t="s">
        <v>226</v>
      </c>
      <c r="G141" s="26">
        <f>'Пр.6 ведом.20'!G141</f>
        <v>4701.844</v>
      </c>
      <c r="H141" s="26">
        <f t="shared" si="7"/>
        <v>4701.844</v>
      </c>
    </row>
    <row r="142" spans="1:8" ht="31.5">
      <c r="A142" s="25" t="s">
        <v>215</v>
      </c>
      <c r="B142" s="16">
        <v>902</v>
      </c>
      <c r="C142" s="20" t="s">
        <v>232</v>
      </c>
      <c r="D142" s="20" t="s">
        <v>236</v>
      </c>
      <c r="E142" s="20" t="s">
        <v>924</v>
      </c>
      <c r="F142" s="20" t="s">
        <v>149</v>
      </c>
      <c r="G142" s="26">
        <f>'Пр.6 ведом.20'!G142</f>
        <v>1242</v>
      </c>
      <c r="H142" s="26">
        <f t="shared" si="7"/>
        <v>1242</v>
      </c>
    </row>
    <row r="143" spans="1:8" ht="31.5">
      <c r="A143" s="25" t="s">
        <v>150</v>
      </c>
      <c r="B143" s="16">
        <v>902</v>
      </c>
      <c r="C143" s="20" t="s">
        <v>232</v>
      </c>
      <c r="D143" s="20" t="s">
        <v>236</v>
      </c>
      <c r="E143" s="20" t="s">
        <v>924</v>
      </c>
      <c r="F143" s="20" t="s">
        <v>151</v>
      </c>
      <c r="G143" s="26">
        <f>'Пр.6 ведом.20'!G143</f>
        <v>1242</v>
      </c>
      <c r="H143" s="26">
        <f t="shared" si="7"/>
        <v>1242</v>
      </c>
    </row>
    <row r="144" spans="1:8" ht="47.25">
      <c r="A144" s="25" t="s">
        <v>889</v>
      </c>
      <c r="B144" s="16">
        <v>902</v>
      </c>
      <c r="C144" s="20" t="s">
        <v>232</v>
      </c>
      <c r="D144" s="20" t="s">
        <v>236</v>
      </c>
      <c r="E144" s="20" t="s">
        <v>925</v>
      </c>
      <c r="F144" s="20"/>
      <c r="G144" s="26">
        <f>'Пр.6 ведом.20'!G144</f>
        <v>310</v>
      </c>
      <c r="H144" s="26">
        <f t="shared" si="7"/>
        <v>310</v>
      </c>
    </row>
    <row r="145" spans="1:8" ht="78.75">
      <c r="A145" s="25" t="s">
        <v>144</v>
      </c>
      <c r="B145" s="16">
        <v>902</v>
      </c>
      <c r="C145" s="20" t="s">
        <v>232</v>
      </c>
      <c r="D145" s="20" t="s">
        <v>236</v>
      </c>
      <c r="E145" s="20" t="s">
        <v>925</v>
      </c>
      <c r="F145" s="20" t="s">
        <v>145</v>
      </c>
      <c r="G145" s="26">
        <f>'Пр.6 ведом.20'!G145</f>
        <v>310</v>
      </c>
      <c r="H145" s="26">
        <f t="shared" si="7"/>
        <v>310</v>
      </c>
    </row>
    <row r="146" spans="1:8" ht="19.5" customHeight="1">
      <c r="A146" s="25" t="s">
        <v>225</v>
      </c>
      <c r="B146" s="16">
        <v>902</v>
      </c>
      <c r="C146" s="20" t="s">
        <v>232</v>
      </c>
      <c r="D146" s="20" t="s">
        <v>236</v>
      </c>
      <c r="E146" s="20" t="s">
        <v>925</v>
      </c>
      <c r="F146" s="20" t="s">
        <v>226</v>
      </c>
      <c r="G146" s="26">
        <f>'Пр.6 ведом.20'!G146</f>
        <v>310</v>
      </c>
      <c r="H146" s="26">
        <f t="shared" si="7"/>
        <v>310</v>
      </c>
    </row>
    <row r="147" spans="1:8" ht="15.75">
      <c r="A147" s="23" t="s">
        <v>249</v>
      </c>
      <c r="B147" s="19">
        <v>902</v>
      </c>
      <c r="C147" s="24" t="s">
        <v>167</v>
      </c>
      <c r="D147" s="24"/>
      <c r="E147" s="24"/>
      <c r="F147" s="20"/>
      <c r="G147" s="21">
        <f>G161+G148</f>
        <v>1060</v>
      </c>
      <c r="H147" s="21">
        <f>H161+H148</f>
        <v>1060</v>
      </c>
    </row>
    <row r="148" spans="1:8" ht="15.75">
      <c r="A148" s="23" t="s">
        <v>250</v>
      </c>
      <c r="B148" s="19">
        <v>902</v>
      </c>
      <c r="C148" s="24" t="s">
        <v>167</v>
      </c>
      <c r="D148" s="24" t="s">
        <v>251</v>
      </c>
      <c r="E148" s="24"/>
      <c r="F148" s="20"/>
      <c r="G148" s="21">
        <f>G149</f>
        <v>355</v>
      </c>
      <c r="H148" s="21">
        <f>H149</f>
        <v>355</v>
      </c>
    </row>
    <row r="149" spans="1:8" ht="47.25">
      <c r="A149" s="35" t="s">
        <v>198</v>
      </c>
      <c r="B149" s="19">
        <v>902</v>
      </c>
      <c r="C149" s="24" t="s">
        <v>167</v>
      </c>
      <c r="D149" s="24" t="s">
        <v>251</v>
      </c>
      <c r="E149" s="232" t="s">
        <v>199</v>
      </c>
      <c r="F149" s="324"/>
      <c r="G149" s="21">
        <f>G150+G157</f>
        <v>355</v>
      </c>
      <c r="H149" s="21">
        <f>H150+H157</f>
        <v>355</v>
      </c>
    </row>
    <row r="150" spans="1:8" ht="31.5">
      <c r="A150" s="35" t="s">
        <v>1168</v>
      </c>
      <c r="B150" s="19">
        <v>902</v>
      </c>
      <c r="C150" s="24" t="s">
        <v>167</v>
      </c>
      <c r="D150" s="24" t="s">
        <v>251</v>
      </c>
      <c r="E150" s="383" t="s">
        <v>928</v>
      </c>
      <c r="F150" s="324"/>
      <c r="G150" s="21">
        <f>G151+G154</f>
        <v>256</v>
      </c>
      <c r="H150" s="21">
        <f>H151+H154</f>
        <v>256</v>
      </c>
    </row>
    <row r="151" spans="1:8" ht="15.75">
      <c r="A151" s="25" t="s">
        <v>929</v>
      </c>
      <c r="B151" s="16">
        <v>902</v>
      </c>
      <c r="C151" s="20" t="s">
        <v>167</v>
      </c>
      <c r="D151" s="20" t="s">
        <v>251</v>
      </c>
      <c r="E151" s="20" t="s">
        <v>973</v>
      </c>
      <c r="F151" s="33"/>
      <c r="G151" s="26">
        <f>'Пр.6 ведом.20'!G151</f>
        <v>1</v>
      </c>
      <c r="H151" s="26">
        <f t="shared" si="7"/>
        <v>1</v>
      </c>
    </row>
    <row r="152" spans="1:8" ht="15.75">
      <c r="A152" s="30" t="s">
        <v>152</v>
      </c>
      <c r="B152" s="16">
        <v>902</v>
      </c>
      <c r="C152" s="20" t="s">
        <v>167</v>
      </c>
      <c r="D152" s="20" t="s">
        <v>251</v>
      </c>
      <c r="E152" s="20" t="s">
        <v>973</v>
      </c>
      <c r="F152" s="33" t="s">
        <v>162</v>
      </c>
      <c r="G152" s="26">
        <f>'Пр.6 ведом.20'!G152</f>
        <v>1</v>
      </c>
      <c r="H152" s="26">
        <f t="shared" si="7"/>
        <v>1</v>
      </c>
    </row>
    <row r="153" spans="1:8" ht="47.25">
      <c r="A153" s="30" t="s">
        <v>201</v>
      </c>
      <c r="B153" s="16">
        <v>902</v>
      </c>
      <c r="C153" s="20" t="s">
        <v>167</v>
      </c>
      <c r="D153" s="20" t="s">
        <v>251</v>
      </c>
      <c r="E153" s="20" t="s">
        <v>973</v>
      </c>
      <c r="F153" s="33" t="s">
        <v>177</v>
      </c>
      <c r="G153" s="26">
        <f>'Пр.6 ведом.20'!G153</f>
        <v>1</v>
      </c>
      <c r="H153" s="26">
        <f t="shared" si="7"/>
        <v>1</v>
      </c>
    </row>
    <row r="154" spans="1:8" ht="31.5">
      <c r="A154" s="25" t="s">
        <v>252</v>
      </c>
      <c r="B154" s="16">
        <v>902</v>
      </c>
      <c r="C154" s="20" t="s">
        <v>167</v>
      </c>
      <c r="D154" s="20" t="s">
        <v>251</v>
      </c>
      <c r="E154" s="20" t="s">
        <v>932</v>
      </c>
      <c r="F154" s="20"/>
      <c r="G154" s="26">
        <f>'Пр.6 ведом.20'!G154</f>
        <v>255</v>
      </c>
      <c r="H154" s="26">
        <f t="shared" si="7"/>
        <v>255</v>
      </c>
    </row>
    <row r="155" spans="1:8" ht="15.75">
      <c r="A155" s="25" t="s">
        <v>152</v>
      </c>
      <c r="B155" s="16">
        <v>902</v>
      </c>
      <c r="C155" s="20" t="s">
        <v>167</v>
      </c>
      <c r="D155" s="20" t="s">
        <v>251</v>
      </c>
      <c r="E155" s="20" t="s">
        <v>932</v>
      </c>
      <c r="F155" s="20" t="s">
        <v>162</v>
      </c>
      <c r="G155" s="26">
        <f>'Пр.6 ведом.20'!G155</f>
        <v>255</v>
      </c>
      <c r="H155" s="26">
        <f t="shared" si="7"/>
        <v>255</v>
      </c>
    </row>
    <row r="156" spans="1:8" ht="47.25">
      <c r="A156" s="25" t="s">
        <v>201</v>
      </c>
      <c r="B156" s="16">
        <v>902</v>
      </c>
      <c r="C156" s="20" t="s">
        <v>167</v>
      </c>
      <c r="D156" s="20" t="s">
        <v>251</v>
      </c>
      <c r="E156" s="20" t="s">
        <v>932</v>
      </c>
      <c r="F156" s="20" t="s">
        <v>177</v>
      </c>
      <c r="G156" s="26">
        <f>'Пр.6 ведом.20'!G156</f>
        <v>255</v>
      </c>
      <c r="H156" s="26">
        <f t="shared" si="7"/>
        <v>255</v>
      </c>
    </row>
    <row r="157" spans="1:8" ht="47.25">
      <c r="A157" s="314" t="s">
        <v>1169</v>
      </c>
      <c r="B157" s="19">
        <v>902</v>
      </c>
      <c r="C157" s="24" t="s">
        <v>167</v>
      </c>
      <c r="D157" s="24" t="s">
        <v>251</v>
      </c>
      <c r="E157" s="232" t="s">
        <v>931</v>
      </c>
      <c r="F157" s="324"/>
      <c r="G157" s="21">
        <f>G158</f>
        <v>99</v>
      </c>
      <c r="H157" s="21">
        <f>H158</f>
        <v>99</v>
      </c>
    </row>
    <row r="158" spans="1:8" ht="15.75">
      <c r="A158" s="25" t="s">
        <v>930</v>
      </c>
      <c r="B158" s="16">
        <v>902</v>
      </c>
      <c r="C158" s="20" t="s">
        <v>167</v>
      </c>
      <c r="D158" s="20" t="s">
        <v>251</v>
      </c>
      <c r="E158" s="5" t="s">
        <v>974</v>
      </c>
      <c r="F158" s="33"/>
      <c r="G158" s="26">
        <f>'Пр.6 ведом.20'!G158</f>
        <v>99</v>
      </c>
      <c r="H158" s="26">
        <f t="shared" si="7"/>
        <v>99</v>
      </c>
    </row>
    <row r="159" spans="1:8" ht="15.75">
      <c r="A159" s="30" t="s">
        <v>152</v>
      </c>
      <c r="B159" s="16">
        <v>902</v>
      </c>
      <c r="C159" s="20" t="s">
        <v>167</v>
      </c>
      <c r="D159" s="20" t="s">
        <v>251</v>
      </c>
      <c r="E159" s="5" t="s">
        <v>974</v>
      </c>
      <c r="F159" s="33" t="s">
        <v>162</v>
      </c>
      <c r="G159" s="26">
        <f>'Пр.6 ведом.20'!G159</f>
        <v>99</v>
      </c>
      <c r="H159" s="26">
        <f t="shared" si="7"/>
        <v>99</v>
      </c>
    </row>
    <row r="160" spans="1:8" ht="47.25">
      <c r="A160" s="30" t="s">
        <v>201</v>
      </c>
      <c r="B160" s="16">
        <v>902</v>
      </c>
      <c r="C160" s="20" t="s">
        <v>167</v>
      </c>
      <c r="D160" s="20" t="s">
        <v>251</v>
      </c>
      <c r="E160" s="5" t="s">
        <v>974</v>
      </c>
      <c r="F160" s="33" t="s">
        <v>177</v>
      </c>
      <c r="G160" s="26">
        <f>'Пр.6 ведом.20'!G160</f>
        <v>99</v>
      </c>
      <c r="H160" s="26">
        <f t="shared" si="7"/>
        <v>99</v>
      </c>
    </row>
    <row r="161" spans="1:8" ht="31.5">
      <c r="A161" s="23" t="s">
        <v>254</v>
      </c>
      <c r="B161" s="19">
        <v>902</v>
      </c>
      <c r="C161" s="24" t="s">
        <v>167</v>
      </c>
      <c r="D161" s="24" t="s">
        <v>255</v>
      </c>
      <c r="E161" s="24"/>
      <c r="F161" s="24"/>
      <c r="G161" s="21">
        <f>G162+G169</f>
        <v>704.9999999999999</v>
      </c>
      <c r="H161" s="21">
        <f>H162+H169</f>
        <v>704.9999999999999</v>
      </c>
    </row>
    <row r="162" spans="1:8" ht="31.5">
      <c r="A162" s="23" t="s">
        <v>995</v>
      </c>
      <c r="B162" s="19">
        <v>902</v>
      </c>
      <c r="C162" s="24" t="s">
        <v>167</v>
      </c>
      <c r="D162" s="24" t="s">
        <v>255</v>
      </c>
      <c r="E162" s="24" t="s">
        <v>909</v>
      </c>
      <c r="F162" s="24"/>
      <c r="G162" s="21">
        <f>G163</f>
        <v>604.9999999999999</v>
      </c>
      <c r="H162" s="21">
        <f>H163</f>
        <v>604.9999999999999</v>
      </c>
    </row>
    <row r="163" spans="1:8" ht="31.5">
      <c r="A163" s="23" t="s">
        <v>937</v>
      </c>
      <c r="B163" s="19">
        <v>902</v>
      </c>
      <c r="C163" s="24" t="s">
        <v>167</v>
      </c>
      <c r="D163" s="24" t="s">
        <v>255</v>
      </c>
      <c r="E163" s="24" t="s">
        <v>914</v>
      </c>
      <c r="F163" s="24"/>
      <c r="G163" s="21">
        <f>G164+G174</f>
        <v>604.9999999999999</v>
      </c>
      <c r="H163" s="21">
        <f>H164+H174</f>
        <v>604.9999999999999</v>
      </c>
    </row>
    <row r="164" spans="1:8" ht="63">
      <c r="A164" s="32" t="s">
        <v>258</v>
      </c>
      <c r="B164" s="16">
        <v>902</v>
      </c>
      <c r="C164" s="20" t="s">
        <v>167</v>
      </c>
      <c r="D164" s="20" t="s">
        <v>255</v>
      </c>
      <c r="E164" s="20" t="s">
        <v>1004</v>
      </c>
      <c r="F164" s="20"/>
      <c r="G164" s="26">
        <f>'Пр.6 ведом.20'!G164</f>
        <v>604.9999999999999</v>
      </c>
      <c r="H164" s="26">
        <f t="shared" si="7"/>
        <v>604.9999999999999</v>
      </c>
    </row>
    <row r="165" spans="1:8" ht="78.75">
      <c r="A165" s="25" t="s">
        <v>144</v>
      </c>
      <c r="B165" s="16">
        <v>902</v>
      </c>
      <c r="C165" s="20" t="s">
        <v>167</v>
      </c>
      <c r="D165" s="20" t="s">
        <v>255</v>
      </c>
      <c r="E165" s="20" t="s">
        <v>1004</v>
      </c>
      <c r="F165" s="20" t="s">
        <v>145</v>
      </c>
      <c r="G165" s="26">
        <f>'Пр.6 ведом.20'!G165</f>
        <v>393.0599999999999</v>
      </c>
      <c r="H165" s="26">
        <f t="shared" si="7"/>
        <v>393.0599999999999</v>
      </c>
    </row>
    <row r="166" spans="1:8" ht="31.5">
      <c r="A166" s="25" t="s">
        <v>146</v>
      </c>
      <c r="B166" s="16">
        <v>902</v>
      </c>
      <c r="C166" s="20" t="s">
        <v>167</v>
      </c>
      <c r="D166" s="20" t="s">
        <v>255</v>
      </c>
      <c r="E166" s="20" t="s">
        <v>1004</v>
      </c>
      <c r="F166" s="20" t="s">
        <v>147</v>
      </c>
      <c r="G166" s="26">
        <f>'Пр.6 ведом.20'!G166</f>
        <v>393.0599999999999</v>
      </c>
      <c r="H166" s="26">
        <f t="shared" si="7"/>
        <v>393.0599999999999</v>
      </c>
    </row>
    <row r="167" spans="1:8" ht="31.5">
      <c r="A167" s="25" t="s">
        <v>148</v>
      </c>
      <c r="B167" s="16">
        <v>902</v>
      </c>
      <c r="C167" s="20" t="s">
        <v>167</v>
      </c>
      <c r="D167" s="20" t="s">
        <v>255</v>
      </c>
      <c r="E167" s="20" t="s">
        <v>1004</v>
      </c>
      <c r="F167" s="20" t="s">
        <v>149</v>
      </c>
      <c r="G167" s="26">
        <f>'Пр.6 ведом.20'!G167</f>
        <v>211.94000000000003</v>
      </c>
      <c r="H167" s="26">
        <f t="shared" si="7"/>
        <v>211.94000000000003</v>
      </c>
    </row>
    <row r="168" spans="1:8" ht="31.5">
      <c r="A168" s="25" t="s">
        <v>150</v>
      </c>
      <c r="B168" s="16">
        <v>902</v>
      </c>
      <c r="C168" s="20" t="s">
        <v>167</v>
      </c>
      <c r="D168" s="20" t="s">
        <v>255</v>
      </c>
      <c r="E168" s="20" t="s">
        <v>1004</v>
      </c>
      <c r="F168" s="20" t="s">
        <v>151</v>
      </c>
      <c r="G168" s="26">
        <f>'Пр.6 ведом.20'!G168</f>
        <v>211.94000000000003</v>
      </c>
      <c r="H168" s="26">
        <f t="shared" si="7"/>
        <v>211.94000000000003</v>
      </c>
    </row>
    <row r="169" spans="1:8" ht="47.25">
      <c r="A169" s="23" t="s">
        <v>1256</v>
      </c>
      <c r="B169" s="19">
        <v>902</v>
      </c>
      <c r="C169" s="24" t="s">
        <v>167</v>
      </c>
      <c r="D169" s="24" t="s">
        <v>255</v>
      </c>
      <c r="E169" s="24" t="s">
        <v>173</v>
      </c>
      <c r="F169" s="24"/>
      <c r="G169" s="21">
        <f>G170</f>
        <v>100</v>
      </c>
      <c r="H169" s="21">
        <f>H170</f>
        <v>100</v>
      </c>
    </row>
    <row r="170" spans="1:8" ht="47.25">
      <c r="A170" s="23" t="s">
        <v>1260</v>
      </c>
      <c r="B170" s="19">
        <v>902</v>
      </c>
      <c r="C170" s="24" t="s">
        <v>167</v>
      </c>
      <c r="D170" s="24" t="s">
        <v>255</v>
      </c>
      <c r="E170" s="24" t="s">
        <v>1257</v>
      </c>
      <c r="F170" s="24"/>
      <c r="G170" s="21">
        <f>G171+G174</f>
        <v>100</v>
      </c>
      <c r="H170" s="21">
        <f>H171+H174</f>
        <v>100</v>
      </c>
    </row>
    <row r="171" spans="1:8" ht="31.5">
      <c r="A171" s="25" t="s">
        <v>1261</v>
      </c>
      <c r="B171" s="16">
        <v>902</v>
      </c>
      <c r="C171" s="20" t="s">
        <v>167</v>
      </c>
      <c r="D171" s="20" t="s">
        <v>255</v>
      </c>
      <c r="E171" s="20" t="s">
        <v>1258</v>
      </c>
      <c r="F171" s="20"/>
      <c r="G171" s="26">
        <f>'Пр.6 ведом.20'!G171</f>
        <v>100</v>
      </c>
      <c r="H171" s="26">
        <f t="shared" si="7"/>
        <v>100</v>
      </c>
    </row>
    <row r="172" spans="1:8" ht="15.75">
      <c r="A172" s="25" t="s">
        <v>152</v>
      </c>
      <c r="B172" s="16">
        <v>902</v>
      </c>
      <c r="C172" s="20" t="s">
        <v>167</v>
      </c>
      <c r="D172" s="20" t="s">
        <v>255</v>
      </c>
      <c r="E172" s="20" t="s">
        <v>1258</v>
      </c>
      <c r="F172" s="20" t="s">
        <v>162</v>
      </c>
      <c r="G172" s="26">
        <f>'Пр.6 ведом.20'!G172</f>
        <v>100</v>
      </c>
      <c r="H172" s="26">
        <f t="shared" si="7"/>
        <v>100</v>
      </c>
    </row>
    <row r="173" spans="1:8" ht="47.25">
      <c r="A173" s="25" t="s">
        <v>201</v>
      </c>
      <c r="B173" s="16">
        <v>902</v>
      </c>
      <c r="C173" s="20" t="s">
        <v>167</v>
      </c>
      <c r="D173" s="20" t="s">
        <v>255</v>
      </c>
      <c r="E173" s="20" t="s">
        <v>1258</v>
      </c>
      <c r="F173" s="20" t="s">
        <v>177</v>
      </c>
      <c r="G173" s="26">
        <f>'Пр.6 ведом.20'!G173</f>
        <v>100</v>
      </c>
      <c r="H173" s="26">
        <f t="shared" si="7"/>
        <v>100</v>
      </c>
    </row>
    <row r="174" spans="1:8" ht="31.5" hidden="1">
      <c r="A174" s="25" t="s">
        <v>256</v>
      </c>
      <c r="B174" s="16">
        <v>902</v>
      </c>
      <c r="C174" s="20" t="s">
        <v>167</v>
      </c>
      <c r="D174" s="20" t="s">
        <v>255</v>
      </c>
      <c r="E174" s="20" t="s">
        <v>1259</v>
      </c>
      <c r="F174" s="24"/>
      <c r="G174" s="26">
        <f>'Пр.6 ведом.20'!G174</f>
        <v>0</v>
      </c>
      <c r="H174" s="26">
        <f t="shared" si="7"/>
        <v>0</v>
      </c>
    </row>
    <row r="175" spans="1:8" ht="15.75" hidden="1">
      <c r="A175" s="25" t="s">
        <v>152</v>
      </c>
      <c r="B175" s="16">
        <v>902</v>
      </c>
      <c r="C175" s="20" t="s">
        <v>167</v>
      </c>
      <c r="D175" s="20" t="s">
        <v>255</v>
      </c>
      <c r="E175" s="20" t="s">
        <v>1259</v>
      </c>
      <c r="F175" s="20" t="s">
        <v>162</v>
      </c>
      <c r="G175" s="26">
        <f>'Пр.6 ведом.20'!G175</f>
        <v>0</v>
      </c>
      <c r="H175" s="26">
        <f t="shared" si="7"/>
        <v>0</v>
      </c>
    </row>
    <row r="176" spans="1:8" ht="47.25" hidden="1">
      <c r="A176" s="25" t="s">
        <v>201</v>
      </c>
      <c r="B176" s="16">
        <v>902</v>
      </c>
      <c r="C176" s="20" t="s">
        <v>167</v>
      </c>
      <c r="D176" s="20" t="s">
        <v>255</v>
      </c>
      <c r="E176" s="20" t="s">
        <v>1259</v>
      </c>
      <c r="F176" s="20" t="s">
        <v>177</v>
      </c>
      <c r="G176" s="26">
        <f>'Пр.6 ведом.20'!G176</f>
        <v>0</v>
      </c>
      <c r="H176" s="26">
        <f t="shared" si="7"/>
        <v>0</v>
      </c>
    </row>
    <row r="177" spans="1:8" ht="15.75">
      <c r="A177" s="23" t="s">
        <v>260</v>
      </c>
      <c r="B177" s="19">
        <v>902</v>
      </c>
      <c r="C177" s="24" t="s">
        <v>261</v>
      </c>
      <c r="D177" s="24"/>
      <c r="E177" s="24"/>
      <c r="F177" s="24"/>
      <c r="G177" s="21">
        <f>G178+G184+G190</f>
        <v>12729.9</v>
      </c>
      <c r="H177" s="21">
        <f>H178+H184+H190</f>
        <v>12729.9</v>
      </c>
    </row>
    <row r="178" spans="1:8" ht="15.75">
      <c r="A178" s="23" t="s">
        <v>262</v>
      </c>
      <c r="B178" s="19">
        <v>902</v>
      </c>
      <c r="C178" s="24" t="s">
        <v>261</v>
      </c>
      <c r="D178" s="24" t="s">
        <v>135</v>
      </c>
      <c r="E178" s="24"/>
      <c r="F178" s="24"/>
      <c r="G178" s="21">
        <f aca="true" t="shared" si="8" ref="G178:H180">G179</f>
        <v>9456</v>
      </c>
      <c r="H178" s="21">
        <f t="shared" si="8"/>
        <v>9456</v>
      </c>
    </row>
    <row r="179" spans="1:8" ht="15.75">
      <c r="A179" s="23" t="s">
        <v>158</v>
      </c>
      <c r="B179" s="19">
        <v>902</v>
      </c>
      <c r="C179" s="24" t="s">
        <v>261</v>
      </c>
      <c r="D179" s="24" t="s">
        <v>135</v>
      </c>
      <c r="E179" s="24" t="s">
        <v>917</v>
      </c>
      <c r="F179" s="24"/>
      <c r="G179" s="21">
        <f t="shared" si="8"/>
        <v>9456</v>
      </c>
      <c r="H179" s="21">
        <f t="shared" si="8"/>
        <v>9456</v>
      </c>
    </row>
    <row r="180" spans="1:8" ht="31.5">
      <c r="A180" s="23" t="s">
        <v>921</v>
      </c>
      <c r="B180" s="19">
        <v>902</v>
      </c>
      <c r="C180" s="24" t="s">
        <v>261</v>
      </c>
      <c r="D180" s="24" t="s">
        <v>135</v>
      </c>
      <c r="E180" s="24" t="s">
        <v>916</v>
      </c>
      <c r="F180" s="24"/>
      <c r="G180" s="21">
        <f t="shared" si="8"/>
        <v>9456</v>
      </c>
      <c r="H180" s="21">
        <f t="shared" si="8"/>
        <v>9456</v>
      </c>
    </row>
    <row r="181" spans="1:8" ht="15.75">
      <c r="A181" s="25" t="s">
        <v>263</v>
      </c>
      <c r="B181" s="16">
        <v>902</v>
      </c>
      <c r="C181" s="20" t="s">
        <v>261</v>
      </c>
      <c r="D181" s="20" t="s">
        <v>135</v>
      </c>
      <c r="E181" s="20" t="s">
        <v>933</v>
      </c>
      <c r="F181" s="20"/>
      <c r="G181" s="26">
        <f>'Пр.6 ведом.20'!G181</f>
        <v>9456</v>
      </c>
      <c r="H181" s="26">
        <f t="shared" si="7"/>
        <v>9456</v>
      </c>
    </row>
    <row r="182" spans="1:8" ht="22.5" customHeight="1">
      <c r="A182" s="25" t="s">
        <v>265</v>
      </c>
      <c r="B182" s="16">
        <v>902</v>
      </c>
      <c r="C182" s="20" t="s">
        <v>261</v>
      </c>
      <c r="D182" s="20" t="s">
        <v>135</v>
      </c>
      <c r="E182" s="20" t="s">
        <v>933</v>
      </c>
      <c r="F182" s="20" t="s">
        <v>266</v>
      </c>
      <c r="G182" s="26">
        <f>'Пр.6 ведом.20'!G182</f>
        <v>9456</v>
      </c>
      <c r="H182" s="26">
        <f t="shared" si="7"/>
        <v>9456</v>
      </c>
    </row>
    <row r="183" spans="1:8" ht="31.5">
      <c r="A183" s="25" t="s">
        <v>267</v>
      </c>
      <c r="B183" s="16">
        <v>902</v>
      </c>
      <c r="C183" s="20" t="s">
        <v>261</v>
      </c>
      <c r="D183" s="20" t="s">
        <v>135</v>
      </c>
      <c r="E183" s="20" t="s">
        <v>933</v>
      </c>
      <c r="F183" s="20" t="s">
        <v>268</v>
      </c>
      <c r="G183" s="26">
        <f>'Пр.6 ведом.20'!G183</f>
        <v>9456</v>
      </c>
      <c r="H183" s="26">
        <f t="shared" si="7"/>
        <v>9456</v>
      </c>
    </row>
    <row r="184" spans="1:8" ht="15.75">
      <c r="A184" s="23" t="s">
        <v>269</v>
      </c>
      <c r="B184" s="19">
        <v>902</v>
      </c>
      <c r="C184" s="24" t="s">
        <v>261</v>
      </c>
      <c r="D184" s="24" t="s">
        <v>232</v>
      </c>
      <c r="E184" s="20"/>
      <c r="F184" s="20"/>
      <c r="G184" s="21">
        <f>G185</f>
        <v>10</v>
      </c>
      <c r="H184" s="21">
        <f>H185</f>
        <v>10</v>
      </c>
    </row>
    <row r="185" spans="1:8" ht="78.75">
      <c r="A185" s="23" t="s">
        <v>270</v>
      </c>
      <c r="B185" s="19">
        <v>902</v>
      </c>
      <c r="C185" s="24" t="s">
        <v>261</v>
      </c>
      <c r="D185" s="24" t="s">
        <v>232</v>
      </c>
      <c r="E185" s="24" t="s">
        <v>271</v>
      </c>
      <c r="F185" s="24"/>
      <c r="G185" s="21">
        <f>G187</f>
        <v>10</v>
      </c>
      <c r="H185" s="21">
        <f>H187</f>
        <v>10</v>
      </c>
    </row>
    <row r="186" spans="1:8" ht="47.25">
      <c r="A186" s="23" t="s">
        <v>936</v>
      </c>
      <c r="B186" s="19">
        <v>902</v>
      </c>
      <c r="C186" s="24" t="s">
        <v>261</v>
      </c>
      <c r="D186" s="24" t="s">
        <v>232</v>
      </c>
      <c r="E186" s="24" t="s">
        <v>934</v>
      </c>
      <c r="F186" s="24"/>
      <c r="G186" s="21">
        <f>G187</f>
        <v>10</v>
      </c>
      <c r="H186" s="21">
        <f>H187</f>
        <v>10</v>
      </c>
    </row>
    <row r="187" spans="1:8" ht="31.5">
      <c r="A187" s="25" t="s">
        <v>935</v>
      </c>
      <c r="B187" s="16">
        <v>902</v>
      </c>
      <c r="C187" s="20" t="s">
        <v>261</v>
      </c>
      <c r="D187" s="20" t="s">
        <v>232</v>
      </c>
      <c r="E187" s="20" t="s">
        <v>1158</v>
      </c>
      <c r="F187" s="20"/>
      <c r="G187" s="26">
        <f>'Пр.6 ведом.20'!G187</f>
        <v>10</v>
      </c>
      <c r="H187" s="26">
        <f t="shared" si="7"/>
        <v>10</v>
      </c>
    </row>
    <row r="188" spans="1:8" ht="31.5">
      <c r="A188" s="25" t="s">
        <v>265</v>
      </c>
      <c r="B188" s="16">
        <v>902</v>
      </c>
      <c r="C188" s="20" t="s">
        <v>261</v>
      </c>
      <c r="D188" s="20" t="s">
        <v>232</v>
      </c>
      <c r="E188" s="20" t="s">
        <v>1158</v>
      </c>
      <c r="F188" s="20" t="s">
        <v>266</v>
      </c>
      <c r="G188" s="26">
        <f>'Пр.6 ведом.20'!G188</f>
        <v>10</v>
      </c>
      <c r="H188" s="26">
        <f t="shared" si="7"/>
        <v>10</v>
      </c>
    </row>
    <row r="189" spans="1:8" ht="31.5">
      <c r="A189" s="25" t="s">
        <v>267</v>
      </c>
      <c r="B189" s="16">
        <v>902</v>
      </c>
      <c r="C189" s="20" t="s">
        <v>261</v>
      </c>
      <c r="D189" s="20" t="s">
        <v>232</v>
      </c>
      <c r="E189" s="20" t="s">
        <v>1158</v>
      </c>
      <c r="F189" s="20" t="s">
        <v>268</v>
      </c>
      <c r="G189" s="26">
        <f>'Пр.6 ведом.20'!G189</f>
        <v>10</v>
      </c>
      <c r="H189" s="26">
        <f t="shared" si="7"/>
        <v>10</v>
      </c>
    </row>
    <row r="190" spans="1:8" ht="15.75">
      <c r="A190" s="23" t="s">
        <v>275</v>
      </c>
      <c r="B190" s="19">
        <v>902</v>
      </c>
      <c r="C190" s="24" t="s">
        <v>261</v>
      </c>
      <c r="D190" s="24" t="s">
        <v>137</v>
      </c>
      <c r="E190" s="24"/>
      <c r="F190" s="24"/>
      <c r="G190" s="21">
        <f aca="true" t="shared" si="9" ref="G190:H192">G191</f>
        <v>3263.9</v>
      </c>
      <c r="H190" s="21">
        <f t="shared" si="9"/>
        <v>3263.9</v>
      </c>
    </row>
    <row r="191" spans="1:8" ht="31.5">
      <c r="A191" s="23" t="s">
        <v>995</v>
      </c>
      <c r="B191" s="19">
        <v>902</v>
      </c>
      <c r="C191" s="24" t="s">
        <v>261</v>
      </c>
      <c r="D191" s="24" t="s">
        <v>137</v>
      </c>
      <c r="E191" s="24" t="s">
        <v>909</v>
      </c>
      <c r="F191" s="24"/>
      <c r="G191" s="21">
        <f t="shared" si="9"/>
        <v>3263.9</v>
      </c>
      <c r="H191" s="21">
        <f t="shared" si="9"/>
        <v>3263.9</v>
      </c>
    </row>
    <row r="192" spans="1:8" ht="31.5">
      <c r="A192" s="23" t="s">
        <v>937</v>
      </c>
      <c r="B192" s="19">
        <v>902</v>
      </c>
      <c r="C192" s="24" t="s">
        <v>261</v>
      </c>
      <c r="D192" s="24" t="s">
        <v>137</v>
      </c>
      <c r="E192" s="24" t="s">
        <v>914</v>
      </c>
      <c r="F192" s="24"/>
      <c r="G192" s="21">
        <f t="shared" si="9"/>
        <v>3263.9</v>
      </c>
      <c r="H192" s="21">
        <f t="shared" si="9"/>
        <v>3263.9</v>
      </c>
    </row>
    <row r="193" spans="1:8" ht="47.25">
      <c r="A193" s="32" t="s">
        <v>276</v>
      </c>
      <c r="B193" s="16">
        <v>902</v>
      </c>
      <c r="C193" s="20" t="s">
        <v>261</v>
      </c>
      <c r="D193" s="20" t="s">
        <v>137</v>
      </c>
      <c r="E193" s="20" t="s">
        <v>1005</v>
      </c>
      <c r="F193" s="20"/>
      <c r="G193" s="26">
        <f>'Пр.6 ведом.20'!G193</f>
        <v>3263.9</v>
      </c>
      <c r="H193" s="26">
        <f t="shared" si="7"/>
        <v>3263.9</v>
      </c>
    </row>
    <row r="194" spans="1:8" ht="78.75">
      <c r="A194" s="25" t="s">
        <v>144</v>
      </c>
      <c r="B194" s="16">
        <v>902</v>
      </c>
      <c r="C194" s="20" t="s">
        <v>261</v>
      </c>
      <c r="D194" s="20" t="s">
        <v>137</v>
      </c>
      <c r="E194" s="20" t="s">
        <v>1005</v>
      </c>
      <c r="F194" s="20" t="s">
        <v>145</v>
      </c>
      <c r="G194" s="26">
        <f>'Пр.6 ведом.20'!G194</f>
        <v>2995.8</v>
      </c>
      <c r="H194" s="26">
        <f t="shared" si="7"/>
        <v>2995.8</v>
      </c>
    </row>
    <row r="195" spans="1:8" ht="31.5">
      <c r="A195" s="25" t="s">
        <v>146</v>
      </c>
      <c r="B195" s="16">
        <v>902</v>
      </c>
      <c r="C195" s="20" t="s">
        <v>261</v>
      </c>
      <c r="D195" s="20" t="s">
        <v>137</v>
      </c>
      <c r="E195" s="20" t="s">
        <v>1005</v>
      </c>
      <c r="F195" s="20" t="s">
        <v>147</v>
      </c>
      <c r="G195" s="26">
        <f>'Пр.6 ведом.20'!G195</f>
        <v>2995.8</v>
      </c>
      <c r="H195" s="26">
        <f t="shared" si="7"/>
        <v>2995.8</v>
      </c>
    </row>
    <row r="196" spans="1:8" ht="31.5">
      <c r="A196" s="25" t="s">
        <v>148</v>
      </c>
      <c r="B196" s="16">
        <v>902</v>
      </c>
      <c r="C196" s="20" t="s">
        <v>261</v>
      </c>
      <c r="D196" s="20" t="s">
        <v>137</v>
      </c>
      <c r="E196" s="20" t="s">
        <v>1005</v>
      </c>
      <c r="F196" s="20" t="s">
        <v>149</v>
      </c>
      <c r="G196" s="26">
        <f>'Пр.6 ведом.20'!G196</f>
        <v>268.09999999999997</v>
      </c>
      <c r="H196" s="26">
        <f t="shared" si="7"/>
        <v>268.09999999999997</v>
      </c>
    </row>
    <row r="197" spans="1:8" ht="31.5">
      <c r="A197" s="25" t="s">
        <v>150</v>
      </c>
      <c r="B197" s="16">
        <v>902</v>
      </c>
      <c r="C197" s="20" t="s">
        <v>261</v>
      </c>
      <c r="D197" s="20" t="s">
        <v>137</v>
      </c>
      <c r="E197" s="20" t="s">
        <v>1005</v>
      </c>
      <c r="F197" s="20" t="s">
        <v>151</v>
      </c>
      <c r="G197" s="26">
        <f>'Пр.6 ведом.20'!G197</f>
        <v>268.09999999999997</v>
      </c>
      <c r="H197" s="26">
        <f t="shared" si="7"/>
        <v>268.09999999999997</v>
      </c>
    </row>
    <row r="198" spans="1:8" ht="47.25">
      <c r="A198" s="19" t="s">
        <v>278</v>
      </c>
      <c r="B198" s="19">
        <v>903</v>
      </c>
      <c r="C198" s="20"/>
      <c r="D198" s="20"/>
      <c r="E198" s="20"/>
      <c r="F198" s="20"/>
      <c r="G198" s="21">
        <f>G261+G322+G418+G199+G232</f>
        <v>89369.004</v>
      </c>
      <c r="H198" s="21">
        <f>H261+H322+H418+H199+H232</f>
        <v>89369.004</v>
      </c>
    </row>
    <row r="199" spans="1:8" ht="15.75">
      <c r="A199" s="23" t="s">
        <v>134</v>
      </c>
      <c r="B199" s="19">
        <v>903</v>
      </c>
      <c r="C199" s="24" t="s">
        <v>135</v>
      </c>
      <c r="D199" s="20"/>
      <c r="E199" s="20"/>
      <c r="F199" s="20"/>
      <c r="G199" s="21">
        <f>G200</f>
        <v>120</v>
      </c>
      <c r="H199" s="21">
        <f>H200</f>
        <v>120</v>
      </c>
    </row>
    <row r="200" spans="1:8" ht="15.75">
      <c r="A200" s="23" t="s">
        <v>156</v>
      </c>
      <c r="B200" s="19">
        <v>903</v>
      </c>
      <c r="C200" s="24" t="s">
        <v>135</v>
      </c>
      <c r="D200" s="24" t="s">
        <v>157</v>
      </c>
      <c r="E200" s="20"/>
      <c r="F200" s="20"/>
      <c r="G200" s="21">
        <f>G201+G210+G227</f>
        <v>120</v>
      </c>
      <c r="H200" s="21">
        <f>H201+H210+H227</f>
        <v>120</v>
      </c>
    </row>
    <row r="201" spans="1:8" ht="47.25">
      <c r="A201" s="23" t="s">
        <v>360</v>
      </c>
      <c r="B201" s="19">
        <v>903</v>
      </c>
      <c r="C201" s="8" t="s">
        <v>135</v>
      </c>
      <c r="D201" s="8" t="s">
        <v>157</v>
      </c>
      <c r="E201" s="232" t="s">
        <v>361</v>
      </c>
      <c r="F201" s="8"/>
      <c r="G201" s="21">
        <f>G202</f>
        <v>60</v>
      </c>
      <c r="H201" s="21">
        <f>H202</f>
        <v>60</v>
      </c>
    </row>
    <row r="202" spans="1:8" ht="94.5">
      <c r="A202" s="42" t="s">
        <v>397</v>
      </c>
      <c r="B202" s="19">
        <v>903</v>
      </c>
      <c r="C202" s="7" t="s">
        <v>135</v>
      </c>
      <c r="D202" s="7" t="s">
        <v>157</v>
      </c>
      <c r="E202" s="7" t="s">
        <v>398</v>
      </c>
      <c r="F202" s="7"/>
      <c r="G202" s="21">
        <f>G203</f>
        <v>60</v>
      </c>
      <c r="H202" s="21">
        <f>H203</f>
        <v>60</v>
      </c>
    </row>
    <row r="203" spans="1:8" ht="63">
      <c r="A203" s="382" t="s">
        <v>1236</v>
      </c>
      <c r="B203" s="19">
        <v>903</v>
      </c>
      <c r="C203" s="7" t="s">
        <v>135</v>
      </c>
      <c r="D203" s="7" t="s">
        <v>157</v>
      </c>
      <c r="E203" s="7" t="s">
        <v>938</v>
      </c>
      <c r="F203" s="7"/>
      <c r="G203" s="21">
        <f>G204+G207</f>
        <v>60</v>
      </c>
      <c r="H203" s="21">
        <f>H204+H207</f>
        <v>60</v>
      </c>
    </row>
    <row r="204" spans="1:8" ht="31.5">
      <c r="A204" s="107" t="s">
        <v>1237</v>
      </c>
      <c r="B204" s="16">
        <v>903</v>
      </c>
      <c r="C204" s="41" t="s">
        <v>135</v>
      </c>
      <c r="D204" s="41" t="s">
        <v>157</v>
      </c>
      <c r="E204" s="41" t="s">
        <v>939</v>
      </c>
      <c r="F204" s="41"/>
      <c r="G204" s="26">
        <f>'Пр.6 ведом.20'!G204</f>
        <v>60</v>
      </c>
      <c r="H204" s="26">
        <f aca="true" t="shared" si="10" ref="H204:H268">G204</f>
        <v>60</v>
      </c>
    </row>
    <row r="205" spans="1:8" ht="31.5">
      <c r="A205" s="30" t="s">
        <v>148</v>
      </c>
      <c r="B205" s="16">
        <v>903</v>
      </c>
      <c r="C205" s="41" t="s">
        <v>135</v>
      </c>
      <c r="D205" s="41" t="s">
        <v>157</v>
      </c>
      <c r="E205" s="41" t="s">
        <v>939</v>
      </c>
      <c r="F205" s="41" t="s">
        <v>149</v>
      </c>
      <c r="G205" s="26">
        <f>'Пр.6 ведом.20'!G205</f>
        <v>60</v>
      </c>
      <c r="H205" s="26">
        <f t="shared" si="10"/>
        <v>60</v>
      </c>
    </row>
    <row r="206" spans="1:8" ht="31.5">
      <c r="A206" s="30" t="s">
        <v>150</v>
      </c>
      <c r="B206" s="16">
        <v>903</v>
      </c>
      <c r="C206" s="41" t="s">
        <v>135</v>
      </c>
      <c r="D206" s="41" t="s">
        <v>157</v>
      </c>
      <c r="E206" s="41" t="s">
        <v>939</v>
      </c>
      <c r="F206" s="41" t="s">
        <v>151</v>
      </c>
      <c r="G206" s="26">
        <f>'Пр.6 ведом.20'!G206</f>
        <v>60</v>
      </c>
      <c r="H206" s="26">
        <f t="shared" si="10"/>
        <v>60</v>
      </c>
    </row>
    <row r="207" spans="1:8" ht="47.25" hidden="1">
      <c r="A207" s="36" t="s">
        <v>941</v>
      </c>
      <c r="B207" s="16">
        <v>903</v>
      </c>
      <c r="C207" s="20" t="s">
        <v>135</v>
      </c>
      <c r="D207" s="20" t="s">
        <v>157</v>
      </c>
      <c r="E207" s="20" t="s">
        <v>940</v>
      </c>
      <c r="F207" s="24"/>
      <c r="G207" s="26">
        <f>'Пр.6 ведом.20'!G207</f>
        <v>0</v>
      </c>
      <c r="H207" s="26">
        <f t="shared" si="10"/>
        <v>0</v>
      </c>
    </row>
    <row r="208" spans="1:8" ht="31.5" hidden="1">
      <c r="A208" s="25" t="s">
        <v>148</v>
      </c>
      <c r="B208" s="16">
        <v>903</v>
      </c>
      <c r="C208" s="20" t="s">
        <v>135</v>
      </c>
      <c r="D208" s="20" t="s">
        <v>157</v>
      </c>
      <c r="E208" s="20" t="s">
        <v>940</v>
      </c>
      <c r="F208" s="20" t="s">
        <v>149</v>
      </c>
      <c r="G208" s="26">
        <f>'Пр.6 ведом.20'!G208</f>
        <v>0</v>
      </c>
      <c r="H208" s="26">
        <f t="shared" si="10"/>
        <v>0</v>
      </c>
    </row>
    <row r="209" spans="1:8" ht="31.5" hidden="1">
      <c r="A209" s="25" t="s">
        <v>150</v>
      </c>
      <c r="B209" s="16">
        <v>903</v>
      </c>
      <c r="C209" s="20" t="s">
        <v>135</v>
      </c>
      <c r="D209" s="20" t="s">
        <v>157</v>
      </c>
      <c r="E209" s="20" t="s">
        <v>940</v>
      </c>
      <c r="F209" s="20" t="s">
        <v>151</v>
      </c>
      <c r="G209" s="26">
        <f>'Пр.6 ведом.20'!G209</f>
        <v>0</v>
      </c>
      <c r="H209" s="26">
        <f t="shared" si="10"/>
        <v>0</v>
      </c>
    </row>
    <row r="210" spans="1:8" ht="47.25">
      <c r="A210" s="23" t="s">
        <v>351</v>
      </c>
      <c r="B210" s="19">
        <v>903</v>
      </c>
      <c r="C210" s="24" t="s">
        <v>135</v>
      </c>
      <c r="D210" s="24" t="s">
        <v>157</v>
      </c>
      <c r="E210" s="24" t="s">
        <v>352</v>
      </c>
      <c r="F210" s="24"/>
      <c r="G210" s="21">
        <f>G211</f>
        <v>55</v>
      </c>
      <c r="H210" s="21">
        <f>H211</f>
        <v>55</v>
      </c>
    </row>
    <row r="211" spans="1:8" ht="31.5">
      <c r="A211" s="23" t="s">
        <v>1242</v>
      </c>
      <c r="B211" s="19">
        <v>903</v>
      </c>
      <c r="C211" s="24" t="s">
        <v>135</v>
      </c>
      <c r="D211" s="24" t="s">
        <v>157</v>
      </c>
      <c r="E211" s="24" t="s">
        <v>1243</v>
      </c>
      <c r="F211" s="24"/>
      <c r="G211" s="21">
        <f>G212+G215+G218+G221+G224</f>
        <v>55</v>
      </c>
      <c r="H211" s="21">
        <f>H212+H215+H218+H221+H224</f>
        <v>55</v>
      </c>
    </row>
    <row r="212" spans="1:8" ht="31.5" hidden="1">
      <c r="A212" s="105" t="s">
        <v>353</v>
      </c>
      <c r="B212" s="16">
        <v>903</v>
      </c>
      <c r="C212" s="20" t="s">
        <v>135</v>
      </c>
      <c r="D212" s="20" t="s">
        <v>157</v>
      </c>
      <c r="E212" s="20" t="s">
        <v>1244</v>
      </c>
      <c r="F212" s="20"/>
      <c r="G212" s="26">
        <f>'Пр.6 ведом.20'!G212</f>
        <v>0</v>
      </c>
      <c r="H212" s="26">
        <f t="shared" si="10"/>
        <v>0</v>
      </c>
    </row>
    <row r="213" spans="1:8" ht="31.5" hidden="1">
      <c r="A213" s="25" t="s">
        <v>148</v>
      </c>
      <c r="B213" s="16">
        <v>903</v>
      </c>
      <c r="C213" s="20" t="s">
        <v>135</v>
      </c>
      <c r="D213" s="20" t="s">
        <v>157</v>
      </c>
      <c r="E213" s="20" t="s">
        <v>1244</v>
      </c>
      <c r="F213" s="20" t="s">
        <v>149</v>
      </c>
      <c r="G213" s="26">
        <f>'Пр.6 ведом.20'!G213</f>
        <v>0</v>
      </c>
      <c r="H213" s="26">
        <f t="shared" si="10"/>
        <v>0</v>
      </c>
    </row>
    <row r="214" spans="1:8" ht="31.5" hidden="1">
      <c r="A214" s="25" t="s">
        <v>150</v>
      </c>
      <c r="B214" s="16">
        <v>903</v>
      </c>
      <c r="C214" s="20" t="s">
        <v>135</v>
      </c>
      <c r="D214" s="20" t="s">
        <v>157</v>
      </c>
      <c r="E214" s="20" t="s">
        <v>1244</v>
      </c>
      <c r="F214" s="20" t="s">
        <v>151</v>
      </c>
      <c r="G214" s="26">
        <f>'Пр.6 ведом.20'!G214</f>
        <v>0</v>
      </c>
      <c r="H214" s="26">
        <f t="shared" si="10"/>
        <v>0</v>
      </c>
    </row>
    <row r="215" spans="1:8" ht="31.5">
      <c r="A215" s="25" t="s">
        <v>355</v>
      </c>
      <c r="B215" s="16">
        <v>903</v>
      </c>
      <c r="C215" s="20" t="s">
        <v>135</v>
      </c>
      <c r="D215" s="20" t="s">
        <v>157</v>
      </c>
      <c r="E215" s="20" t="s">
        <v>1245</v>
      </c>
      <c r="F215" s="20"/>
      <c r="G215" s="26">
        <f>'Пр.6 ведом.20'!G215</f>
        <v>25</v>
      </c>
      <c r="H215" s="26">
        <f t="shared" si="10"/>
        <v>25</v>
      </c>
    </row>
    <row r="216" spans="1:8" ht="31.5">
      <c r="A216" s="25" t="s">
        <v>148</v>
      </c>
      <c r="B216" s="16">
        <v>903</v>
      </c>
      <c r="C216" s="20" t="s">
        <v>135</v>
      </c>
      <c r="D216" s="20" t="s">
        <v>157</v>
      </c>
      <c r="E216" s="20" t="s">
        <v>1245</v>
      </c>
      <c r="F216" s="20" t="s">
        <v>149</v>
      </c>
      <c r="G216" s="26">
        <f>'Пр.6 ведом.20'!G216</f>
        <v>25</v>
      </c>
      <c r="H216" s="26">
        <f t="shared" si="10"/>
        <v>25</v>
      </c>
    </row>
    <row r="217" spans="1:8" ht="31.5">
      <c r="A217" s="25" t="s">
        <v>150</v>
      </c>
      <c r="B217" s="16">
        <v>903</v>
      </c>
      <c r="C217" s="20" t="s">
        <v>135</v>
      </c>
      <c r="D217" s="20" t="s">
        <v>157</v>
      </c>
      <c r="E217" s="20" t="s">
        <v>1245</v>
      </c>
      <c r="F217" s="20" t="s">
        <v>151</v>
      </c>
      <c r="G217" s="26">
        <f>'Пр.6 ведом.20'!G217</f>
        <v>25</v>
      </c>
      <c r="H217" s="26">
        <f t="shared" si="10"/>
        <v>25</v>
      </c>
    </row>
    <row r="218" spans="1:8" ht="47.25">
      <c r="A218" s="32" t="s">
        <v>796</v>
      </c>
      <c r="B218" s="16">
        <v>903</v>
      </c>
      <c r="C218" s="20" t="s">
        <v>135</v>
      </c>
      <c r="D218" s="20" t="s">
        <v>157</v>
      </c>
      <c r="E218" s="20" t="s">
        <v>1246</v>
      </c>
      <c r="F218" s="20"/>
      <c r="G218" s="26">
        <f>'Пр.6 ведом.20'!G218</f>
        <v>10</v>
      </c>
      <c r="H218" s="26">
        <f t="shared" si="10"/>
        <v>10</v>
      </c>
    </row>
    <row r="219" spans="1:8" ht="31.5">
      <c r="A219" s="25" t="s">
        <v>148</v>
      </c>
      <c r="B219" s="16">
        <v>903</v>
      </c>
      <c r="C219" s="20" t="s">
        <v>135</v>
      </c>
      <c r="D219" s="20" t="s">
        <v>157</v>
      </c>
      <c r="E219" s="20" t="s">
        <v>1246</v>
      </c>
      <c r="F219" s="20" t="s">
        <v>149</v>
      </c>
      <c r="G219" s="26">
        <f>'Пр.6 ведом.20'!G219</f>
        <v>10</v>
      </c>
      <c r="H219" s="26">
        <f t="shared" si="10"/>
        <v>10</v>
      </c>
    </row>
    <row r="220" spans="1:8" ht="31.5">
      <c r="A220" s="25" t="s">
        <v>150</v>
      </c>
      <c r="B220" s="16">
        <v>903</v>
      </c>
      <c r="C220" s="20" t="s">
        <v>135</v>
      </c>
      <c r="D220" s="20" t="s">
        <v>157</v>
      </c>
      <c r="E220" s="20" t="s">
        <v>1246</v>
      </c>
      <c r="F220" s="20" t="s">
        <v>151</v>
      </c>
      <c r="G220" s="26">
        <f>'Пр.6 ведом.20'!G220</f>
        <v>10</v>
      </c>
      <c r="H220" s="26">
        <f t="shared" si="10"/>
        <v>10</v>
      </c>
    </row>
    <row r="221" spans="1:8" ht="15.75" hidden="1">
      <c r="A221" s="25" t="s">
        <v>1152</v>
      </c>
      <c r="B221" s="16">
        <v>903</v>
      </c>
      <c r="C221" s="20" t="s">
        <v>135</v>
      </c>
      <c r="D221" s="20" t="s">
        <v>157</v>
      </c>
      <c r="E221" s="20" t="s">
        <v>1247</v>
      </c>
      <c r="F221" s="20"/>
      <c r="G221" s="26">
        <f>'Пр.6 ведом.20'!G221</f>
        <v>0</v>
      </c>
      <c r="H221" s="26">
        <f t="shared" si="10"/>
        <v>0</v>
      </c>
    </row>
    <row r="222" spans="1:8" ht="31.5" hidden="1">
      <c r="A222" s="25" t="s">
        <v>148</v>
      </c>
      <c r="B222" s="16">
        <v>903</v>
      </c>
      <c r="C222" s="20" t="s">
        <v>135</v>
      </c>
      <c r="D222" s="20" t="s">
        <v>157</v>
      </c>
      <c r="E222" s="20" t="s">
        <v>1247</v>
      </c>
      <c r="F222" s="20" t="s">
        <v>149</v>
      </c>
      <c r="G222" s="26">
        <f>'Пр.6 ведом.20'!G222</f>
        <v>0</v>
      </c>
      <c r="H222" s="26">
        <f t="shared" si="10"/>
        <v>0</v>
      </c>
    </row>
    <row r="223" spans="1:8" ht="31.5" hidden="1">
      <c r="A223" s="25" t="s">
        <v>150</v>
      </c>
      <c r="B223" s="16">
        <v>903</v>
      </c>
      <c r="C223" s="20" t="s">
        <v>135</v>
      </c>
      <c r="D223" s="20" t="s">
        <v>157</v>
      </c>
      <c r="E223" s="20" t="s">
        <v>1247</v>
      </c>
      <c r="F223" s="20" t="s">
        <v>151</v>
      </c>
      <c r="G223" s="26">
        <f>'Пр.6 ведом.20'!G223</f>
        <v>0</v>
      </c>
      <c r="H223" s="26">
        <f t="shared" si="10"/>
        <v>0</v>
      </c>
    </row>
    <row r="224" spans="1:8" ht="31.5">
      <c r="A224" s="32" t="s">
        <v>797</v>
      </c>
      <c r="B224" s="16">
        <v>903</v>
      </c>
      <c r="C224" s="20" t="s">
        <v>135</v>
      </c>
      <c r="D224" s="20" t="s">
        <v>157</v>
      </c>
      <c r="E224" s="20" t="s">
        <v>1248</v>
      </c>
      <c r="F224" s="20"/>
      <c r="G224" s="26">
        <f>'Пр.6 ведом.20'!G224</f>
        <v>20</v>
      </c>
      <c r="H224" s="26">
        <f t="shared" si="10"/>
        <v>20</v>
      </c>
    </row>
    <row r="225" spans="1:8" ht="31.5">
      <c r="A225" s="25" t="s">
        <v>148</v>
      </c>
      <c r="B225" s="16">
        <v>903</v>
      </c>
      <c r="C225" s="20" t="s">
        <v>135</v>
      </c>
      <c r="D225" s="20" t="s">
        <v>157</v>
      </c>
      <c r="E225" s="20" t="s">
        <v>1248</v>
      </c>
      <c r="F225" s="20" t="s">
        <v>149</v>
      </c>
      <c r="G225" s="26">
        <f>'Пр.6 ведом.20'!G225</f>
        <v>20</v>
      </c>
      <c r="H225" s="26">
        <f t="shared" si="10"/>
        <v>20</v>
      </c>
    </row>
    <row r="226" spans="1:8" ht="31.5">
      <c r="A226" s="25" t="s">
        <v>150</v>
      </c>
      <c r="B226" s="16">
        <v>903</v>
      </c>
      <c r="C226" s="20" t="s">
        <v>135</v>
      </c>
      <c r="D226" s="20" t="s">
        <v>157</v>
      </c>
      <c r="E226" s="20" t="s">
        <v>1248</v>
      </c>
      <c r="F226" s="20" t="s">
        <v>151</v>
      </c>
      <c r="G226" s="26">
        <f>'Пр.6 ведом.20'!G226</f>
        <v>20</v>
      </c>
      <c r="H226" s="26">
        <f t="shared" si="10"/>
        <v>20</v>
      </c>
    </row>
    <row r="227" spans="1:8" ht="63">
      <c r="A227" s="42" t="s">
        <v>1188</v>
      </c>
      <c r="B227" s="19">
        <v>903</v>
      </c>
      <c r="C227" s="24" t="s">
        <v>135</v>
      </c>
      <c r="D227" s="24" t="s">
        <v>157</v>
      </c>
      <c r="E227" s="24" t="s">
        <v>730</v>
      </c>
      <c r="F227" s="24"/>
      <c r="G227" s="21">
        <f>G229</f>
        <v>5</v>
      </c>
      <c r="H227" s="21">
        <f>H229</f>
        <v>5</v>
      </c>
    </row>
    <row r="228" spans="1:8" ht="47.25">
      <c r="A228" s="311" t="s">
        <v>897</v>
      </c>
      <c r="B228" s="19">
        <v>903</v>
      </c>
      <c r="C228" s="24" t="s">
        <v>135</v>
      </c>
      <c r="D228" s="24" t="s">
        <v>157</v>
      </c>
      <c r="E228" s="24" t="s">
        <v>903</v>
      </c>
      <c r="F228" s="24"/>
      <c r="G228" s="21">
        <f>G229</f>
        <v>5</v>
      </c>
      <c r="H228" s="21">
        <f>H229</f>
        <v>5</v>
      </c>
    </row>
    <row r="229" spans="1:8" ht="31.5">
      <c r="A229" s="107" t="s">
        <v>801</v>
      </c>
      <c r="B229" s="16">
        <v>903</v>
      </c>
      <c r="C229" s="20" t="s">
        <v>135</v>
      </c>
      <c r="D229" s="20" t="s">
        <v>157</v>
      </c>
      <c r="E229" s="20" t="s">
        <v>898</v>
      </c>
      <c r="F229" s="20"/>
      <c r="G229" s="26">
        <f>'Пр.6 ведом.20'!G229</f>
        <v>5</v>
      </c>
      <c r="H229" s="26">
        <f t="shared" si="10"/>
        <v>5</v>
      </c>
    </row>
    <row r="230" spans="1:8" ht="31.5">
      <c r="A230" s="25" t="s">
        <v>148</v>
      </c>
      <c r="B230" s="16">
        <v>903</v>
      </c>
      <c r="C230" s="20" t="s">
        <v>135</v>
      </c>
      <c r="D230" s="20" t="s">
        <v>157</v>
      </c>
      <c r="E230" s="20" t="s">
        <v>898</v>
      </c>
      <c r="F230" s="20" t="s">
        <v>149</v>
      </c>
      <c r="G230" s="26">
        <f>'Пр.6 ведом.20'!G230</f>
        <v>5</v>
      </c>
      <c r="H230" s="26">
        <f t="shared" si="10"/>
        <v>5</v>
      </c>
    </row>
    <row r="231" spans="1:8" ht="31.5">
      <c r="A231" s="25" t="s">
        <v>150</v>
      </c>
      <c r="B231" s="16">
        <v>903</v>
      </c>
      <c r="C231" s="20" t="s">
        <v>135</v>
      </c>
      <c r="D231" s="20" t="s">
        <v>157</v>
      </c>
      <c r="E231" s="20" t="s">
        <v>898</v>
      </c>
      <c r="F231" s="20" t="s">
        <v>151</v>
      </c>
      <c r="G231" s="26">
        <f>'Пр.6 ведом.20'!G231</f>
        <v>5</v>
      </c>
      <c r="H231" s="26">
        <f t="shared" si="10"/>
        <v>5</v>
      </c>
    </row>
    <row r="232" spans="1:8" ht="15.75">
      <c r="A232" s="317" t="s">
        <v>249</v>
      </c>
      <c r="B232" s="19">
        <v>903</v>
      </c>
      <c r="C232" s="24" t="s">
        <v>167</v>
      </c>
      <c r="D232" s="20"/>
      <c r="E232" s="20"/>
      <c r="F232" s="33"/>
      <c r="G232" s="21">
        <f aca="true" t="shared" si="11" ref="G232:H234">G233</f>
        <v>70</v>
      </c>
      <c r="H232" s="21">
        <f t="shared" si="11"/>
        <v>70</v>
      </c>
    </row>
    <row r="233" spans="1:8" ht="31.5">
      <c r="A233" s="23" t="s">
        <v>254</v>
      </c>
      <c r="B233" s="19">
        <v>903</v>
      </c>
      <c r="C233" s="24" t="s">
        <v>167</v>
      </c>
      <c r="D233" s="24" t="s">
        <v>255</v>
      </c>
      <c r="E233" s="20"/>
      <c r="F233" s="33"/>
      <c r="G233" s="21">
        <f t="shared" si="11"/>
        <v>70</v>
      </c>
      <c r="H233" s="21">
        <f t="shared" si="11"/>
        <v>70</v>
      </c>
    </row>
    <row r="234" spans="1:8" ht="47.25">
      <c r="A234" s="23" t="s">
        <v>360</v>
      </c>
      <c r="B234" s="19">
        <v>903</v>
      </c>
      <c r="C234" s="24" t="s">
        <v>167</v>
      </c>
      <c r="D234" s="24" t="s">
        <v>255</v>
      </c>
      <c r="E234" s="24" t="s">
        <v>361</v>
      </c>
      <c r="F234" s="324"/>
      <c r="G234" s="21">
        <f t="shared" si="11"/>
        <v>70</v>
      </c>
      <c r="H234" s="21">
        <f t="shared" si="11"/>
        <v>70</v>
      </c>
    </row>
    <row r="235" spans="1:8" ht="52.5" customHeight="1">
      <c r="A235" s="23" t="s">
        <v>384</v>
      </c>
      <c r="B235" s="19">
        <v>903</v>
      </c>
      <c r="C235" s="24" t="s">
        <v>167</v>
      </c>
      <c r="D235" s="24" t="s">
        <v>255</v>
      </c>
      <c r="E235" s="24" t="s">
        <v>385</v>
      </c>
      <c r="F235" s="24"/>
      <c r="G235" s="21">
        <f>G236+G243+G250+G257</f>
        <v>70</v>
      </c>
      <c r="H235" s="21">
        <f>H236+H243+H250+H257</f>
        <v>70</v>
      </c>
    </row>
    <row r="236" spans="1:8" ht="47.25" hidden="1">
      <c r="A236" s="315" t="s">
        <v>1228</v>
      </c>
      <c r="B236" s="19">
        <v>903</v>
      </c>
      <c r="C236" s="24" t="s">
        <v>167</v>
      </c>
      <c r="D236" s="24" t="s">
        <v>255</v>
      </c>
      <c r="E236" s="24" t="s">
        <v>942</v>
      </c>
      <c r="F236" s="24"/>
      <c r="G236" s="21">
        <f>G237+G240</f>
        <v>0</v>
      </c>
      <c r="H236" s="21">
        <f>H237+H240</f>
        <v>0</v>
      </c>
    </row>
    <row r="237" spans="1:8" ht="47.25" hidden="1">
      <c r="A237" s="25" t="s">
        <v>392</v>
      </c>
      <c r="B237" s="16">
        <v>903</v>
      </c>
      <c r="C237" s="20" t="s">
        <v>167</v>
      </c>
      <c r="D237" s="20" t="s">
        <v>255</v>
      </c>
      <c r="E237" s="20" t="s">
        <v>1229</v>
      </c>
      <c r="F237" s="20"/>
      <c r="G237" s="26">
        <f>'Пр.6 ведом.20'!G237</f>
        <v>0</v>
      </c>
      <c r="H237" s="26">
        <f t="shared" si="10"/>
        <v>0</v>
      </c>
    </row>
    <row r="238" spans="1:8" ht="31.5" hidden="1">
      <c r="A238" s="25" t="s">
        <v>265</v>
      </c>
      <c r="B238" s="16">
        <v>903</v>
      </c>
      <c r="C238" s="20" t="s">
        <v>167</v>
      </c>
      <c r="D238" s="20" t="s">
        <v>255</v>
      </c>
      <c r="E238" s="20" t="s">
        <v>1229</v>
      </c>
      <c r="F238" s="20" t="s">
        <v>266</v>
      </c>
      <c r="G238" s="26">
        <f>'Пр.6 ведом.20'!G238</f>
        <v>0</v>
      </c>
      <c r="H238" s="26">
        <f t="shared" si="10"/>
        <v>0</v>
      </c>
    </row>
    <row r="239" spans="1:8" ht="31.5" hidden="1">
      <c r="A239" s="25" t="s">
        <v>267</v>
      </c>
      <c r="B239" s="16">
        <v>903</v>
      </c>
      <c r="C239" s="20" t="s">
        <v>167</v>
      </c>
      <c r="D239" s="20" t="s">
        <v>255</v>
      </c>
      <c r="E239" s="20" t="s">
        <v>1229</v>
      </c>
      <c r="F239" s="20" t="s">
        <v>268</v>
      </c>
      <c r="G239" s="26">
        <f>'Пр.6 ведом.20'!G239</f>
        <v>0</v>
      </c>
      <c r="H239" s="26">
        <f t="shared" si="10"/>
        <v>0</v>
      </c>
    </row>
    <row r="240" spans="1:8" ht="47.25" hidden="1">
      <c r="A240" s="25" t="s">
        <v>392</v>
      </c>
      <c r="B240" s="16">
        <v>903</v>
      </c>
      <c r="C240" s="20" t="s">
        <v>167</v>
      </c>
      <c r="D240" s="20" t="s">
        <v>255</v>
      </c>
      <c r="E240" s="20" t="s">
        <v>1230</v>
      </c>
      <c r="F240" s="20"/>
      <c r="G240" s="26">
        <f>'Пр.6 ведом.20'!G240</f>
        <v>0</v>
      </c>
      <c r="H240" s="26">
        <f t="shared" si="10"/>
        <v>0</v>
      </c>
    </row>
    <row r="241" spans="1:8" ht="31.5" hidden="1">
      <c r="A241" s="25" t="s">
        <v>265</v>
      </c>
      <c r="B241" s="16">
        <v>903</v>
      </c>
      <c r="C241" s="20" t="s">
        <v>167</v>
      </c>
      <c r="D241" s="20" t="s">
        <v>255</v>
      </c>
      <c r="E241" s="20" t="s">
        <v>1230</v>
      </c>
      <c r="F241" s="20" t="s">
        <v>266</v>
      </c>
      <c r="G241" s="26">
        <f>'Пр.6 ведом.20'!G241</f>
        <v>0</v>
      </c>
      <c r="H241" s="26">
        <f t="shared" si="10"/>
        <v>0</v>
      </c>
    </row>
    <row r="242" spans="1:8" ht="31.5" hidden="1">
      <c r="A242" s="25" t="s">
        <v>267</v>
      </c>
      <c r="B242" s="16">
        <v>903</v>
      </c>
      <c r="C242" s="20" t="s">
        <v>167</v>
      </c>
      <c r="D242" s="20" t="s">
        <v>255</v>
      </c>
      <c r="E242" s="20" t="s">
        <v>1230</v>
      </c>
      <c r="F242" s="20" t="s">
        <v>268</v>
      </c>
      <c r="G242" s="26">
        <f>'Пр.6 ведом.20'!G242</f>
        <v>0</v>
      </c>
      <c r="H242" s="26">
        <f t="shared" si="10"/>
        <v>0</v>
      </c>
    </row>
    <row r="243" spans="1:8" ht="31.5">
      <c r="A243" s="23" t="s">
        <v>1226</v>
      </c>
      <c r="B243" s="19">
        <v>903</v>
      </c>
      <c r="C243" s="24" t="s">
        <v>167</v>
      </c>
      <c r="D243" s="24" t="s">
        <v>255</v>
      </c>
      <c r="E243" s="24" t="s">
        <v>943</v>
      </c>
      <c r="F243" s="24"/>
      <c r="G243" s="21">
        <f>G244+G247</f>
        <v>60</v>
      </c>
      <c r="H243" s="21">
        <f>H244+H247</f>
        <v>60</v>
      </c>
    </row>
    <row r="244" spans="1:8" ht="31.5">
      <c r="A244" s="25" t="s">
        <v>1227</v>
      </c>
      <c r="B244" s="16">
        <v>903</v>
      </c>
      <c r="C244" s="20" t="s">
        <v>167</v>
      </c>
      <c r="D244" s="20" t="s">
        <v>255</v>
      </c>
      <c r="E244" s="20" t="s">
        <v>1231</v>
      </c>
      <c r="F244" s="20"/>
      <c r="G244" s="26">
        <f>'Пр.6 ведом.20'!G244</f>
        <v>60</v>
      </c>
      <c r="H244" s="26">
        <f t="shared" si="10"/>
        <v>60</v>
      </c>
    </row>
    <row r="245" spans="1:8" ht="31.5">
      <c r="A245" s="25" t="s">
        <v>289</v>
      </c>
      <c r="B245" s="16">
        <v>903</v>
      </c>
      <c r="C245" s="20" t="s">
        <v>167</v>
      </c>
      <c r="D245" s="20" t="s">
        <v>255</v>
      </c>
      <c r="E245" s="20" t="s">
        <v>1231</v>
      </c>
      <c r="F245" s="20" t="s">
        <v>290</v>
      </c>
      <c r="G245" s="26">
        <f>'Пр.6 ведом.20'!G245</f>
        <v>60</v>
      </c>
      <c r="H245" s="26">
        <f t="shared" si="10"/>
        <v>60</v>
      </c>
    </row>
    <row r="246" spans="1:8" ht="63">
      <c r="A246" s="25" t="s">
        <v>1314</v>
      </c>
      <c r="B246" s="16">
        <v>903</v>
      </c>
      <c r="C246" s="20" t="s">
        <v>167</v>
      </c>
      <c r="D246" s="20" t="s">
        <v>255</v>
      </c>
      <c r="E246" s="20" t="s">
        <v>1231</v>
      </c>
      <c r="F246" s="20" t="s">
        <v>389</v>
      </c>
      <c r="G246" s="26">
        <f>'Пр.6 ведом.20'!G246</f>
        <v>60</v>
      </c>
      <c r="H246" s="26">
        <f t="shared" si="10"/>
        <v>60</v>
      </c>
    </row>
    <row r="247" spans="1:8" ht="110.25" hidden="1">
      <c r="A247" s="25" t="s">
        <v>390</v>
      </c>
      <c r="B247" s="16">
        <v>903</v>
      </c>
      <c r="C247" s="20" t="s">
        <v>167</v>
      </c>
      <c r="D247" s="20" t="s">
        <v>255</v>
      </c>
      <c r="E247" s="20" t="s">
        <v>1232</v>
      </c>
      <c r="F247" s="20"/>
      <c r="G247" s="26">
        <f>'Пр.6 ведом.20'!G247</f>
        <v>0</v>
      </c>
      <c r="H247" s="26">
        <f t="shared" si="10"/>
        <v>0</v>
      </c>
    </row>
    <row r="248" spans="1:8" ht="31.5" hidden="1">
      <c r="A248" s="25" t="s">
        <v>289</v>
      </c>
      <c r="B248" s="16">
        <v>903</v>
      </c>
      <c r="C248" s="20" t="s">
        <v>167</v>
      </c>
      <c r="D248" s="20" t="s">
        <v>255</v>
      </c>
      <c r="E248" s="20" t="s">
        <v>1232</v>
      </c>
      <c r="F248" s="20" t="s">
        <v>290</v>
      </c>
      <c r="G248" s="26">
        <f>'Пр.6 ведом.20'!G248</f>
        <v>0</v>
      </c>
      <c r="H248" s="26">
        <f t="shared" si="10"/>
        <v>0</v>
      </c>
    </row>
    <row r="249" spans="1:8" ht="63" hidden="1">
      <c r="A249" s="25" t="s">
        <v>1314</v>
      </c>
      <c r="B249" s="16">
        <v>903</v>
      </c>
      <c r="C249" s="20" t="s">
        <v>167</v>
      </c>
      <c r="D249" s="20" t="s">
        <v>255</v>
      </c>
      <c r="E249" s="20" t="s">
        <v>1232</v>
      </c>
      <c r="F249" s="20" t="s">
        <v>389</v>
      </c>
      <c r="G249" s="26">
        <f>'Пр.6 ведом.20'!G249</f>
        <v>0</v>
      </c>
      <c r="H249" s="26">
        <f t="shared" si="10"/>
        <v>0</v>
      </c>
    </row>
    <row r="250" spans="1:8" ht="31.5" hidden="1">
      <c r="A250" s="23" t="s">
        <v>1153</v>
      </c>
      <c r="B250" s="19">
        <v>903</v>
      </c>
      <c r="C250" s="24" t="s">
        <v>167</v>
      </c>
      <c r="D250" s="24" t="s">
        <v>255</v>
      </c>
      <c r="E250" s="24" t="s">
        <v>944</v>
      </c>
      <c r="F250" s="24"/>
      <c r="G250" s="21">
        <f>G251+G254</f>
        <v>0</v>
      </c>
      <c r="H250" s="21">
        <f>H251+H254</f>
        <v>0</v>
      </c>
    </row>
    <row r="251" spans="1:8" ht="31.5" hidden="1">
      <c r="A251" s="384" t="s">
        <v>1235</v>
      </c>
      <c r="B251" s="16">
        <v>903</v>
      </c>
      <c r="C251" s="20" t="s">
        <v>167</v>
      </c>
      <c r="D251" s="20" t="s">
        <v>255</v>
      </c>
      <c r="E251" s="20" t="s">
        <v>1233</v>
      </c>
      <c r="F251" s="20"/>
      <c r="G251" s="26">
        <f>'Пр.6 ведом.20'!G251</f>
        <v>0</v>
      </c>
      <c r="H251" s="26">
        <f t="shared" si="10"/>
        <v>0</v>
      </c>
    </row>
    <row r="252" spans="1:8" ht="31.5" hidden="1">
      <c r="A252" s="25" t="s">
        <v>148</v>
      </c>
      <c r="B252" s="16">
        <v>903</v>
      </c>
      <c r="C252" s="20" t="s">
        <v>167</v>
      </c>
      <c r="D252" s="20" t="s">
        <v>255</v>
      </c>
      <c r="E252" s="20" t="s">
        <v>1233</v>
      </c>
      <c r="F252" s="20" t="s">
        <v>149</v>
      </c>
      <c r="G252" s="26">
        <f>'Пр.6 ведом.20'!G252</f>
        <v>0</v>
      </c>
      <c r="H252" s="26">
        <f t="shared" si="10"/>
        <v>0</v>
      </c>
    </row>
    <row r="253" spans="1:8" ht="31.5" hidden="1">
      <c r="A253" s="25" t="s">
        <v>150</v>
      </c>
      <c r="B253" s="16">
        <v>903</v>
      </c>
      <c r="C253" s="20" t="s">
        <v>167</v>
      </c>
      <c r="D253" s="20" t="s">
        <v>255</v>
      </c>
      <c r="E253" s="20" t="s">
        <v>1233</v>
      </c>
      <c r="F253" s="20" t="s">
        <v>151</v>
      </c>
      <c r="G253" s="26">
        <f>'Пр.6 ведом.20'!G253</f>
        <v>0</v>
      </c>
      <c r="H253" s="26">
        <f t="shared" si="10"/>
        <v>0</v>
      </c>
    </row>
    <row r="254" spans="1:8" ht="31.5" hidden="1">
      <c r="A254" s="25" t="s">
        <v>394</v>
      </c>
      <c r="B254" s="16">
        <v>903</v>
      </c>
      <c r="C254" s="20" t="s">
        <v>167</v>
      </c>
      <c r="D254" s="20" t="s">
        <v>255</v>
      </c>
      <c r="E254" s="20" t="s">
        <v>1234</v>
      </c>
      <c r="F254" s="20"/>
      <c r="G254" s="26">
        <f>'Пр.6 ведом.20'!G254</f>
        <v>0</v>
      </c>
      <c r="H254" s="26">
        <f t="shared" si="10"/>
        <v>0</v>
      </c>
    </row>
    <row r="255" spans="1:8" ht="31.5" hidden="1">
      <c r="A255" s="25" t="s">
        <v>148</v>
      </c>
      <c r="B255" s="16">
        <v>903</v>
      </c>
      <c r="C255" s="20" t="s">
        <v>167</v>
      </c>
      <c r="D255" s="20" t="s">
        <v>255</v>
      </c>
      <c r="E255" s="20" t="s">
        <v>1234</v>
      </c>
      <c r="F255" s="20" t="s">
        <v>149</v>
      </c>
      <c r="G255" s="26">
        <f>'Пр.6 ведом.20'!G255</f>
        <v>0</v>
      </c>
      <c r="H255" s="26">
        <f t="shared" si="10"/>
        <v>0</v>
      </c>
    </row>
    <row r="256" spans="1:8" ht="31.5" hidden="1">
      <c r="A256" s="25" t="s">
        <v>150</v>
      </c>
      <c r="B256" s="16">
        <v>903</v>
      </c>
      <c r="C256" s="20" t="s">
        <v>167</v>
      </c>
      <c r="D256" s="20" t="s">
        <v>255</v>
      </c>
      <c r="E256" s="20" t="s">
        <v>1234</v>
      </c>
      <c r="F256" s="20" t="s">
        <v>151</v>
      </c>
      <c r="G256" s="26">
        <f>'Пр.6 ведом.20'!G256</f>
        <v>0</v>
      </c>
      <c r="H256" s="26">
        <f t="shared" si="10"/>
        <v>0</v>
      </c>
    </row>
    <row r="257" spans="1:8" s="252" customFormat="1" ht="31.5">
      <c r="A257" s="312" t="s">
        <v>1334</v>
      </c>
      <c r="B257" s="16">
        <v>903</v>
      </c>
      <c r="C257" s="20" t="s">
        <v>167</v>
      </c>
      <c r="D257" s="24" t="s">
        <v>255</v>
      </c>
      <c r="E257" s="24" t="s">
        <v>1333</v>
      </c>
      <c r="F257" s="24"/>
      <c r="G257" s="21">
        <f aca="true" t="shared" si="12" ref="G257:H259">G258</f>
        <v>10</v>
      </c>
      <c r="H257" s="21">
        <f t="shared" si="12"/>
        <v>10</v>
      </c>
    </row>
    <row r="258" spans="1:8" s="252" customFormat="1" ht="31.5">
      <c r="A258" s="352" t="s">
        <v>1335</v>
      </c>
      <c r="B258" s="16">
        <v>903</v>
      </c>
      <c r="C258" s="20" t="s">
        <v>167</v>
      </c>
      <c r="D258" s="20" t="s">
        <v>255</v>
      </c>
      <c r="E258" s="20" t="s">
        <v>1377</v>
      </c>
      <c r="F258" s="20"/>
      <c r="G258" s="26">
        <f t="shared" si="12"/>
        <v>10</v>
      </c>
      <c r="H258" s="26">
        <f t="shared" si="12"/>
        <v>10</v>
      </c>
    </row>
    <row r="259" spans="1:8" s="252" customFormat="1" ht="31.5">
      <c r="A259" s="25" t="s">
        <v>148</v>
      </c>
      <c r="B259" s="16">
        <v>903</v>
      </c>
      <c r="C259" s="20" t="s">
        <v>167</v>
      </c>
      <c r="D259" s="20" t="s">
        <v>255</v>
      </c>
      <c r="E259" s="20" t="s">
        <v>1377</v>
      </c>
      <c r="F259" s="20" t="s">
        <v>149</v>
      </c>
      <c r="G259" s="26">
        <f t="shared" si="12"/>
        <v>10</v>
      </c>
      <c r="H259" s="26">
        <f t="shared" si="12"/>
        <v>10</v>
      </c>
    </row>
    <row r="260" spans="1:8" s="252" customFormat="1" ht="31.5">
      <c r="A260" s="25" t="s">
        <v>150</v>
      </c>
      <c r="B260" s="16">
        <v>903</v>
      </c>
      <c r="C260" s="20" t="s">
        <v>167</v>
      </c>
      <c r="D260" s="20" t="s">
        <v>255</v>
      </c>
      <c r="E260" s="20" t="s">
        <v>1377</v>
      </c>
      <c r="F260" s="20" t="s">
        <v>151</v>
      </c>
      <c r="G260" s="26">
        <f>'Пр.6 ведом.20'!G260</f>
        <v>10</v>
      </c>
      <c r="H260" s="26">
        <f>G260</f>
        <v>10</v>
      </c>
    </row>
    <row r="261" spans="1:8" ht="15.75">
      <c r="A261" s="23" t="s">
        <v>280</v>
      </c>
      <c r="B261" s="19">
        <v>903</v>
      </c>
      <c r="C261" s="24" t="s">
        <v>281</v>
      </c>
      <c r="D261" s="20"/>
      <c r="E261" s="20"/>
      <c r="F261" s="20"/>
      <c r="G261" s="21">
        <f>G262+G302</f>
        <v>18478.05</v>
      </c>
      <c r="H261" s="21">
        <f>H262+H302</f>
        <v>18478.05</v>
      </c>
    </row>
    <row r="262" spans="1:8" ht="15.75">
      <c r="A262" s="23" t="s">
        <v>282</v>
      </c>
      <c r="B262" s="19">
        <v>903</v>
      </c>
      <c r="C262" s="24" t="s">
        <v>281</v>
      </c>
      <c r="D262" s="24" t="s">
        <v>232</v>
      </c>
      <c r="E262" s="24"/>
      <c r="F262" s="24"/>
      <c r="G262" s="21">
        <f>G263+G297</f>
        <v>17443.05</v>
      </c>
      <c r="H262" s="21">
        <f>H263+H297</f>
        <v>17443.05</v>
      </c>
    </row>
    <row r="263" spans="1:8" ht="47.25">
      <c r="A263" s="23" t="s">
        <v>283</v>
      </c>
      <c r="B263" s="19">
        <v>903</v>
      </c>
      <c r="C263" s="24" t="s">
        <v>281</v>
      </c>
      <c r="D263" s="24" t="s">
        <v>232</v>
      </c>
      <c r="E263" s="24" t="s">
        <v>284</v>
      </c>
      <c r="F263" s="24"/>
      <c r="G263" s="21">
        <f>G264</f>
        <v>17222.05</v>
      </c>
      <c r="H263" s="21">
        <f>H264</f>
        <v>17222.05</v>
      </c>
    </row>
    <row r="264" spans="1:8" ht="47.25">
      <c r="A264" s="23" t="s">
        <v>285</v>
      </c>
      <c r="B264" s="19">
        <v>903</v>
      </c>
      <c r="C264" s="24" t="s">
        <v>281</v>
      </c>
      <c r="D264" s="24" t="s">
        <v>232</v>
      </c>
      <c r="E264" s="24" t="s">
        <v>286</v>
      </c>
      <c r="F264" s="24"/>
      <c r="G264" s="21">
        <f>G265+G273+G277+G287+G283</f>
        <v>17222.05</v>
      </c>
      <c r="H264" s="21">
        <f>H265+H273+H277+H287+H283</f>
        <v>17222.05</v>
      </c>
    </row>
    <row r="265" spans="1:8" ht="36" customHeight="1">
      <c r="A265" s="23" t="s">
        <v>946</v>
      </c>
      <c r="B265" s="19">
        <v>903</v>
      </c>
      <c r="C265" s="24" t="s">
        <v>281</v>
      </c>
      <c r="D265" s="24" t="s">
        <v>232</v>
      </c>
      <c r="E265" s="24" t="s">
        <v>947</v>
      </c>
      <c r="F265" s="24"/>
      <c r="G265" s="45">
        <f>G266</f>
        <v>15639.65</v>
      </c>
      <c r="H265" s="45">
        <f>H266</f>
        <v>15639.65</v>
      </c>
    </row>
    <row r="266" spans="1:8" ht="15.75">
      <c r="A266" s="25" t="s">
        <v>835</v>
      </c>
      <c r="B266" s="16">
        <v>903</v>
      </c>
      <c r="C266" s="20" t="s">
        <v>281</v>
      </c>
      <c r="D266" s="20" t="s">
        <v>232</v>
      </c>
      <c r="E266" s="20" t="s">
        <v>945</v>
      </c>
      <c r="F266" s="20"/>
      <c r="G266" s="26">
        <f>G267+G269+G271</f>
        <v>15639.65</v>
      </c>
      <c r="H266" s="26">
        <f>H267+H269+H271</f>
        <v>15639.65</v>
      </c>
    </row>
    <row r="267" spans="1:8" ht="78.75">
      <c r="A267" s="25" t="s">
        <v>144</v>
      </c>
      <c r="B267" s="16">
        <v>903</v>
      </c>
      <c r="C267" s="20" t="s">
        <v>281</v>
      </c>
      <c r="D267" s="20" t="s">
        <v>232</v>
      </c>
      <c r="E267" s="20" t="s">
        <v>945</v>
      </c>
      <c r="F267" s="20" t="s">
        <v>145</v>
      </c>
      <c r="G267" s="26">
        <f>G268</f>
        <v>13361.25</v>
      </c>
      <c r="H267" s="26">
        <f>H268</f>
        <v>13361.25</v>
      </c>
    </row>
    <row r="268" spans="1:8" ht="21" customHeight="1">
      <c r="A268" s="47" t="s">
        <v>359</v>
      </c>
      <c r="B268" s="16">
        <v>903</v>
      </c>
      <c r="C268" s="20" t="s">
        <v>281</v>
      </c>
      <c r="D268" s="20" t="s">
        <v>232</v>
      </c>
      <c r="E268" s="20" t="s">
        <v>945</v>
      </c>
      <c r="F268" s="20" t="s">
        <v>226</v>
      </c>
      <c r="G268" s="26">
        <f>'Пр.6 ведом.20'!G268</f>
        <v>13361.25</v>
      </c>
      <c r="H268" s="26">
        <f t="shared" si="10"/>
        <v>13361.25</v>
      </c>
    </row>
    <row r="269" spans="1:8" ht="31.5">
      <c r="A269" s="25" t="s">
        <v>148</v>
      </c>
      <c r="B269" s="16">
        <v>903</v>
      </c>
      <c r="C269" s="20" t="s">
        <v>281</v>
      </c>
      <c r="D269" s="20" t="s">
        <v>232</v>
      </c>
      <c r="E269" s="20" t="s">
        <v>945</v>
      </c>
      <c r="F269" s="20" t="s">
        <v>149</v>
      </c>
      <c r="G269" s="26">
        <f>G270</f>
        <v>2200</v>
      </c>
      <c r="H269" s="26">
        <f>H270</f>
        <v>2200</v>
      </c>
    </row>
    <row r="270" spans="1:8" ht="31.5">
      <c r="A270" s="25" t="s">
        <v>150</v>
      </c>
      <c r="B270" s="16">
        <v>903</v>
      </c>
      <c r="C270" s="20" t="s">
        <v>281</v>
      </c>
      <c r="D270" s="20" t="s">
        <v>232</v>
      </c>
      <c r="E270" s="20" t="s">
        <v>945</v>
      </c>
      <c r="F270" s="20" t="s">
        <v>151</v>
      </c>
      <c r="G270" s="26">
        <f>'Пр.6 ведом.20'!G270</f>
        <v>2200</v>
      </c>
      <c r="H270" s="26">
        <f aca="true" t="shared" si="13" ref="H270:H332">G270</f>
        <v>2200</v>
      </c>
    </row>
    <row r="271" spans="1:8" ht="15.75">
      <c r="A271" s="25" t="s">
        <v>152</v>
      </c>
      <c r="B271" s="16">
        <v>903</v>
      </c>
      <c r="C271" s="20" t="s">
        <v>281</v>
      </c>
      <c r="D271" s="20" t="s">
        <v>232</v>
      </c>
      <c r="E271" s="20" t="s">
        <v>945</v>
      </c>
      <c r="F271" s="20" t="s">
        <v>162</v>
      </c>
      <c r="G271" s="26">
        <f>G272</f>
        <v>78.4</v>
      </c>
      <c r="H271" s="26">
        <f>H272</f>
        <v>78.4</v>
      </c>
    </row>
    <row r="272" spans="1:8" ht="15.75">
      <c r="A272" s="25" t="s">
        <v>729</v>
      </c>
      <c r="B272" s="16">
        <v>903</v>
      </c>
      <c r="C272" s="20" t="s">
        <v>281</v>
      </c>
      <c r="D272" s="20" t="s">
        <v>232</v>
      </c>
      <c r="E272" s="20" t="s">
        <v>945</v>
      </c>
      <c r="F272" s="20" t="s">
        <v>155</v>
      </c>
      <c r="G272" s="26">
        <v>78.4</v>
      </c>
      <c r="H272" s="26">
        <v>78.4</v>
      </c>
    </row>
    <row r="273" spans="1:8" ht="47.25">
      <c r="A273" s="316" t="s">
        <v>1200</v>
      </c>
      <c r="B273" s="19">
        <v>903</v>
      </c>
      <c r="C273" s="24" t="s">
        <v>281</v>
      </c>
      <c r="D273" s="24" t="s">
        <v>232</v>
      </c>
      <c r="E273" s="24" t="s">
        <v>949</v>
      </c>
      <c r="F273" s="24"/>
      <c r="G273" s="45">
        <f aca="true" t="shared" si="14" ref="G273:H275">G274</f>
        <v>45</v>
      </c>
      <c r="H273" s="45">
        <f t="shared" si="14"/>
        <v>45</v>
      </c>
    </row>
    <row r="274" spans="1:8" ht="31.5">
      <c r="A274" s="234" t="s">
        <v>834</v>
      </c>
      <c r="B274" s="16">
        <v>903</v>
      </c>
      <c r="C274" s="20" t="s">
        <v>281</v>
      </c>
      <c r="D274" s="20" t="s">
        <v>232</v>
      </c>
      <c r="E274" s="20" t="s">
        <v>948</v>
      </c>
      <c r="F274" s="20"/>
      <c r="G274" s="26">
        <f t="shared" si="14"/>
        <v>45</v>
      </c>
      <c r="H274" s="26">
        <f t="shared" si="14"/>
        <v>45</v>
      </c>
    </row>
    <row r="275" spans="1:8" ht="20.25" customHeight="1">
      <c r="A275" s="25" t="s">
        <v>265</v>
      </c>
      <c r="B275" s="16">
        <v>903</v>
      </c>
      <c r="C275" s="20" t="s">
        <v>281</v>
      </c>
      <c r="D275" s="20" t="s">
        <v>232</v>
      </c>
      <c r="E275" s="20" t="s">
        <v>948</v>
      </c>
      <c r="F275" s="20" t="s">
        <v>266</v>
      </c>
      <c r="G275" s="26">
        <f t="shared" si="14"/>
        <v>45</v>
      </c>
      <c r="H275" s="26">
        <f t="shared" si="14"/>
        <v>45</v>
      </c>
    </row>
    <row r="276" spans="1:8" ht="15.75">
      <c r="A276" s="25" t="s">
        <v>869</v>
      </c>
      <c r="B276" s="16">
        <v>903</v>
      </c>
      <c r="C276" s="20" t="s">
        <v>281</v>
      </c>
      <c r="D276" s="20" t="s">
        <v>232</v>
      </c>
      <c r="E276" s="20" t="s">
        <v>948</v>
      </c>
      <c r="F276" s="20" t="s">
        <v>868</v>
      </c>
      <c r="G276" s="26">
        <f>'Пр.6 ведом.20'!G276</f>
        <v>45</v>
      </c>
      <c r="H276" s="26">
        <f t="shared" si="13"/>
        <v>45</v>
      </c>
    </row>
    <row r="277" spans="1:8" ht="47.25">
      <c r="A277" s="322" t="s">
        <v>1177</v>
      </c>
      <c r="B277" s="19">
        <v>903</v>
      </c>
      <c r="C277" s="24" t="s">
        <v>281</v>
      </c>
      <c r="D277" s="24" t="s">
        <v>232</v>
      </c>
      <c r="E277" s="24" t="s">
        <v>950</v>
      </c>
      <c r="F277" s="24"/>
      <c r="G277" s="21">
        <f>G278</f>
        <v>250.00000000000003</v>
      </c>
      <c r="H277" s="21">
        <f>H278</f>
        <v>250.00000000000003</v>
      </c>
    </row>
    <row r="278" spans="1:8" ht="31.5">
      <c r="A278" s="32" t="s">
        <v>864</v>
      </c>
      <c r="B278" s="16">
        <v>903</v>
      </c>
      <c r="C278" s="20" t="s">
        <v>281</v>
      </c>
      <c r="D278" s="20" t="s">
        <v>232</v>
      </c>
      <c r="E278" s="20" t="s">
        <v>951</v>
      </c>
      <c r="F278" s="20"/>
      <c r="G278" s="26">
        <f>'Пр.6 ведом.20'!G278</f>
        <v>250.00000000000003</v>
      </c>
      <c r="H278" s="26">
        <f t="shared" si="13"/>
        <v>250.00000000000003</v>
      </c>
    </row>
    <row r="279" spans="1:8" ht="78.75">
      <c r="A279" s="25" t="s">
        <v>144</v>
      </c>
      <c r="B279" s="16">
        <v>903</v>
      </c>
      <c r="C279" s="20" t="s">
        <v>281</v>
      </c>
      <c r="D279" s="20" t="s">
        <v>232</v>
      </c>
      <c r="E279" s="20" t="s">
        <v>951</v>
      </c>
      <c r="F279" s="20" t="s">
        <v>145</v>
      </c>
      <c r="G279" s="26">
        <f>'Пр.6 ведом.20'!G279</f>
        <v>250.00000000000003</v>
      </c>
      <c r="H279" s="26">
        <f t="shared" si="13"/>
        <v>250.00000000000003</v>
      </c>
    </row>
    <row r="280" spans="1:8" ht="24" customHeight="1">
      <c r="A280" s="47" t="s">
        <v>359</v>
      </c>
      <c r="B280" s="16">
        <v>903</v>
      </c>
      <c r="C280" s="20" t="s">
        <v>281</v>
      </c>
      <c r="D280" s="20" t="s">
        <v>232</v>
      </c>
      <c r="E280" s="20" t="s">
        <v>951</v>
      </c>
      <c r="F280" s="20" t="s">
        <v>226</v>
      </c>
      <c r="G280" s="26">
        <f>'Пр.6 ведом.20'!G280</f>
        <v>250.00000000000003</v>
      </c>
      <c r="H280" s="26">
        <f t="shared" si="13"/>
        <v>250.00000000000003</v>
      </c>
    </row>
    <row r="281" spans="1:8" ht="31.5" hidden="1">
      <c r="A281" s="25" t="s">
        <v>148</v>
      </c>
      <c r="B281" s="16">
        <v>903</v>
      </c>
      <c r="C281" s="20" t="s">
        <v>281</v>
      </c>
      <c r="D281" s="20" t="s">
        <v>232</v>
      </c>
      <c r="E281" s="20" t="s">
        <v>951</v>
      </c>
      <c r="F281" s="20" t="s">
        <v>149</v>
      </c>
      <c r="G281" s="26">
        <f>'Пр.6 ведом.20'!G281</f>
        <v>0</v>
      </c>
      <c r="H281" s="26">
        <f t="shared" si="13"/>
        <v>0</v>
      </c>
    </row>
    <row r="282" spans="1:8" ht="31.5" hidden="1">
      <c r="A282" s="25" t="s">
        <v>150</v>
      </c>
      <c r="B282" s="16">
        <v>903</v>
      </c>
      <c r="C282" s="20" t="s">
        <v>281</v>
      </c>
      <c r="D282" s="20" t="s">
        <v>232</v>
      </c>
      <c r="E282" s="20" t="s">
        <v>951</v>
      </c>
      <c r="F282" s="20" t="s">
        <v>151</v>
      </c>
      <c r="G282" s="26">
        <f>'Пр.6 ведом.20'!G282</f>
        <v>0</v>
      </c>
      <c r="H282" s="26">
        <f t="shared" si="13"/>
        <v>0</v>
      </c>
    </row>
    <row r="283" spans="1:8" ht="31.5">
      <c r="A283" s="23" t="s">
        <v>1084</v>
      </c>
      <c r="B283" s="19">
        <v>903</v>
      </c>
      <c r="C283" s="24" t="s">
        <v>281</v>
      </c>
      <c r="D283" s="24" t="s">
        <v>232</v>
      </c>
      <c r="E283" s="24" t="s">
        <v>956</v>
      </c>
      <c r="F283" s="24"/>
      <c r="G283" s="45">
        <f>G284</f>
        <v>340</v>
      </c>
      <c r="H283" s="45">
        <f>H284</f>
        <v>340</v>
      </c>
    </row>
    <row r="284" spans="1:8" ht="47.25">
      <c r="A284" s="25" t="s">
        <v>889</v>
      </c>
      <c r="B284" s="16">
        <v>903</v>
      </c>
      <c r="C284" s="20" t="s">
        <v>281</v>
      </c>
      <c r="D284" s="20" t="s">
        <v>232</v>
      </c>
      <c r="E284" s="20" t="s">
        <v>1280</v>
      </c>
      <c r="F284" s="20"/>
      <c r="G284" s="26">
        <f>'Пр.6 ведом.20'!G284</f>
        <v>340</v>
      </c>
      <c r="H284" s="26">
        <f t="shared" si="13"/>
        <v>340</v>
      </c>
    </row>
    <row r="285" spans="1:8" ht="78.75">
      <c r="A285" s="25" t="s">
        <v>144</v>
      </c>
      <c r="B285" s="16">
        <v>903</v>
      </c>
      <c r="C285" s="20" t="s">
        <v>281</v>
      </c>
      <c r="D285" s="20" t="s">
        <v>232</v>
      </c>
      <c r="E285" s="20" t="s">
        <v>1280</v>
      </c>
      <c r="F285" s="20" t="s">
        <v>145</v>
      </c>
      <c r="G285" s="26">
        <f>'Пр.6 ведом.20'!G285</f>
        <v>340</v>
      </c>
      <c r="H285" s="26">
        <f t="shared" si="13"/>
        <v>340</v>
      </c>
    </row>
    <row r="286" spans="1:8" ht="31.5">
      <c r="A286" s="25" t="s">
        <v>359</v>
      </c>
      <c r="B286" s="16">
        <v>903</v>
      </c>
      <c r="C286" s="20" t="s">
        <v>281</v>
      </c>
      <c r="D286" s="20" t="s">
        <v>232</v>
      </c>
      <c r="E286" s="20" t="s">
        <v>1280</v>
      </c>
      <c r="F286" s="20" t="s">
        <v>226</v>
      </c>
      <c r="G286" s="26">
        <f>'Пр.6 ведом.20'!G286</f>
        <v>340</v>
      </c>
      <c r="H286" s="26">
        <f t="shared" si="13"/>
        <v>340</v>
      </c>
    </row>
    <row r="287" spans="1:8" ht="47.25">
      <c r="A287" s="23" t="s">
        <v>976</v>
      </c>
      <c r="B287" s="19">
        <v>903</v>
      </c>
      <c r="C287" s="24" t="s">
        <v>281</v>
      </c>
      <c r="D287" s="24" t="s">
        <v>232</v>
      </c>
      <c r="E287" s="24" t="s">
        <v>1281</v>
      </c>
      <c r="F287" s="24"/>
      <c r="G287" s="45">
        <f>G288+G291+G294</f>
        <v>947.4000000000001</v>
      </c>
      <c r="H287" s="45">
        <f>H288+H291+H294</f>
        <v>947.4000000000001</v>
      </c>
    </row>
    <row r="288" spans="1:8" ht="63">
      <c r="A288" s="32" t="s">
        <v>306</v>
      </c>
      <c r="B288" s="16">
        <v>903</v>
      </c>
      <c r="C288" s="20" t="s">
        <v>281</v>
      </c>
      <c r="D288" s="20" t="s">
        <v>232</v>
      </c>
      <c r="E288" s="20" t="s">
        <v>1282</v>
      </c>
      <c r="F288" s="20"/>
      <c r="G288" s="26">
        <f>'Пр.6 ведом.20'!G288</f>
        <v>65.5</v>
      </c>
      <c r="H288" s="26">
        <f t="shared" si="13"/>
        <v>65.5</v>
      </c>
    </row>
    <row r="289" spans="1:8" ht="78.75">
      <c r="A289" s="25" t="s">
        <v>144</v>
      </c>
      <c r="B289" s="16">
        <v>903</v>
      </c>
      <c r="C289" s="20" t="s">
        <v>281</v>
      </c>
      <c r="D289" s="20" t="s">
        <v>232</v>
      </c>
      <c r="E289" s="20" t="s">
        <v>1282</v>
      </c>
      <c r="F289" s="20" t="s">
        <v>145</v>
      </c>
      <c r="G289" s="26">
        <f>'Пр.6 ведом.20'!G289</f>
        <v>65.5</v>
      </c>
      <c r="H289" s="26">
        <f t="shared" si="13"/>
        <v>65.5</v>
      </c>
    </row>
    <row r="290" spans="1:8" ht="31.5">
      <c r="A290" s="47" t="s">
        <v>359</v>
      </c>
      <c r="B290" s="16">
        <v>903</v>
      </c>
      <c r="C290" s="20" t="s">
        <v>281</v>
      </c>
      <c r="D290" s="20" t="s">
        <v>232</v>
      </c>
      <c r="E290" s="20" t="s">
        <v>1282</v>
      </c>
      <c r="F290" s="20" t="s">
        <v>226</v>
      </c>
      <c r="G290" s="26">
        <f>'Пр.6 ведом.20'!G290</f>
        <v>65.5</v>
      </c>
      <c r="H290" s="26">
        <f t="shared" si="13"/>
        <v>65.5</v>
      </c>
    </row>
    <row r="291" spans="1:8" ht="63">
      <c r="A291" s="32" t="s">
        <v>308</v>
      </c>
      <c r="B291" s="16">
        <v>903</v>
      </c>
      <c r="C291" s="20" t="s">
        <v>281</v>
      </c>
      <c r="D291" s="20" t="s">
        <v>232</v>
      </c>
      <c r="E291" s="20" t="s">
        <v>1283</v>
      </c>
      <c r="F291" s="20"/>
      <c r="G291" s="26">
        <f>'Пр.6 ведом.20'!G291</f>
        <v>321.50000000000006</v>
      </c>
      <c r="H291" s="26">
        <f t="shared" si="13"/>
        <v>321.50000000000006</v>
      </c>
    </row>
    <row r="292" spans="1:8" ht="78.75">
      <c r="A292" s="25" t="s">
        <v>144</v>
      </c>
      <c r="B292" s="16">
        <v>903</v>
      </c>
      <c r="C292" s="20" t="s">
        <v>281</v>
      </c>
      <c r="D292" s="20" t="s">
        <v>232</v>
      </c>
      <c r="E292" s="20" t="s">
        <v>1283</v>
      </c>
      <c r="F292" s="20" t="s">
        <v>145</v>
      </c>
      <c r="G292" s="26">
        <f>'Пр.6 ведом.20'!G292</f>
        <v>321.50000000000006</v>
      </c>
      <c r="H292" s="26">
        <f t="shared" si="13"/>
        <v>321.50000000000006</v>
      </c>
    </row>
    <row r="293" spans="1:8" ht="31.5">
      <c r="A293" s="47" t="s">
        <v>359</v>
      </c>
      <c r="B293" s="16">
        <v>903</v>
      </c>
      <c r="C293" s="20" t="s">
        <v>281</v>
      </c>
      <c r="D293" s="20" t="s">
        <v>232</v>
      </c>
      <c r="E293" s="20" t="s">
        <v>1283</v>
      </c>
      <c r="F293" s="20" t="s">
        <v>226</v>
      </c>
      <c r="G293" s="26">
        <f>'Пр.6 ведом.20'!G293</f>
        <v>321.50000000000006</v>
      </c>
      <c r="H293" s="26">
        <f t="shared" si="13"/>
        <v>321.50000000000006</v>
      </c>
    </row>
    <row r="294" spans="1:8" ht="94.5">
      <c r="A294" s="32" t="s">
        <v>310</v>
      </c>
      <c r="B294" s="16">
        <v>903</v>
      </c>
      <c r="C294" s="20" t="s">
        <v>281</v>
      </c>
      <c r="D294" s="20" t="s">
        <v>232</v>
      </c>
      <c r="E294" s="20" t="s">
        <v>1284</v>
      </c>
      <c r="F294" s="20"/>
      <c r="G294" s="26">
        <f>'Пр.6 ведом.20'!G294</f>
        <v>560.4</v>
      </c>
      <c r="H294" s="26">
        <f t="shared" si="13"/>
        <v>560.4</v>
      </c>
    </row>
    <row r="295" spans="1:8" ht="78.75">
      <c r="A295" s="25" t="s">
        <v>144</v>
      </c>
      <c r="B295" s="16">
        <v>903</v>
      </c>
      <c r="C295" s="20" t="s">
        <v>281</v>
      </c>
      <c r="D295" s="20" t="s">
        <v>232</v>
      </c>
      <c r="E295" s="20" t="s">
        <v>1284</v>
      </c>
      <c r="F295" s="20" t="s">
        <v>145</v>
      </c>
      <c r="G295" s="26">
        <f>'Пр.6 ведом.20'!G295</f>
        <v>560.4</v>
      </c>
      <c r="H295" s="26">
        <f t="shared" si="13"/>
        <v>560.4</v>
      </c>
    </row>
    <row r="296" spans="1:8" ht="31.5">
      <c r="A296" s="47" t="s">
        <v>359</v>
      </c>
      <c r="B296" s="16">
        <v>903</v>
      </c>
      <c r="C296" s="20" t="s">
        <v>281</v>
      </c>
      <c r="D296" s="20" t="s">
        <v>232</v>
      </c>
      <c r="E296" s="20" t="s">
        <v>1284</v>
      </c>
      <c r="F296" s="20" t="s">
        <v>226</v>
      </c>
      <c r="G296" s="26">
        <f>'Пр.6 ведом.20'!G296</f>
        <v>560.4</v>
      </c>
      <c r="H296" s="26">
        <f t="shared" si="13"/>
        <v>560.4</v>
      </c>
    </row>
    <row r="297" spans="1:8" ht="63">
      <c r="A297" s="42" t="s">
        <v>732</v>
      </c>
      <c r="B297" s="19">
        <v>903</v>
      </c>
      <c r="C297" s="24" t="s">
        <v>281</v>
      </c>
      <c r="D297" s="24" t="s">
        <v>232</v>
      </c>
      <c r="E297" s="24" t="s">
        <v>730</v>
      </c>
      <c r="F297" s="24"/>
      <c r="G297" s="21">
        <f>G299</f>
        <v>221</v>
      </c>
      <c r="H297" s="21">
        <f>H299</f>
        <v>221</v>
      </c>
    </row>
    <row r="298" spans="1:8" ht="47.25">
      <c r="A298" s="42" t="s">
        <v>954</v>
      </c>
      <c r="B298" s="19">
        <v>903</v>
      </c>
      <c r="C298" s="24" t="s">
        <v>281</v>
      </c>
      <c r="D298" s="24" t="s">
        <v>232</v>
      </c>
      <c r="E298" s="24" t="s">
        <v>952</v>
      </c>
      <c r="F298" s="24"/>
      <c r="G298" s="21">
        <f>G299</f>
        <v>221</v>
      </c>
      <c r="H298" s="21">
        <f>H299</f>
        <v>221</v>
      </c>
    </row>
    <row r="299" spans="1:8" ht="47.25">
      <c r="A299" s="107" t="s">
        <v>1166</v>
      </c>
      <c r="B299" s="20" t="s">
        <v>645</v>
      </c>
      <c r="C299" s="20" t="s">
        <v>281</v>
      </c>
      <c r="D299" s="20" t="s">
        <v>232</v>
      </c>
      <c r="E299" s="20" t="s">
        <v>953</v>
      </c>
      <c r="F299" s="33"/>
      <c r="G299" s="26">
        <f>'Пр.6 ведом.20'!G299</f>
        <v>221</v>
      </c>
      <c r="H299" s="26">
        <f t="shared" si="13"/>
        <v>221</v>
      </c>
    </row>
    <row r="300" spans="1:8" ht="31.5">
      <c r="A300" s="25" t="s">
        <v>148</v>
      </c>
      <c r="B300" s="16">
        <v>903</v>
      </c>
      <c r="C300" s="20" t="s">
        <v>281</v>
      </c>
      <c r="D300" s="20" t="s">
        <v>232</v>
      </c>
      <c r="E300" s="20" t="s">
        <v>953</v>
      </c>
      <c r="F300" s="33" t="s">
        <v>149</v>
      </c>
      <c r="G300" s="26">
        <f>'Пр.6 ведом.20'!G300</f>
        <v>221</v>
      </c>
      <c r="H300" s="26">
        <f t="shared" si="13"/>
        <v>221</v>
      </c>
    </row>
    <row r="301" spans="1:8" ht="31.5">
      <c r="A301" s="25" t="s">
        <v>150</v>
      </c>
      <c r="B301" s="16">
        <v>903</v>
      </c>
      <c r="C301" s="20" t="s">
        <v>281</v>
      </c>
      <c r="D301" s="20" t="s">
        <v>232</v>
      </c>
      <c r="E301" s="20" t="s">
        <v>953</v>
      </c>
      <c r="F301" s="33" t="s">
        <v>151</v>
      </c>
      <c r="G301" s="26">
        <f>'Пр.6 ведом.20'!G301</f>
        <v>221</v>
      </c>
      <c r="H301" s="26">
        <f t="shared" si="13"/>
        <v>221</v>
      </c>
    </row>
    <row r="302" spans="1:8" ht="15.75">
      <c r="A302" s="23" t="s">
        <v>483</v>
      </c>
      <c r="B302" s="19">
        <v>903</v>
      </c>
      <c r="C302" s="24" t="s">
        <v>281</v>
      </c>
      <c r="D302" s="24" t="s">
        <v>281</v>
      </c>
      <c r="E302" s="20"/>
      <c r="F302" s="20"/>
      <c r="G302" s="21">
        <f>G303</f>
        <v>1035</v>
      </c>
      <c r="H302" s="21">
        <f>H303</f>
        <v>1035</v>
      </c>
    </row>
    <row r="303" spans="1:8" ht="47.25">
      <c r="A303" s="23" t="s">
        <v>360</v>
      </c>
      <c r="B303" s="19">
        <v>903</v>
      </c>
      <c r="C303" s="24" t="s">
        <v>281</v>
      </c>
      <c r="D303" s="24" t="s">
        <v>281</v>
      </c>
      <c r="E303" s="24" t="s">
        <v>361</v>
      </c>
      <c r="F303" s="24"/>
      <c r="G303" s="21">
        <f>G304</f>
        <v>1035</v>
      </c>
      <c r="H303" s="21">
        <f>H304</f>
        <v>1035</v>
      </c>
    </row>
    <row r="304" spans="1:8" ht="31.5">
      <c r="A304" s="23" t="s">
        <v>362</v>
      </c>
      <c r="B304" s="19">
        <v>903</v>
      </c>
      <c r="C304" s="24" t="s">
        <v>281</v>
      </c>
      <c r="D304" s="24" t="s">
        <v>281</v>
      </c>
      <c r="E304" s="24" t="s">
        <v>363</v>
      </c>
      <c r="F304" s="24"/>
      <c r="G304" s="21">
        <f>G305+G312+G318</f>
        <v>1035</v>
      </c>
      <c r="H304" s="21">
        <f>H305+H312+H318</f>
        <v>1035</v>
      </c>
    </row>
    <row r="305" spans="1:8" ht="47.25">
      <c r="A305" s="311" t="s">
        <v>1213</v>
      </c>
      <c r="B305" s="19">
        <v>903</v>
      </c>
      <c r="C305" s="24" t="s">
        <v>281</v>
      </c>
      <c r="D305" s="24" t="s">
        <v>281</v>
      </c>
      <c r="E305" s="24" t="s">
        <v>957</v>
      </c>
      <c r="F305" s="24"/>
      <c r="G305" s="21">
        <f>G306+G309</f>
        <v>30</v>
      </c>
      <c r="H305" s="21">
        <f>H306+H309</f>
        <v>30</v>
      </c>
    </row>
    <row r="306" spans="1:8" ht="31.5">
      <c r="A306" s="107" t="s">
        <v>1219</v>
      </c>
      <c r="B306" s="16">
        <v>903</v>
      </c>
      <c r="C306" s="20" t="s">
        <v>281</v>
      </c>
      <c r="D306" s="20" t="s">
        <v>281</v>
      </c>
      <c r="E306" s="20" t="s">
        <v>958</v>
      </c>
      <c r="F306" s="20"/>
      <c r="G306" s="26">
        <f>'Пр.6 ведом.20'!G306</f>
        <v>30</v>
      </c>
      <c r="H306" s="26">
        <f t="shared" si="13"/>
        <v>30</v>
      </c>
    </row>
    <row r="307" spans="1:8" ht="78.75">
      <c r="A307" s="25" t="s">
        <v>144</v>
      </c>
      <c r="B307" s="16">
        <v>903</v>
      </c>
      <c r="C307" s="20" t="s">
        <v>281</v>
      </c>
      <c r="D307" s="20" t="s">
        <v>281</v>
      </c>
      <c r="E307" s="20" t="s">
        <v>958</v>
      </c>
      <c r="F307" s="20" t="s">
        <v>145</v>
      </c>
      <c r="G307" s="26">
        <f>'Пр.6 ведом.20'!G307</f>
        <v>30</v>
      </c>
      <c r="H307" s="26">
        <f t="shared" si="13"/>
        <v>30</v>
      </c>
    </row>
    <row r="308" spans="1:8" ht="31.5">
      <c r="A308" s="25" t="s">
        <v>359</v>
      </c>
      <c r="B308" s="16">
        <v>903</v>
      </c>
      <c r="C308" s="20" t="s">
        <v>281</v>
      </c>
      <c r="D308" s="20" t="s">
        <v>281</v>
      </c>
      <c r="E308" s="20" t="s">
        <v>958</v>
      </c>
      <c r="F308" s="20" t="s">
        <v>226</v>
      </c>
      <c r="G308" s="26">
        <f>'Пр.6 ведом.20'!G308</f>
        <v>30</v>
      </c>
      <c r="H308" s="26">
        <f t="shared" si="13"/>
        <v>30</v>
      </c>
    </row>
    <row r="309" spans="1:8" ht="31.5" hidden="1">
      <c r="A309" s="25" t="s">
        <v>1214</v>
      </c>
      <c r="B309" s="16">
        <v>903</v>
      </c>
      <c r="C309" s="20" t="s">
        <v>281</v>
      </c>
      <c r="D309" s="20" t="s">
        <v>281</v>
      </c>
      <c r="E309" s="20" t="s">
        <v>1238</v>
      </c>
      <c r="F309" s="20"/>
      <c r="G309" s="26">
        <f>'Пр.6 ведом.20'!G309</f>
        <v>0</v>
      </c>
      <c r="H309" s="26">
        <f t="shared" si="13"/>
        <v>0</v>
      </c>
    </row>
    <row r="310" spans="1:8" ht="31.5" hidden="1">
      <c r="A310" s="25" t="s">
        <v>148</v>
      </c>
      <c r="B310" s="16">
        <v>903</v>
      </c>
      <c r="C310" s="20" t="s">
        <v>281</v>
      </c>
      <c r="D310" s="20" t="s">
        <v>281</v>
      </c>
      <c r="E310" s="20" t="s">
        <v>1238</v>
      </c>
      <c r="F310" s="20" t="s">
        <v>149</v>
      </c>
      <c r="G310" s="26">
        <f>'Пр.6 ведом.20'!G310</f>
        <v>0</v>
      </c>
      <c r="H310" s="26">
        <f t="shared" si="13"/>
        <v>0</v>
      </c>
    </row>
    <row r="311" spans="1:8" ht="31.5" hidden="1">
      <c r="A311" s="25" t="s">
        <v>150</v>
      </c>
      <c r="B311" s="16">
        <v>903</v>
      </c>
      <c r="C311" s="20" t="s">
        <v>281</v>
      </c>
      <c r="D311" s="20" t="s">
        <v>281</v>
      </c>
      <c r="E311" s="20" t="s">
        <v>1238</v>
      </c>
      <c r="F311" s="20" t="s">
        <v>151</v>
      </c>
      <c r="G311" s="26">
        <f>'Пр.6 ведом.20'!G311</f>
        <v>0</v>
      </c>
      <c r="H311" s="26">
        <f t="shared" si="13"/>
        <v>0</v>
      </c>
    </row>
    <row r="312" spans="1:8" ht="63">
      <c r="A312" s="23" t="s">
        <v>1215</v>
      </c>
      <c r="B312" s="19">
        <v>903</v>
      </c>
      <c r="C312" s="24" t="s">
        <v>281</v>
      </c>
      <c r="D312" s="24" t="s">
        <v>281</v>
      </c>
      <c r="E312" s="24" t="s">
        <v>959</v>
      </c>
      <c r="F312" s="24"/>
      <c r="G312" s="21">
        <f>G313</f>
        <v>955</v>
      </c>
      <c r="H312" s="21">
        <f>H313</f>
        <v>955</v>
      </c>
    </row>
    <row r="313" spans="1:8" ht="15.75">
      <c r="A313" s="25" t="s">
        <v>1216</v>
      </c>
      <c r="B313" s="16">
        <v>903</v>
      </c>
      <c r="C313" s="20" t="s">
        <v>281</v>
      </c>
      <c r="D313" s="20" t="s">
        <v>281</v>
      </c>
      <c r="E313" s="20" t="s">
        <v>977</v>
      </c>
      <c r="F313" s="20"/>
      <c r="G313" s="26">
        <f>'Пр.6 ведом.20'!G313</f>
        <v>955</v>
      </c>
      <c r="H313" s="26">
        <f t="shared" si="13"/>
        <v>955</v>
      </c>
    </row>
    <row r="314" spans="1:8" ht="78.75">
      <c r="A314" s="25" t="s">
        <v>144</v>
      </c>
      <c r="B314" s="16">
        <v>903</v>
      </c>
      <c r="C314" s="20" t="s">
        <v>281</v>
      </c>
      <c r="D314" s="20" t="s">
        <v>281</v>
      </c>
      <c r="E314" s="20" t="s">
        <v>977</v>
      </c>
      <c r="F314" s="20" t="s">
        <v>145</v>
      </c>
      <c r="G314" s="26">
        <f>'Пр.6 ведом.20'!G314</f>
        <v>40</v>
      </c>
      <c r="H314" s="26">
        <f t="shared" si="13"/>
        <v>40</v>
      </c>
    </row>
    <row r="315" spans="1:8" ht="31.5">
      <c r="A315" s="25" t="s">
        <v>359</v>
      </c>
      <c r="B315" s="16">
        <v>903</v>
      </c>
      <c r="C315" s="20" t="s">
        <v>281</v>
      </c>
      <c r="D315" s="20" t="s">
        <v>281</v>
      </c>
      <c r="E315" s="20" t="s">
        <v>977</v>
      </c>
      <c r="F315" s="20" t="s">
        <v>226</v>
      </c>
      <c r="G315" s="26">
        <f>'Пр.6 ведом.20'!G315</f>
        <v>40</v>
      </c>
      <c r="H315" s="26">
        <f t="shared" si="13"/>
        <v>40</v>
      </c>
    </row>
    <row r="316" spans="1:8" ht="31.5">
      <c r="A316" s="25" t="s">
        <v>148</v>
      </c>
      <c r="B316" s="16">
        <v>903</v>
      </c>
      <c r="C316" s="20" t="s">
        <v>281</v>
      </c>
      <c r="D316" s="20" t="s">
        <v>281</v>
      </c>
      <c r="E316" s="20" t="s">
        <v>977</v>
      </c>
      <c r="F316" s="20" t="s">
        <v>149</v>
      </c>
      <c r="G316" s="26">
        <f>'Пр.6 ведом.20'!G316</f>
        <v>915</v>
      </c>
      <c r="H316" s="26">
        <f t="shared" si="13"/>
        <v>915</v>
      </c>
    </row>
    <row r="317" spans="1:8" ht="31.5">
      <c r="A317" s="25" t="s">
        <v>150</v>
      </c>
      <c r="B317" s="16">
        <v>903</v>
      </c>
      <c r="C317" s="20" t="s">
        <v>281</v>
      </c>
      <c r="D317" s="20" t="s">
        <v>281</v>
      </c>
      <c r="E317" s="20" t="s">
        <v>977</v>
      </c>
      <c r="F317" s="20" t="s">
        <v>151</v>
      </c>
      <c r="G317" s="26">
        <f>'Пр.6 ведом.20'!G317</f>
        <v>915</v>
      </c>
      <c r="H317" s="26">
        <f t="shared" si="13"/>
        <v>915</v>
      </c>
    </row>
    <row r="318" spans="1:8" ht="31.5">
      <c r="A318" s="23" t="s">
        <v>1221</v>
      </c>
      <c r="B318" s="19">
        <v>903</v>
      </c>
      <c r="C318" s="24" t="s">
        <v>281</v>
      </c>
      <c r="D318" s="24" t="s">
        <v>281</v>
      </c>
      <c r="E318" s="24" t="s">
        <v>1217</v>
      </c>
      <c r="F318" s="24"/>
      <c r="G318" s="21">
        <f>G319</f>
        <v>50</v>
      </c>
      <c r="H318" s="21">
        <f>H319</f>
        <v>50</v>
      </c>
    </row>
    <row r="319" spans="1:8" ht="47.25">
      <c r="A319" s="352" t="s">
        <v>1218</v>
      </c>
      <c r="B319" s="16">
        <v>903</v>
      </c>
      <c r="C319" s="20" t="s">
        <v>281</v>
      </c>
      <c r="D319" s="20" t="s">
        <v>281</v>
      </c>
      <c r="E319" s="20" t="s">
        <v>1239</v>
      </c>
      <c r="F319" s="20"/>
      <c r="G319" s="26">
        <f>'Пр.6 ведом.20'!G319</f>
        <v>50</v>
      </c>
      <c r="H319" s="26">
        <f t="shared" si="13"/>
        <v>50</v>
      </c>
    </row>
    <row r="320" spans="1:8" ht="31.5">
      <c r="A320" s="25" t="s">
        <v>265</v>
      </c>
      <c r="B320" s="16">
        <v>903</v>
      </c>
      <c r="C320" s="20" t="s">
        <v>281</v>
      </c>
      <c r="D320" s="20" t="s">
        <v>281</v>
      </c>
      <c r="E320" s="20" t="s">
        <v>1239</v>
      </c>
      <c r="F320" s="20" t="s">
        <v>266</v>
      </c>
      <c r="G320" s="26">
        <f>'Пр.6 ведом.20'!G320</f>
        <v>50</v>
      </c>
      <c r="H320" s="26">
        <f t="shared" si="13"/>
        <v>50</v>
      </c>
    </row>
    <row r="321" spans="1:8" ht="31.5">
      <c r="A321" s="25" t="s">
        <v>365</v>
      </c>
      <c r="B321" s="16">
        <v>903</v>
      </c>
      <c r="C321" s="20" t="s">
        <v>281</v>
      </c>
      <c r="D321" s="20" t="s">
        <v>281</v>
      </c>
      <c r="E321" s="20" t="s">
        <v>1239</v>
      </c>
      <c r="F321" s="20" t="s">
        <v>366</v>
      </c>
      <c r="G321" s="26">
        <f>'Пр.6 ведом.20'!G321</f>
        <v>50</v>
      </c>
      <c r="H321" s="26">
        <f t="shared" si="13"/>
        <v>50</v>
      </c>
    </row>
    <row r="322" spans="1:8" ht="15.75">
      <c r="A322" s="23" t="s">
        <v>315</v>
      </c>
      <c r="B322" s="19">
        <v>903</v>
      </c>
      <c r="C322" s="24" t="s">
        <v>316</v>
      </c>
      <c r="D322" s="24"/>
      <c r="E322" s="24"/>
      <c r="F322" s="24"/>
      <c r="G322" s="21">
        <f>G323+G389</f>
        <v>68480.954</v>
      </c>
      <c r="H322" s="21">
        <f>H323+H389</f>
        <v>68480.954</v>
      </c>
    </row>
    <row r="323" spans="1:8" ht="15.75">
      <c r="A323" s="23" t="s">
        <v>317</v>
      </c>
      <c r="B323" s="19">
        <v>903</v>
      </c>
      <c r="C323" s="24" t="s">
        <v>316</v>
      </c>
      <c r="D323" s="24" t="s">
        <v>135</v>
      </c>
      <c r="E323" s="24"/>
      <c r="F323" s="24"/>
      <c r="G323" s="21">
        <f>G324+G384+G379</f>
        <v>48690.81999999999</v>
      </c>
      <c r="H323" s="21">
        <f>H324+H384+H379</f>
        <v>48690.81999999999</v>
      </c>
    </row>
    <row r="324" spans="1:8" ht="47.25">
      <c r="A324" s="23" t="s">
        <v>283</v>
      </c>
      <c r="B324" s="19">
        <v>903</v>
      </c>
      <c r="C324" s="24" t="s">
        <v>316</v>
      </c>
      <c r="D324" s="24" t="s">
        <v>135</v>
      </c>
      <c r="E324" s="24" t="s">
        <v>284</v>
      </c>
      <c r="F324" s="24"/>
      <c r="G324" s="21">
        <f>G325+G348</f>
        <v>47897.619999999995</v>
      </c>
      <c r="H324" s="21">
        <f>H325+H348</f>
        <v>47897.619999999995</v>
      </c>
    </row>
    <row r="325" spans="1:8" ht="47.25">
      <c r="A325" s="23" t="s">
        <v>318</v>
      </c>
      <c r="B325" s="19">
        <v>903</v>
      </c>
      <c r="C325" s="24" t="s">
        <v>316</v>
      </c>
      <c r="D325" s="24" t="s">
        <v>135</v>
      </c>
      <c r="E325" s="24" t="s">
        <v>319</v>
      </c>
      <c r="F325" s="24"/>
      <c r="G325" s="21">
        <f>G326+G334+G340+G344</f>
        <v>26022.3</v>
      </c>
      <c r="H325" s="21">
        <f>H326+H334+H340+H344</f>
        <v>26022.3</v>
      </c>
    </row>
    <row r="326" spans="1:8" ht="47.25">
      <c r="A326" s="23" t="s">
        <v>961</v>
      </c>
      <c r="B326" s="19">
        <v>903</v>
      </c>
      <c r="C326" s="24" t="s">
        <v>316</v>
      </c>
      <c r="D326" s="24" t="s">
        <v>135</v>
      </c>
      <c r="E326" s="24" t="s">
        <v>962</v>
      </c>
      <c r="F326" s="24"/>
      <c r="G326" s="21">
        <f>G327</f>
        <v>24514</v>
      </c>
      <c r="H326" s="21">
        <f>H327</f>
        <v>24514</v>
      </c>
    </row>
    <row r="327" spans="1:8" ht="15.75">
      <c r="A327" s="25" t="s">
        <v>835</v>
      </c>
      <c r="B327" s="16">
        <v>903</v>
      </c>
      <c r="C327" s="20" t="s">
        <v>316</v>
      </c>
      <c r="D327" s="20" t="s">
        <v>135</v>
      </c>
      <c r="E327" s="20" t="s">
        <v>960</v>
      </c>
      <c r="F327" s="20"/>
      <c r="G327" s="26">
        <f>'Пр.6 ведом.20'!G327</f>
        <v>24514</v>
      </c>
      <c r="H327" s="26">
        <f t="shared" si="13"/>
        <v>24514</v>
      </c>
    </row>
    <row r="328" spans="1:8" ht="78.75">
      <c r="A328" s="25" t="s">
        <v>144</v>
      </c>
      <c r="B328" s="16">
        <v>903</v>
      </c>
      <c r="C328" s="20" t="s">
        <v>316</v>
      </c>
      <c r="D328" s="20" t="s">
        <v>135</v>
      </c>
      <c r="E328" s="20" t="s">
        <v>960</v>
      </c>
      <c r="F328" s="20" t="s">
        <v>145</v>
      </c>
      <c r="G328" s="26">
        <f>'Пр.6 ведом.20'!G328</f>
        <v>18725</v>
      </c>
      <c r="H328" s="26">
        <f t="shared" si="13"/>
        <v>18725</v>
      </c>
    </row>
    <row r="329" spans="1:8" ht="15.75">
      <c r="A329" s="25" t="s">
        <v>225</v>
      </c>
      <c r="B329" s="16">
        <v>903</v>
      </c>
      <c r="C329" s="20" t="s">
        <v>316</v>
      </c>
      <c r="D329" s="20" t="s">
        <v>135</v>
      </c>
      <c r="E329" s="20" t="s">
        <v>960</v>
      </c>
      <c r="F329" s="20" t="s">
        <v>226</v>
      </c>
      <c r="G329" s="26">
        <f>'Пр.6 ведом.20'!G329</f>
        <v>18725</v>
      </c>
      <c r="H329" s="26">
        <f t="shared" si="13"/>
        <v>18725</v>
      </c>
    </row>
    <row r="330" spans="1:8" ht="31.5">
      <c r="A330" s="25" t="s">
        <v>148</v>
      </c>
      <c r="B330" s="16">
        <v>903</v>
      </c>
      <c r="C330" s="20" t="s">
        <v>316</v>
      </c>
      <c r="D330" s="20" t="s">
        <v>135</v>
      </c>
      <c r="E330" s="20" t="s">
        <v>960</v>
      </c>
      <c r="F330" s="20" t="s">
        <v>149</v>
      </c>
      <c r="G330" s="26">
        <f>'Пр.6 ведом.20'!G330</f>
        <v>5681</v>
      </c>
      <c r="H330" s="26">
        <f t="shared" si="13"/>
        <v>5681</v>
      </c>
    </row>
    <row r="331" spans="1:8" ht="31.5">
      <c r="A331" s="25" t="s">
        <v>150</v>
      </c>
      <c r="B331" s="16">
        <v>903</v>
      </c>
      <c r="C331" s="20" t="s">
        <v>316</v>
      </c>
      <c r="D331" s="20" t="s">
        <v>135</v>
      </c>
      <c r="E331" s="20" t="s">
        <v>960</v>
      </c>
      <c r="F331" s="20" t="s">
        <v>151</v>
      </c>
      <c r="G331" s="26">
        <f>'Пр.6 ведом.20'!G331</f>
        <v>5681</v>
      </c>
      <c r="H331" s="26">
        <f t="shared" si="13"/>
        <v>5681</v>
      </c>
    </row>
    <row r="332" spans="1:8" ht="15.75">
      <c r="A332" s="25" t="s">
        <v>152</v>
      </c>
      <c r="B332" s="16">
        <v>903</v>
      </c>
      <c r="C332" s="20" t="s">
        <v>316</v>
      </c>
      <c r="D332" s="20" t="s">
        <v>135</v>
      </c>
      <c r="E332" s="20" t="s">
        <v>960</v>
      </c>
      <c r="F332" s="20" t="s">
        <v>162</v>
      </c>
      <c r="G332" s="26">
        <f>'Пр.6 ведом.20'!G332</f>
        <v>108</v>
      </c>
      <c r="H332" s="26">
        <f t="shared" si="13"/>
        <v>108</v>
      </c>
    </row>
    <row r="333" spans="1:8" ht="15.75">
      <c r="A333" s="25" t="s">
        <v>585</v>
      </c>
      <c r="B333" s="16">
        <v>903</v>
      </c>
      <c r="C333" s="20" t="s">
        <v>316</v>
      </c>
      <c r="D333" s="20" t="s">
        <v>135</v>
      </c>
      <c r="E333" s="20" t="s">
        <v>960</v>
      </c>
      <c r="F333" s="20" t="s">
        <v>155</v>
      </c>
      <c r="G333" s="26">
        <f>'Пр.6 ведом.20'!G333</f>
        <v>108</v>
      </c>
      <c r="H333" s="26">
        <f aca="true" t="shared" si="15" ref="H333:H393">G333</f>
        <v>108</v>
      </c>
    </row>
    <row r="334" spans="1:8" ht="31.5">
      <c r="A334" s="317" t="s">
        <v>975</v>
      </c>
      <c r="B334" s="19">
        <v>903</v>
      </c>
      <c r="C334" s="24" t="s">
        <v>316</v>
      </c>
      <c r="D334" s="24" t="s">
        <v>135</v>
      </c>
      <c r="E334" s="24" t="s">
        <v>963</v>
      </c>
      <c r="F334" s="24"/>
      <c r="G334" s="21">
        <f>G335</f>
        <v>250</v>
      </c>
      <c r="H334" s="21">
        <f>H335</f>
        <v>250</v>
      </c>
    </row>
    <row r="335" spans="1:8" ht="31.5">
      <c r="A335" s="32" t="s">
        <v>864</v>
      </c>
      <c r="B335" s="16">
        <v>903</v>
      </c>
      <c r="C335" s="20" t="s">
        <v>316</v>
      </c>
      <c r="D335" s="20" t="s">
        <v>135</v>
      </c>
      <c r="E335" s="20" t="s">
        <v>964</v>
      </c>
      <c r="F335" s="20"/>
      <c r="G335" s="26">
        <f>'Пр.6 ведом.20'!G335</f>
        <v>250</v>
      </c>
      <c r="H335" s="26">
        <f t="shared" si="15"/>
        <v>250</v>
      </c>
    </row>
    <row r="336" spans="1:8" ht="78.75" hidden="1">
      <c r="A336" s="25" t="s">
        <v>144</v>
      </c>
      <c r="B336" s="16">
        <v>903</v>
      </c>
      <c r="C336" s="20" t="s">
        <v>316</v>
      </c>
      <c r="D336" s="20" t="s">
        <v>135</v>
      </c>
      <c r="E336" s="20" t="s">
        <v>964</v>
      </c>
      <c r="F336" s="20" t="s">
        <v>145</v>
      </c>
      <c r="G336" s="26">
        <f>'Пр.6 ведом.20'!G336</f>
        <v>0</v>
      </c>
      <c r="H336" s="26">
        <f t="shared" si="15"/>
        <v>0</v>
      </c>
    </row>
    <row r="337" spans="1:8" ht="15.75" hidden="1">
      <c r="A337" s="25" t="s">
        <v>225</v>
      </c>
      <c r="B337" s="16">
        <v>903</v>
      </c>
      <c r="C337" s="20" t="s">
        <v>316</v>
      </c>
      <c r="D337" s="20" t="s">
        <v>135</v>
      </c>
      <c r="E337" s="20" t="s">
        <v>964</v>
      </c>
      <c r="F337" s="20" t="s">
        <v>226</v>
      </c>
      <c r="G337" s="26">
        <f>'Пр.6 ведом.20'!G337</f>
        <v>0</v>
      </c>
      <c r="H337" s="26">
        <f t="shared" si="15"/>
        <v>0</v>
      </c>
    </row>
    <row r="338" spans="1:8" ht="31.5">
      <c r="A338" s="25" t="s">
        <v>148</v>
      </c>
      <c r="B338" s="16">
        <v>903</v>
      </c>
      <c r="C338" s="20" t="s">
        <v>316</v>
      </c>
      <c r="D338" s="20" t="s">
        <v>135</v>
      </c>
      <c r="E338" s="20" t="s">
        <v>964</v>
      </c>
      <c r="F338" s="20" t="s">
        <v>149</v>
      </c>
      <c r="G338" s="26">
        <f>'Пр.6 ведом.20'!G338</f>
        <v>250</v>
      </c>
      <c r="H338" s="26">
        <f t="shared" si="15"/>
        <v>250</v>
      </c>
    </row>
    <row r="339" spans="1:8" ht="31.5">
      <c r="A339" s="25" t="s">
        <v>150</v>
      </c>
      <c r="B339" s="16">
        <v>903</v>
      </c>
      <c r="C339" s="20" t="s">
        <v>316</v>
      </c>
      <c r="D339" s="20" t="s">
        <v>135</v>
      </c>
      <c r="E339" s="20" t="s">
        <v>964</v>
      </c>
      <c r="F339" s="20" t="s">
        <v>151</v>
      </c>
      <c r="G339" s="26">
        <f>'Пр.6 ведом.20'!G339</f>
        <v>250</v>
      </c>
      <c r="H339" s="26">
        <f t="shared" si="15"/>
        <v>250</v>
      </c>
    </row>
    <row r="340" spans="1:8" ht="31.5">
      <c r="A340" s="23" t="s">
        <v>1084</v>
      </c>
      <c r="B340" s="19">
        <v>903</v>
      </c>
      <c r="C340" s="24" t="s">
        <v>316</v>
      </c>
      <c r="D340" s="24" t="s">
        <v>135</v>
      </c>
      <c r="E340" s="24" t="s">
        <v>1173</v>
      </c>
      <c r="F340" s="24"/>
      <c r="G340" s="45">
        <f>G341</f>
        <v>585</v>
      </c>
      <c r="H340" s="45">
        <f>H341</f>
        <v>585</v>
      </c>
    </row>
    <row r="341" spans="1:8" ht="47.25">
      <c r="A341" s="25" t="s">
        <v>889</v>
      </c>
      <c r="B341" s="16">
        <v>903</v>
      </c>
      <c r="C341" s="20" t="s">
        <v>316</v>
      </c>
      <c r="D341" s="20" t="s">
        <v>135</v>
      </c>
      <c r="E341" s="20" t="s">
        <v>1174</v>
      </c>
      <c r="F341" s="20"/>
      <c r="G341" s="26">
        <f>'Пр.6 ведом.20'!G341</f>
        <v>585</v>
      </c>
      <c r="H341" s="26">
        <f t="shared" si="15"/>
        <v>585</v>
      </c>
    </row>
    <row r="342" spans="1:8" ht="78.75">
      <c r="A342" s="25" t="s">
        <v>144</v>
      </c>
      <c r="B342" s="16">
        <v>903</v>
      </c>
      <c r="C342" s="20" t="s">
        <v>316</v>
      </c>
      <c r="D342" s="20" t="s">
        <v>135</v>
      </c>
      <c r="E342" s="20" t="s">
        <v>1174</v>
      </c>
      <c r="F342" s="20" t="s">
        <v>145</v>
      </c>
      <c r="G342" s="26">
        <f>'Пр.6 ведом.20'!G342</f>
        <v>585</v>
      </c>
      <c r="H342" s="26">
        <f t="shared" si="15"/>
        <v>585</v>
      </c>
    </row>
    <row r="343" spans="1:8" ht="31.5">
      <c r="A343" s="25" t="s">
        <v>146</v>
      </c>
      <c r="B343" s="16">
        <v>903</v>
      </c>
      <c r="C343" s="20" t="s">
        <v>316</v>
      </c>
      <c r="D343" s="20" t="s">
        <v>135</v>
      </c>
      <c r="E343" s="20" t="s">
        <v>1174</v>
      </c>
      <c r="F343" s="20" t="s">
        <v>226</v>
      </c>
      <c r="G343" s="26">
        <f>'Пр.6 ведом.20'!G343</f>
        <v>585</v>
      </c>
      <c r="H343" s="26">
        <f t="shared" si="15"/>
        <v>585</v>
      </c>
    </row>
    <row r="344" spans="1:8" ht="47.25">
      <c r="A344" s="318" t="s">
        <v>976</v>
      </c>
      <c r="B344" s="19">
        <v>903</v>
      </c>
      <c r="C344" s="24" t="s">
        <v>316</v>
      </c>
      <c r="D344" s="24" t="s">
        <v>135</v>
      </c>
      <c r="E344" s="24" t="s">
        <v>1175</v>
      </c>
      <c r="F344" s="24"/>
      <c r="G344" s="21">
        <f>G345</f>
        <v>673.3</v>
      </c>
      <c r="H344" s="21">
        <f>H345</f>
        <v>673.3</v>
      </c>
    </row>
    <row r="345" spans="1:8" ht="94.5">
      <c r="A345" s="32" t="s">
        <v>310</v>
      </c>
      <c r="B345" s="16">
        <v>903</v>
      </c>
      <c r="C345" s="20" t="s">
        <v>316</v>
      </c>
      <c r="D345" s="20" t="s">
        <v>135</v>
      </c>
      <c r="E345" s="20" t="s">
        <v>1176</v>
      </c>
      <c r="F345" s="20"/>
      <c r="G345" s="26">
        <f>'Пр.6 ведом.20'!G345</f>
        <v>673.3</v>
      </c>
      <c r="H345" s="26">
        <f t="shared" si="15"/>
        <v>673.3</v>
      </c>
    </row>
    <row r="346" spans="1:8" ht="78.75">
      <c r="A346" s="25" t="s">
        <v>144</v>
      </c>
      <c r="B346" s="16">
        <v>903</v>
      </c>
      <c r="C346" s="20" t="s">
        <v>316</v>
      </c>
      <c r="D346" s="20" t="s">
        <v>135</v>
      </c>
      <c r="E346" s="20" t="s">
        <v>1176</v>
      </c>
      <c r="F346" s="20" t="s">
        <v>145</v>
      </c>
      <c r="G346" s="26">
        <f>'Пр.6 ведом.20'!G346</f>
        <v>673.3</v>
      </c>
      <c r="H346" s="26">
        <f t="shared" si="15"/>
        <v>673.3</v>
      </c>
    </row>
    <row r="347" spans="1:8" ht="15.75">
      <c r="A347" s="25" t="s">
        <v>225</v>
      </c>
      <c r="B347" s="16">
        <v>903</v>
      </c>
      <c r="C347" s="20" t="s">
        <v>316</v>
      </c>
      <c r="D347" s="20" t="s">
        <v>135</v>
      </c>
      <c r="E347" s="20" t="s">
        <v>1176</v>
      </c>
      <c r="F347" s="20" t="s">
        <v>226</v>
      </c>
      <c r="G347" s="26">
        <f>'Пр.6 ведом.20'!G347</f>
        <v>673.3</v>
      </c>
      <c r="H347" s="26">
        <f t="shared" si="15"/>
        <v>673.3</v>
      </c>
    </row>
    <row r="348" spans="1:8" ht="31.5">
      <c r="A348" s="23" t="s">
        <v>329</v>
      </c>
      <c r="B348" s="19">
        <v>903</v>
      </c>
      <c r="C348" s="24" t="s">
        <v>316</v>
      </c>
      <c r="D348" s="24" t="s">
        <v>135</v>
      </c>
      <c r="E348" s="24" t="s">
        <v>330</v>
      </c>
      <c r="F348" s="24"/>
      <c r="G348" s="21">
        <f>G349+G357+G365+G372+G361</f>
        <v>21875.32</v>
      </c>
      <c r="H348" s="21">
        <f>H349+H357+H365+H372+H361</f>
        <v>21875.32</v>
      </c>
    </row>
    <row r="349" spans="1:8" ht="47.25">
      <c r="A349" s="23" t="s">
        <v>961</v>
      </c>
      <c r="B349" s="19">
        <v>903</v>
      </c>
      <c r="C349" s="24" t="s">
        <v>316</v>
      </c>
      <c r="D349" s="24" t="s">
        <v>135</v>
      </c>
      <c r="E349" s="24" t="s">
        <v>965</v>
      </c>
      <c r="F349" s="24"/>
      <c r="G349" s="21">
        <f>G350</f>
        <v>19822.02</v>
      </c>
      <c r="H349" s="21">
        <f>H350</f>
        <v>19822.02</v>
      </c>
    </row>
    <row r="350" spans="1:8" ht="15.75">
      <c r="A350" s="25" t="s">
        <v>835</v>
      </c>
      <c r="B350" s="16">
        <v>903</v>
      </c>
      <c r="C350" s="20" t="s">
        <v>316</v>
      </c>
      <c r="D350" s="20" t="s">
        <v>135</v>
      </c>
      <c r="E350" s="20" t="s">
        <v>966</v>
      </c>
      <c r="F350" s="20"/>
      <c r="G350" s="26">
        <f>'Пр.6 ведом.20'!G350</f>
        <v>19822.02</v>
      </c>
      <c r="H350" s="26">
        <f t="shared" si="15"/>
        <v>19822.02</v>
      </c>
    </row>
    <row r="351" spans="1:8" ht="78.75">
      <c r="A351" s="25" t="s">
        <v>144</v>
      </c>
      <c r="B351" s="16">
        <v>903</v>
      </c>
      <c r="C351" s="20" t="s">
        <v>316</v>
      </c>
      <c r="D351" s="20" t="s">
        <v>135</v>
      </c>
      <c r="E351" s="20" t="s">
        <v>966</v>
      </c>
      <c r="F351" s="20" t="s">
        <v>145</v>
      </c>
      <c r="G351" s="26">
        <f>'Пр.6 ведом.20'!G351</f>
        <v>15928.02</v>
      </c>
      <c r="H351" s="26">
        <f t="shared" si="15"/>
        <v>15928.02</v>
      </c>
    </row>
    <row r="352" spans="1:8" ht="15.75">
      <c r="A352" s="25" t="s">
        <v>225</v>
      </c>
      <c r="B352" s="16">
        <v>903</v>
      </c>
      <c r="C352" s="20" t="s">
        <v>316</v>
      </c>
      <c r="D352" s="20" t="s">
        <v>135</v>
      </c>
      <c r="E352" s="20" t="s">
        <v>966</v>
      </c>
      <c r="F352" s="20" t="s">
        <v>226</v>
      </c>
      <c r="G352" s="26">
        <f>'Пр.6 ведом.20'!G352</f>
        <v>15928.02</v>
      </c>
      <c r="H352" s="26">
        <f t="shared" si="15"/>
        <v>15928.02</v>
      </c>
    </row>
    <row r="353" spans="1:8" ht="31.5">
      <c r="A353" s="25" t="s">
        <v>148</v>
      </c>
      <c r="B353" s="16">
        <v>903</v>
      </c>
      <c r="C353" s="20" t="s">
        <v>316</v>
      </c>
      <c r="D353" s="20" t="s">
        <v>135</v>
      </c>
      <c r="E353" s="20" t="s">
        <v>966</v>
      </c>
      <c r="F353" s="20" t="s">
        <v>149</v>
      </c>
      <c r="G353" s="26">
        <f>'Пр.6 ведом.20'!G353</f>
        <v>3858</v>
      </c>
      <c r="H353" s="26">
        <f t="shared" si="15"/>
        <v>3858</v>
      </c>
    </row>
    <row r="354" spans="1:8" ht="31.5">
      <c r="A354" s="25" t="s">
        <v>150</v>
      </c>
      <c r="B354" s="16">
        <v>903</v>
      </c>
      <c r="C354" s="20" t="s">
        <v>316</v>
      </c>
      <c r="D354" s="20" t="s">
        <v>135</v>
      </c>
      <c r="E354" s="20" t="s">
        <v>966</v>
      </c>
      <c r="F354" s="20" t="s">
        <v>151</v>
      </c>
      <c r="G354" s="26">
        <f>'Пр.6 ведом.20'!G354</f>
        <v>3858</v>
      </c>
      <c r="H354" s="26">
        <f t="shared" si="15"/>
        <v>3858</v>
      </c>
    </row>
    <row r="355" spans="1:8" ht="15.75">
      <c r="A355" s="25" t="s">
        <v>152</v>
      </c>
      <c r="B355" s="16">
        <v>903</v>
      </c>
      <c r="C355" s="20" t="s">
        <v>316</v>
      </c>
      <c r="D355" s="20" t="s">
        <v>135</v>
      </c>
      <c r="E355" s="20" t="s">
        <v>966</v>
      </c>
      <c r="F355" s="20" t="s">
        <v>162</v>
      </c>
      <c r="G355" s="26">
        <f>'Пр.6 ведом.20'!G355</f>
        <v>36</v>
      </c>
      <c r="H355" s="26">
        <f t="shared" si="15"/>
        <v>36</v>
      </c>
    </row>
    <row r="356" spans="1:8" ht="15.75">
      <c r="A356" s="25" t="s">
        <v>585</v>
      </c>
      <c r="B356" s="16">
        <v>903</v>
      </c>
      <c r="C356" s="20" t="s">
        <v>316</v>
      </c>
      <c r="D356" s="20" t="s">
        <v>135</v>
      </c>
      <c r="E356" s="20" t="s">
        <v>966</v>
      </c>
      <c r="F356" s="20" t="s">
        <v>155</v>
      </c>
      <c r="G356" s="26">
        <f>'Пр.6 ведом.20'!G356</f>
        <v>36</v>
      </c>
      <c r="H356" s="26">
        <f t="shared" si="15"/>
        <v>36</v>
      </c>
    </row>
    <row r="357" spans="1:8" ht="31.5">
      <c r="A357" s="23" t="s">
        <v>978</v>
      </c>
      <c r="B357" s="19">
        <v>903</v>
      </c>
      <c r="C357" s="24" t="s">
        <v>316</v>
      </c>
      <c r="D357" s="24" t="s">
        <v>135</v>
      </c>
      <c r="E357" s="24" t="s">
        <v>967</v>
      </c>
      <c r="F357" s="24"/>
      <c r="G357" s="21">
        <f>G358</f>
        <v>200</v>
      </c>
      <c r="H357" s="21">
        <f>H358</f>
        <v>200</v>
      </c>
    </row>
    <row r="358" spans="1:8" ht="31.5">
      <c r="A358" s="25" t="s">
        <v>870</v>
      </c>
      <c r="B358" s="16">
        <v>903</v>
      </c>
      <c r="C358" s="20" t="s">
        <v>316</v>
      </c>
      <c r="D358" s="20" t="s">
        <v>135</v>
      </c>
      <c r="E358" s="20" t="s">
        <v>968</v>
      </c>
      <c r="F358" s="20"/>
      <c r="G358" s="26">
        <f>'Пр.6 ведом.20'!G358</f>
        <v>200</v>
      </c>
      <c r="H358" s="26">
        <f t="shared" si="15"/>
        <v>200</v>
      </c>
    </row>
    <row r="359" spans="1:8" ht="31.5">
      <c r="A359" s="25" t="s">
        <v>148</v>
      </c>
      <c r="B359" s="16">
        <v>903</v>
      </c>
      <c r="C359" s="20" t="s">
        <v>316</v>
      </c>
      <c r="D359" s="20" t="s">
        <v>135</v>
      </c>
      <c r="E359" s="20" t="s">
        <v>968</v>
      </c>
      <c r="F359" s="20" t="s">
        <v>149</v>
      </c>
      <c r="G359" s="26">
        <f>'Пр.6 ведом.20'!G359</f>
        <v>200</v>
      </c>
      <c r="H359" s="26">
        <f t="shared" si="15"/>
        <v>200</v>
      </c>
    </row>
    <row r="360" spans="1:8" ht="31.5">
      <c r="A360" s="25" t="s">
        <v>150</v>
      </c>
      <c r="B360" s="16">
        <v>903</v>
      </c>
      <c r="C360" s="20" t="s">
        <v>316</v>
      </c>
      <c r="D360" s="20" t="s">
        <v>135</v>
      </c>
      <c r="E360" s="20" t="s">
        <v>968</v>
      </c>
      <c r="F360" s="20" t="s">
        <v>151</v>
      </c>
      <c r="G360" s="26">
        <f>'Пр.6 ведом.20'!G360</f>
        <v>200</v>
      </c>
      <c r="H360" s="26">
        <f t="shared" si="15"/>
        <v>200</v>
      </c>
    </row>
    <row r="361" spans="1:8" ht="31.5">
      <c r="A361" s="23" t="s">
        <v>1084</v>
      </c>
      <c r="B361" s="19">
        <v>903</v>
      </c>
      <c r="C361" s="24" t="s">
        <v>316</v>
      </c>
      <c r="D361" s="24" t="s">
        <v>135</v>
      </c>
      <c r="E361" s="24" t="s">
        <v>969</v>
      </c>
      <c r="F361" s="24"/>
      <c r="G361" s="21">
        <f>G362</f>
        <v>507</v>
      </c>
      <c r="H361" s="21">
        <f>H362</f>
        <v>507</v>
      </c>
    </row>
    <row r="362" spans="1:8" ht="47.25">
      <c r="A362" s="25" t="s">
        <v>889</v>
      </c>
      <c r="B362" s="16">
        <v>903</v>
      </c>
      <c r="C362" s="20" t="s">
        <v>316</v>
      </c>
      <c r="D362" s="20" t="s">
        <v>135</v>
      </c>
      <c r="E362" s="20" t="s">
        <v>1269</v>
      </c>
      <c r="F362" s="20"/>
      <c r="G362" s="26">
        <f>'Пр.6 ведом.20'!G362</f>
        <v>507</v>
      </c>
      <c r="H362" s="26">
        <f t="shared" si="15"/>
        <v>507</v>
      </c>
    </row>
    <row r="363" spans="1:8" ht="78.75">
      <c r="A363" s="25" t="s">
        <v>144</v>
      </c>
      <c r="B363" s="16">
        <v>903</v>
      </c>
      <c r="C363" s="20" t="s">
        <v>316</v>
      </c>
      <c r="D363" s="20" t="s">
        <v>135</v>
      </c>
      <c r="E363" s="20" t="s">
        <v>1269</v>
      </c>
      <c r="F363" s="20" t="s">
        <v>145</v>
      </c>
      <c r="G363" s="26">
        <f>'Пр.6 ведом.20'!G363</f>
        <v>507</v>
      </c>
      <c r="H363" s="26">
        <f t="shared" si="15"/>
        <v>507</v>
      </c>
    </row>
    <row r="364" spans="1:8" ht="15.75">
      <c r="A364" s="25" t="s">
        <v>225</v>
      </c>
      <c r="B364" s="16">
        <v>903</v>
      </c>
      <c r="C364" s="20" t="s">
        <v>316</v>
      </c>
      <c r="D364" s="20" t="s">
        <v>135</v>
      </c>
      <c r="E364" s="20" t="s">
        <v>1269</v>
      </c>
      <c r="F364" s="20" t="s">
        <v>226</v>
      </c>
      <c r="G364" s="26">
        <f>'Пр.6 ведом.20'!G364</f>
        <v>507</v>
      </c>
      <c r="H364" s="26">
        <f t="shared" si="15"/>
        <v>507</v>
      </c>
    </row>
    <row r="365" spans="1:8" ht="31.5">
      <c r="A365" s="23" t="s">
        <v>1172</v>
      </c>
      <c r="B365" s="19">
        <v>903</v>
      </c>
      <c r="C365" s="24" t="s">
        <v>316</v>
      </c>
      <c r="D365" s="24" t="s">
        <v>135</v>
      </c>
      <c r="E365" s="24" t="s">
        <v>970</v>
      </c>
      <c r="F365" s="24"/>
      <c r="G365" s="21">
        <f>G366+G369</f>
        <v>72.6</v>
      </c>
      <c r="H365" s="21">
        <f>H366+H369</f>
        <v>72.6</v>
      </c>
    </row>
    <row r="366" spans="1:8" ht="15.75">
      <c r="A366" s="25" t="s">
        <v>346</v>
      </c>
      <c r="B366" s="16">
        <v>903</v>
      </c>
      <c r="C366" s="20" t="s">
        <v>316</v>
      </c>
      <c r="D366" s="20" t="s">
        <v>135</v>
      </c>
      <c r="E366" s="20" t="s">
        <v>1270</v>
      </c>
      <c r="F366" s="20"/>
      <c r="G366" s="26">
        <f>'Пр.6 ведом.20'!G366</f>
        <v>3.5</v>
      </c>
      <c r="H366" s="26">
        <f t="shared" si="15"/>
        <v>3.5</v>
      </c>
    </row>
    <row r="367" spans="1:8" ht="31.5">
      <c r="A367" s="25" t="s">
        <v>148</v>
      </c>
      <c r="B367" s="16">
        <v>903</v>
      </c>
      <c r="C367" s="20" t="s">
        <v>316</v>
      </c>
      <c r="D367" s="20" t="s">
        <v>135</v>
      </c>
      <c r="E367" s="20" t="s">
        <v>1270</v>
      </c>
      <c r="F367" s="20" t="s">
        <v>149</v>
      </c>
      <c r="G367" s="26">
        <f>'Пр.6 ведом.20'!G367</f>
        <v>3.5</v>
      </c>
      <c r="H367" s="26">
        <f t="shared" si="15"/>
        <v>3.5</v>
      </c>
    </row>
    <row r="368" spans="1:8" ht="31.5">
      <c r="A368" s="25" t="s">
        <v>150</v>
      </c>
      <c r="B368" s="16">
        <v>903</v>
      </c>
      <c r="C368" s="20" t="s">
        <v>316</v>
      </c>
      <c r="D368" s="20" t="s">
        <v>135</v>
      </c>
      <c r="E368" s="20" t="s">
        <v>1270</v>
      </c>
      <c r="F368" s="20" t="s">
        <v>151</v>
      </c>
      <c r="G368" s="26">
        <f>'Пр.6 ведом.20'!G368</f>
        <v>3.5</v>
      </c>
      <c r="H368" s="26">
        <f t="shared" si="15"/>
        <v>3.5</v>
      </c>
    </row>
    <row r="369" spans="1:8" ht="15.75">
      <c r="A369" s="25" t="s">
        <v>346</v>
      </c>
      <c r="B369" s="16">
        <v>903</v>
      </c>
      <c r="C369" s="20" t="s">
        <v>316</v>
      </c>
      <c r="D369" s="20" t="s">
        <v>135</v>
      </c>
      <c r="E369" s="20" t="s">
        <v>1271</v>
      </c>
      <c r="F369" s="20"/>
      <c r="G369" s="26">
        <f>'Пр.6 ведом.20'!G369</f>
        <v>69.1</v>
      </c>
      <c r="H369" s="26">
        <f t="shared" si="15"/>
        <v>69.1</v>
      </c>
    </row>
    <row r="370" spans="1:8" ht="31.5">
      <c r="A370" s="25" t="s">
        <v>148</v>
      </c>
      <c r="B370" s="16">
        <v>903</v>
      </c>
      <c r="C370" s="20" t="s">
        <v>316</v>
      </c>
      <c r="D370" s="20" t="s">
        <v>135</v>
      </c>
      <c r="E370" s="20" t="s">
        <v>1271</v>
      </c>
      <c r="F370" s="20" t="s">
        <v>149</v>
      </c>
      <c r="G370" s="26">
        <f>'Пр.6 ведом.20'!G370</f>
        <v>69.1</v>
      </c>
      <c r="H370" s="26">
        <f t="shared" si="15"/>
        <v>69.1</v>
      </c>
    </row>
    <row r="371" spans="1:8" ht="31.5">
      <c r="A371" s="25" t="s">
        <v>150</v>
      </c>
      <c r="B371" s="16">
        <v>903</v>
      </c>
      <c r="C371" s="20" t="s">
        <v>316</v>
      </c>
      <c r="D371" s="20" t="s">
        <v>135</v>
      </c>
      <c r="E371" s="20" t="s">
        <v>1271</v>
      </c>
      <c r="F371" s="39">
        <v>240</v>
      </c>
      <c r="G371" s="26">
        <f>'Пр.6 ведом.20'!G371</f>
        <v>69.1</v>
      </c>
      <c r="H371" s="26">
        <f t="shared" si="15"/>
        <v>69.1</v>
      </c>
    </row>
    <row r="372" spans="1:8" ht="47.25">
      <c r="A372" s="318" t="s">
        <v>976</v>
      </c>
      <c r="B372" s="19">
        <v>903</v>
      </c>
      <c r="C372" s="24" t="s">
        <v>316</v>
      </c>
      <c r="D372" s="24" t="s">
        <v>135</v>
      </c>
      <c r="E372" s="24" t="s">
        <v>1272</v>
      </c>
      <c r="F372" s="24"/>
      <c r="G372" s="21">
        <f>G373+G376</f>
        <v>1273.7</v>
      </c>
      <c r="H372" s="21">
        <f>H373+H376</f>
        <v>1273.7</v>
      </c>
    </row>
    <row r="373" spans="1:8" ht="78.75">
      <c r="A373" s="25" t="s">
        <v>348</v>
      </c>
      <c r="B373" s="16">
        <v>903</v>
      </c>
      <c r="C373" s="20" t="s">
        <v>316</v>
      </c>
      <c r="D373" s="20" t="s">
        <v>135</v>
      </c>
      <c r="E373" s="20" t="s">
        <v>1273</v>
      </c>
      <c r="F373" s="20"/>
      <c r="G373" s="26">
        <f>'Пр.6 ведом.20'!G373</f>
        <v>273.7</v>
      </c>
      <c r="H373" s="26">
        <f t="shared" si="15"/>
        <v>273.7</v>
      </c>
    </row>
    <row r="374" spans="1:8" ht="78.75">
      <c r="A374" s="25" t="s">
        <v>144</v>
      </c>
      <c r="B374" s="16">
        <v>903</v>
      </c>
      <c r="C374" s="20" t="s">
        <v>316</v>
      </c>
      <c r="D374" s="20" t="s">
        <v>135</v>
      </c>
      <c r="E374" s="20" t="s">
        <v>1273</v>
      </c>
      <c r="F374" s="20" t="s">
        <v>145</v>
      </c>
      <c r="G374" s="26">
        <f>'Пр.6 ведом.20'!G374</f>
        <v>273.7</v>
      </c>
      <c r="H374" s="26">
        <f t="shared" si="15"/>
        <v>273.7</v>
      </c>
    </row>
    <row r="375" spans="1:8" ht="15.75">
      <c r="A375" s="25" t="s">
        <v>225</v>
      </c>
      <c r="B375" s="16">
        <v>903</v>
      </c>
      <c r="C375" s="20" t="s">
        <v>316</v>
      </c>
      <c r="D375" s="20" t="s">
        <v>135</v>
      </c>
      <c r="E375" s="20" t="s">
        <v>1273</v>
      </c>
      <c r="F375" s="20" t="s">
        <v>226</v>
      </c>
      <c r="G375" s="26">
        <f>'Пр.6 ведом.20'!G375</f>
        <v>273.7</v>
      </c>
      <c r="H375" s="26">
        <f t="shared" si="15"/>
        <v>273.7</v>
      </c>
    </row>
    <row r="376" spans="1:8" ht="94.5">
      <c r="A376" s="32" t="s">
        <v>310</v>
      </c>
      <c r="B376" s="16">
        <v>903</v>
      </c>
      <c r="C376" s="20" t="s">
        <v>316</v>
      </c>
      <c r="D376" s="20" t="s">
        <v>135</v>
      </c>
      <c r="E376" s="20" t="s">
        <v>1274</v>
      </c>
      <c r="F376" s="20"/>
      <c r="G376" s="26">
        <f>'Пр.6 ведом.20'!G376</f>
        <v>1000</v>
      </c>
      <c r="H376" s="26">
        <f t="shared" si="15"/>
        <v>1000</v>
      </c>
    </row>
    <row r="377" spans="1:8" ht="78.75">
      <c r="A377" s="25" t="s">
        <v>144</v>
      </c>
      <c r="B377" s="16">
        <v>903</v>
      </c>
      <c r="C377" s="20" t="s">
        <v>316</v>
      </c>
      <c r="D377" s="20" t="s">
        <v>135</v>
      </c>
      <c r="E377" s="20" t="s">
        <v>1274</v>
      </c>
      <c r="F377" s="20" t="s">
        <v>145</v>
      </c>
      <c r="G377" s="26">
        <f>'Пр.6 ведом.20'!G377</f>
        <v>1000</v>
      </c>
      <c r="H377" s="26">
        <f t="shared" si="15"/>
        <v>1000</v>
      </c>
    </row>
    <row r="378" spans="1:8" ht="15.75">
      <c r="A378" s="25" t="s">
        <v>225</v>
      </c>
      <c r="B378" s="16">
        <v>903</v>
      </c>
      <c r="C378" s="20" t="s">
        <v>316</v>
      </c>
      <c r="D378" s="20" t="s">
        <v>135</v>
      </c>
      <c r="E378" s="20" t="s">
        <v>1274</v>
      </c>
      <c r="F378" s="20" t="s">
        <v>226</v>
      </c>
      <c r="G378" s="26">
        <f>'Пр.6 ведом.20'!G378</f>
        <v>1000</v>
      </c>
      <c r="H378" s="26">
        <f t="shared" si="15"/>
        <v>1000</v>
      </c>
    </row>
    <row r="379" spans="1:8" ht="63">
      <c r="A379" s="35" t="s">
        <v>807</v>
      </c>
      <c r="B379" s="19">
        <v>903</v>
      </c>
      <c r="C379" s="24" t="s">
        <v>316</v>
      </c>
      <c r="D379" s="24" t="s">
        <v>135</v>
      </c>
      <c r="E379" s="24" t="s">
        <v>341</v>
      </c>
      <c r="F379" s="24"/>
      <c r="G379" s="21">
        <f>G381</f>
        <v>0</v>
      </c>
      <c r="H379" s="21">
        <f>H381</f>
        <v>0</v>
      </c>
    </row>
    <row r="380" spans="1:8" ht="63">
      <c r="A380" s="35" t="s">
        <v>1202</v>
      </c>
      <c r="B380" s="19">
        <v>903</v>
      </c>
      <c r="C380" s="24" t="s">
        <v>316</v>
      </c>
      <c r="D380" s="24" t="s">
        <v>135</v>
      </c>
      <c r="E380" s="24" t="s">
        <v>1033</v>
      </c>
      <c r="F380" s="24"/>
      <c r="G380" s="21">
        <f>G383</f>
        <v>0</v>
      </c>
      <c r="H380" s="21">
        <f>H383</f>
        <v>0</v>
      </c>
    </row>
    <row r="381" spans="1:8" ht="47.25">
      <c r="A381" s="32" t="s">
        <v>1290</v>
      </c>
      <c r="B381" s="16">
        <v>903</v>
      </c>
      <c r="C381" s="20" t="s">
        <v>316</v>
      </c>
      <c r="D381" s="20" t="s">
        <v>135</v>
      </c>
      <c r="E381" s="20" t="s">
        <v>1204</v>
      </c>
      <c r="F381" s="20"/>
      <c r="G381" s="26">
        <f>G382</f>
        <v>0</v>
      </c>
      <c r="H381" s="26">
        <f>H382</f>
        <v>0</v>
      </c>
    </row>
    <row r="382" spans="1:8" ht="31.5">
      <c r="A382" s="25" t="s">
        <v>148</v>
      </c>
      <c r="B382" s="16">
        <v>903</v>
      </c>
      <c r="C382" s="20" t="s">
        <v>316</v>
      </c>
      <c r="D382" s="20" t="s">
        <v>135</v>
      </c>
      <c r="E382" s="20" t="s">
        <v>1204</v>
      </c>
      <c r="F382" s="20" t="s">
        <v>149</v>
      </c>
      <c r="G382" s="26">
        <f>G383</f>
        <v>0</v>
      </c>
      <c r="H382" s="26">
        <f>H383</f>
        <v>0</v>
      </c>
    </row>
    <row r="383" spans="1:8" ht="31.5">
      <c r="A383" s="25" t="s">
        <v>150</v>
      </c>
      <c r="B383" s="16">
        <v>903</v>
      </c>
      <c r="C383" s="20" t="s">
        <v>316</v>
      </c>
      <c r="D383" s="20" t="s">
        <v>135</v>
      </c>
      <c r="E383" s="20" t="s">
        <v>1204</v>
      </c>
      <c r="F383" s="20" t="s">
        <v>151</v>
      </c>
      <c r="G383" s="26">
        <v>0</v>
      </c>
      <c r="H383" s="26">
        <v>0</v>
      </c>
    </row>
    <row r="384" spans="1:8" ht="63">
      <c r="A384" s="42" t="s">
        <v>1188</v>
      </c>
      <c r="B384" s="19">
        <v>903</v>
      </c>
      <c r="C384" s="24" t="s">
        <v>316</v>
      </c>
      <c r="D384" s="24" t="s">
        <v>135</v>
      </c>
      <c r="E384" s="24" t="s">
        <v>730</v>
      </c>
      <c r="F384" s="324"/>
      <c r="G384" s="21">
        <f>G385</f>
        <v>793.2</v>
      </c>
      <c r="H384" s="21">
        <f>H385</f>
        <v>793.2</v>
      </c>
    </row>
    <row r="385" spans="1:8" ht="47.25">
      <c r="A385" s="42" t="s">
        <v>954</v>
      </c>
      <c r="B385" s="19">
        <v>903</v>
      </c>
      <c r="C385" s="24" t="s">
        <v>316</v>
      </c>
      <c r="D385" s="24" t="s">
        <v>135</v>
      </c>
      <c r="E385" s="24" t="s">
        <v>952</v>
      </c>
      <c r="F385" s="324"/>
      <c r="G385" s="21">
        <f>G386</f>
        <v>793.2</v>
      </c>
      <c r="H385" s="21">
        <f>H386</f>
        <v>793.2</v>
      </c>
    </row>
    <row r="386" spans="1:8" ht="47.25">
      <c r="A386" s="107" t="s">
        <v>1198</v>
      </c>
      <c r="B386" s="16">
        <v>903</v>
      </c>
      <c r="C386" s="20" t="s">
        <v>316</v>
      </c>
      <c r="D386" s="20" t="s">
        <v>135</v>
      </c>
      <c r="E386" s="20" t="s">
        <v>953</v>
      </c>
      <c r="F386" s="33"/>
      <c r="G386" s="26">
        <f>'Пр.6 ведом.20'!G386</f>
        <v>793.2</v>
      </c>
      <c r="H386" s="26">
        <f t="shared" si="15"/>
        <v>793.2</v>
      </c>
    </row>
    <row r="387" spans="1:8" ht="31.5">
      <c r="A387" s="25" t="s">
        <v>148</v>
      </c>
      <c r="B387" s="16">
        <v>903</v>
      </c>
      <c r="C387" s="20" t="s">
        <v>316</v>
      </c>
      <c r="D387" s="20" t="s">
        <v>135</v>
      </c>
      <c r="E387" s="20" t="s">
        <v>953</v>
      </c>
      <c r="F387" s="33" t="s">
        <v>149</v>
      </c>
      <c r="G387" s="26">
        <f>'Пр.6 ведом.20'!G387</f>
        <v>793.2</v>
      </c>
      <c r="H387" s="26">
        <f t="shared" si="15"/>
        <v>793.2</v>
      </c>
    </row>
    <row r="388" spans="1:8" ht="31.5">
      <c r="A388" s="25" t="s">
        <v>150</v>
      </c>
      <c r="B388" s="16">
        <v>903</v>
      </c>
      <c r="C388" s="20" t="s">
        <v>316</v>
      </c>
      <c r="D388" s="20" t="s">
        <v>135</v>
      </c>
      <c r="E388" s="20" t="s">
        <v>953</v>
      </c>
      <c r="F388" s="33" t="s">
        <v>151</v>
      </c>
      <c r="G388" s="26">
        <f>'Пр.6 ведом.20'!G388</f>
        <v>793.2</v>
      </c>
      <c r="H388" s="26">
        <f t="shared" si="15"/>
        <v>793.2</v>
      </c>
    </row>
    <row r="389" spans="1:8" ht="31.5">
      <c r="A389" s="23" t="s">
        <v>350</v>
      </c>
      <c r="B389" s="19">
        <v>903</v>
      </c>
      <c r="C389" s="24" t="s">
        <v>316</v>
      </c>
      <c r="D389" s="24" t="s">
        <v>167</v>
      </c>
      <c r="E389" s="24"/>
      <c r="F389" s="24"/>
      <c r="G389" s="21">
        <f>G390+G400+G412</f>
        <v>19790.134</v>
      </c>
      <c r="H389" s="21">
        <f>H390+H400+H412</f>
        <v>19790.134</v>
      </c>
    </row>
    <row r="390" spans="1:8" ht="31.5">
      <c r="A390" s="23" t="s">
        <v>995</v>
      </c>
      <c r="B390" s="19">
        <v>903</v>
      </c>
      <c r="C390" s="24" t="s">
        <v>316</v>
      </c>
      <c r="D390" s="24" t="s">
        <v>167</v>
      </c>
      <c r="E390" s="24" t="s">
        <v>909</v>
      </c>
      <c r="F390" s="24"/>
      <c r="G390" s="21">
        <f>G391</f>
        <v>7489.590999999999</v>
      </c>
      <c r="H390" s="21">
        <f>H391</f>
        <v>7489.590999999999</v>
      </c>
    </row>
    <row r="391" spans="1:8" ht="15.75">
      <c r="A391" s="23" t="s">
        <v>996</v>
      </c>
      <c r="B391" s="19">
        <v>903</v>
      </c>
      <c r="C391" s="24" t="s">
        <v>316</v>
      </c>
      <c r="D391" s="24" t="s">
        <v>167</v>
      </c>
      <c r="E391" s="24" t="s">
        <v>910</v>
      </c>
      <c r="F391" s="24"/>
      <c r="G391" s="21">
        <f>G392+G397</f>
        <v>7489.590999999999</v>
      </c>
      <c r="H391" s="21">
        <f>H392+H397</f>
        <v>7489.590999999999</v>
      </c>
    </row>
    <row r="392" spans="1:8" ht="31.5">
      <c r="A392" s="25" t="s">
        <v>972</v>
      </c>
      <c r="B392" s="16">
        <v>903</v>
      </c>
      <c r="C392" s="20" t="s">
        <v>316</v>
      </c>
      <c r="D392" s="20" t="s">
        <v>167</v>
      </c>
      <c r="E392" s="20" t="s">
        <v>911</v>
      </c>
      <c r="F392" s="20"/>
      <c r="G392" s="26">
        <f>'Пр.6 ведом.20'!G392</f>
        <v>7339.590999999999</v>
      </c>
      <c r="H392" s="26">
        <f t="shared" si="15"/>
        <v>7339.590999999999</v>
      </c>
    </row>
    <row r="393" spans="1:8" ht="78.75">
      <c r="A393" s="25" t="s">
        <v>144</v>
      </c>
      <c r="B393" s="16">
        <v>903</v>
      </c>
      <c r="C393" s="20" t="s">
        <v>316</v>
      </c>
      <c r="D393" s="20" t="s">
        <v>167</v>
      </c>
      <c r="E393" s="20" t="s">
        <v>911</v>
      </c>
      <c r="F393" s="20" t="s">
        <v>145</v>
      </c>
      <c r="G393" s="26">
        <f>'Пр.6 ведом.20'!G393</f>
        <v>7339.590999999999</v>
      </c>
      <c r="H393" s="26">
        <f t="shared" si="15"/>
        <v>7339.590999999999</v>
      </c>
    </row>
    <row r="394" spans="1:8" ht="31.5">
      <c r="A394" s="25" t="s">
        <v>146</v>
      </c>
      <c r="B394" s="16">
        <v>903</v>
      </c>
      <c r="C394" s="20" t="s">
        <v>316</v>
      </c>
      <c r="D394" s="20" t="s">
        <v>167</v>
      </c>
      <c r="E394" s="20" t="s">
        <v>911</v>
      </c>
      <c r="F394" s="20" t="s">
        <v>147</v>
      </c>
      <c r="G394" s="26">
        <f>'Пр.6 ведом.20'!G394</f>
        <v>7339.590999999999</v>
      </c>
      <c r="H394" s="26">
        <f aca="true" t="shared" si="16" ref="H394:H459">G394</f>
        <v>7339.590999999999</v>
      </c>
    </row>
    <row r="395" spans="1:8" ht="31.5">
      <c r="A395" s="25" t="s">
        <v>148</v>
      </c>
      <c r="B395" s="16">
        <v>903</v>
      </c>
      <c r="C395" s="20" t="s">
        <v>316</v>
      </c>
      <c r="D395" s="20" t="s">
        <v>167</v>
      </c>
      <c r="E395" s="20" t="s">
        <v>911</v>
      </c>
      <c r="F395" s="20" t="s">
        <v>149</v>
      </c>
      <c r="G395" s="26">
        <f>'Пр.6 ведом.20'!G395</f>
        <v>0</v>
      </c>
      <c r="H395" s="26">
        <f t="shared" si="16"/>
        <v>0</v>
      </c>
    </row>
    <row r="396" spans="1:8" ht="31.5">
      <c r="A396" s="25" t="s">
        <v>150</v>
      </c>
      <c r="B396" s="16">
        <v>903</v>
      </c>
      <c r="C396" s="20" t="s">
        <v>316</v>
      </c>
      <c r="D396" s="20" t="s">
        <v>167</v>
      </c>
      <c r="E396" s="20" t="s">
        <v>911</v>
      </c>
      <c r="F396" s="20" t="s">
        <v>151</v>
      </c>
      <c r="G396" s="26">
        <f>'Пр.6 ведом.20'!G396</f>
        <v>0</v>
      </c>
      <c r="H396" s="26">
        <f t="shared" si="16"/>
        <v>0</v>
      </c>
    </row>
    <row r="397" spans="1:8" ht="47.25">
      <c r="A397" s="25" t="s">
        <v>889</v>
      </c>
      <c r="B397" s="16">
        <v>903</v>
      </c>
      <c r="C397" s="20" t="s">
        <v>316</v>
      </c>
      <c r="D397" s="20" t="s">
        <v>167</v>
      </c>
      <c r="E397" s="20" t="s">
        <v>913</v>
      </c>
      <c r="F397" s="20"/>
      <c r="G397" s="26">
        <f>'Пр.6 ведом.20'!G397</f>
        <v>150</v>
      </c>
      <c r="H397" s="26">
        <f t="shared" si="16"/>
        <v>150</v>
      </c>
    </row>
    <row r="398" spans="1:8" ht="78.75">
      <c r="A398" s="25" t="s">
        <v>144</v>
      </c>
      <c r="B398" s="16">
        <v>903</v>
      </c>
      <c r="C398" s="20" t="s">
        <v>316</v>
      </c>
      <c r="D398" s="20" t="s">
        <v>167</v>
      </c>
      <c r="E398" s="20" t="s">
        <v>913</v>
      </c>
      <c r="F398" s="20" t="s">
        <v>145</v>
      </c>
      <c r="G398" s="26">
        <f>'Пр.6 ведом.20'!G398</f>
        <v>150</v>
      </c>
      <c r="H398" s="26">
        <f t="shared" si="16"/>
        <v>150</v>
      </c>
    </row>
    <row r="399" spans="1:8" ht="31.5">
      <c r="A399" s="25" t="s">
        <v>146</v>
      </c>
      <c r="B399" s="16">
        <v>903</v>
      </c>
      <c r="C399" s="20" t="s">
        <v>316</v>
      </c>
      <c r="D399" s="20" t="s">
        <v>167</v>
      </c>
      <c r="E399" s="20" t="s">
        <v>913</v>
      </c>
      <c r="F399" s="20" t="s">
        <v>147</v>
      </c>
      <c r="G399" s="26">
        <f>'Пр.6 ведом.20'!G399</f>
        <v>150</v>
      </c>
      <c r="H399" s="26">
        <f t="shared" si="16"/>
        <v>150</v>
      </c>
    </row>
    <row r="400" spans="1:8" ht="15.75">
      <c r="A400" s="23" t="s">
        <v>1006</v>
      </c>
      <c r="B400" s="19">
        <v>903</v>
      </c>
      <c r="C400" s="24" t="s">
        <v>316</v>
      </c>
      <c r="D400" s="24" t="s">
        <v>167</v>
      </c>
      <c r="E400" s="24" t="s">
        <v>917</v>
      </c>
      <c r="F400" s="24"/>
      <c r="G400" s="21">
        <f>G401</f>
        <v>12040.543</v>
      </c>
      <c r="H400" s="21">
        <f>H401</f>
        <v>12040.543</v>
      </c>
    </row>
    <row r="401" spans="1:8" ht="31.5">
      <c r="A401" s="23" t="s">
        <v>1009</v>
      </c>
      <c r="B401" s="19">
        <v>903</v>
      </c>
      <c r="C401" s="24" t="s">
        <v>316</v>
      </c>
      <c r="D401" s="24" t="s">
        <v>167</v>
      </c>
      <c r="E401" s="24" t="s">
        <v>992</v>
      </c>
      <c r="F401" s="24"/>
      <c r="G401" s="21">
        <f>G402+G409</f>
        <v>12040.543</v>
      </c>
      <c r="H401" s="21">
        <f>H402+H409</f>
        <v>12040.543</v>
      </c>
    </row>
    <row r="402" spans="1:8" ht="31.5">
      <c r="A402" s="25" t="s">
        <v>979</v>
      </c>
      <c r="B402" s="16">
        <v>903</v>
      </c>
      <c r="C402" s="20" t="s">
        <v>316</v>
      </c>
      <c r="D402" s="20" t="s">
        <v>167</v>
      </c>
      <c r="E402" s="20" t="s">
        <v>993</v>
      </c>
      <c r="F402" s="20"/>
      <c r="G402" s="26">
        <f>'Пр.6 ведом.20'!G402</f>
        <v>11860.543</v>
      </c>
      <c r="H402" s="26">
        <f t="shared" si="16"/>
        <v>11860.543</v>
      </c>
    </row>
    <row r="403" spans="1:8" ht="78.75">
      <c r="A403" s="25" t="s">
        <v>144</v>
      </c>
      <c r="B403" s="16">
        <v>903</v>
      </c>
      <c r="C403" s="20" t="s">
        <v>316</v>
      </c>
      <c r="D403" s="20" t="s">
        <v>167</v>
      </c>
      <c r="E403" s="20" t="s">
        <v>993</v>
      </c>
      <c r="F403" s="20" t="s">
        <v>145</v>
      </c>
      <c r="G403" s="26">
        <f>'Пр.6 ведом.20'!G403</f>
        <v>9909.543</v>
      </c>
      <c r="H403" s="26">
        <f t="shared" si="16"/>
        <v>9909.543</v>
      </c>
    </row>
    <row r="404" spans="1:8" ht="31.5">
      <c r="A404" s="25" t="s">
        <v>359</v>
      </c>
      <c r="B404" s="16">
        <v>903</v>
      </c>
      <c r="C404" s="20" t="s">
        <v>316</v>
      </c>
      <c r="D404" s="20" t="s">
        <v>167</v>
      </c>
      <c r="E404" s="20" t="s">
        <v>993</v>
      </c>
      <c r="F404" s="20" t="s">
        <v>226</v>
      </c>
      <c r="G404" s="26">
        <f>'Пр.6 ведом.20'!G404</f>
        <v>9909.543</v>
      </c>
      <c r="H404" s="26">
        <f t="shared" si="16"/>
        <v>9909.543</v>
      </c>
    </row>
    <row r="405" spans="1:8" ht="31.5">
      <c r="A405" s="25" t="s">
        <v>148</v>
      </c>
      <c r="B405" s="16">
        <v>903</v>
      </c>
      <c r="C405" s="20" t="s">
        <v>316</v>
      </c>
      <c r="D405" s="20" t="s">
        <v>167</v>
      </c>
      <c r="E405" s="20" t="s">
        <v>993</v>
      </c>
      <c r="F405" s="20" t="s">
        <v>149</v>
      </c>
      <c r="G405" s="26">
        <f>'Пр.6 ведом.20'!G405</f>
        <v>1937</v>
      </c>
      <c r="H405" s="26">
        <f t="shared" si="16"/>
        <v>1937</v>
      </c>
    </row>
    <row r="406" spans="1:8" ht="31.5">
      <c r="A406" s="25" t="s">
        <v>150</v>
      </c>
      <c r="B406" s="16">
        <v>903</v>
      </c>
      <c r="C406" s="20" t="s">
        <v>316</v>
      </c>
      <c r="D406" s="20" t="s">
        <v>167</v>
      </c>
      <c r="E406" s="20" t="s">
        <v>993</v>
      </c>
      <c r="F406" s="20" t="s">
        <v>151</v>
      </c>
      <c r="G406" s="26">
        <f>'Пр.6 ведом.20'!G406</f>
        <v>1937</v>
      </c>
      <c r="H406" s="26">
        <f t="shared" si="16"/>
        <v>1937</v>
      </c>
    </row>
    <row r="407" spans="1:8" ht="15.75">
      <c r="A407" s="25" t="s">
        <v>152</v>
      </c>
      <c r="B407" s="16">
        <v>903</v>
      </c>
      <c r="C407" s="20" t="s">
        <v>316</v>
      </c>
      <c r="D407" s="20" t="s">
        <v>167</v>
      </c>
      <c r="E407" s="20" t="s">
        <v>993</v>
      </c>
      <c r="F407" s="20" t="s">
        <v>162</v>
      </c>
      <c r="G407" s="26">
        <f>'Пр.6 ведом.20'!G407</f>
        <v>14</v>
      </c>
      <c r="H407" s="26">
        <f t="shared" si="16"/>
        <v>14</v>
      </c>
    </row>
    <row r="408" spans="1:8" ht="15.75">
      <c r="A408" s="25" t="s">
        <v>585</v>
      </c>
      <c r="B408" s="16">
        <v>903</v>
      </c>
      <c r="C408" s="20" t="s">
        <v>316</v>
      </c>
      <c r="D408" s="20" t="s">
        <v>167</v>
      </c>
      <c r="E408" s="20" t="s">
        <v>993</v>
      </c>
      <c r="F408" s="20" t="s">
        <v>155</v>
      </c>
      <c r="G408" s="26">
        <f>'Пр.6 ведом.20'!G408</f>
        <v>14</v>
      </c>
      <c r="H408" s="26">
        <f t="shared" si="16"/>
        <v>14</v>
      </c>
    </row>
    <row r="409" spans="1:8" ht="47.25">
      <c r="A409" s="25" t="s">
        <v>889</v>
      </c>
      <c r="B409" s="16">
        <v>903</v>
      </c>
      <c r="C409" s="20" t="s">
        <v>316</v>
      </c>
      <c r="D409" s="20" t="s">
        <v>167</v>
      </c>
      <c r="E409" s="20" t="s">
        <v>994</v>
      </c>
      <c r="F409" s="20"/>
      <c r="G409" s="26">
        <f>'Пр.6 ведом.20'!G409</f>
        <v>180</v>
      </c>
      <c r="H409" s="26">
        <f t="shared" si="16"/>
        <v>180</v>
      </c>
    </row>
    <row r="410" spans="1:8" ht="78.75">
      <c r="A410" s="25" t="s">
        <v>144</v>
      </c>
      <c r="B410" s="16">
        <v>903</v>
      </c>
      <c r="C410" s="20" t="s">
        <v>316</v>
      </c>
      <c r="D410" s="20" t="s">
        <v>167</v>
      </c>
      <c r="E410" s="20" t="s">
        <v>994</v>
      </c>
      <c r="F410" s="20" t="s">
        <v>145</v>
      </c>
      <c r="G410" s="26">
        <f>'Пр.6 ведом.20'!G410</f>
        <v>180</v>
      </c>
      <c r="H410" s="26">
        <f t="shared" si="16"/>
        <v>180</v>
      </c>
    </row>
    <row r="411" spans="1:8" ht="25.5" customHeight="1">
      <c r="A411" s="25" t="s">
        <v>359</v>
      </c>
      <c r="B411" s="16">
        <v>903</v>
      </c>
      <c r="C411" s="20" t="s">
        <v>316</v>
      </c>
      <c r="D411" s="20" t="s">
        <v>167</v>
      </c>
      <c r="E411" s="20" t="s">
        <v>994</v>
      </c>
      <c r="F411" s="20" t="s">
        <v>226</v>
      </c>
      <c r="G411" s="26">
        <f>'Пр.6 ведом.20'!G411</f>
        <v>180</v>
      </c>
      <c r="H411" s="26">
        <f t="shared" si="16"/>
        <v>180</v>
      </c>
    </row>
    <row r="412" spans="1:8" ht="47.25">
      <c r="A412" s="23" t="s">
        <v>360</v>
      </c>
      <c r="B412" s="19">
        <v>903</v>
      </c>
      <c r="C412" s="24" t="s">
        <v>316</v>
      </c>
      <c r="D412" s="24" t="s">
        <v>167</v>
      </c>
      <c r="E412" s="24" t="s">
        <v>361</v>
      </c>
      <c r="F412" s="24"/>
      <c r="G412" s="21">
        <f aca="true" t="shared" si="17" ref="G412:H414">G413</f>
        <v>260</v>
      </c>
      <c r="H412" s="21">
        <f t="shared" si="17"/>
        <v>260</v>
      </c>
    </row>
    <row r="413" spans="1:8" ht="47.25">
      <c r="A413" s="23" t="s">
        <v>381</v>
      </c>
      <c r="B413" s="19">
        <v>903</v>
      </c>
      <c r="C413" s="24" t="s">
        <v>316</v>
      </c>
      <c r="D413" s="24" t="s">
        <v>167</v>
      </c>
      <c r="E413" s="24" t="s">
        <v>382</v>
      </c>
      <c r="F413" s="24"/>
      <c r="G413" s="21">
        <f t="shared" si="17"/>
        <v>260</v>
      </c>
      <c r="H413" s="21">
        <f t="shared" si="17"/>
        <v>260</v>
      </c>
    </row>
    <row r="414" spans="1:8" ht="31.5">
      <c r="A414" s="23" t="s">
        <v>1155</v>
      </c>
      <c r="B414" s="19">
        <v>903</v>
      </c>
      <c r="C414" s="24" t="s">
        <v>316</v>
      </c>
      <c r="D414" s="24" t="s">
        <v>167</v>
      </c>
      <c r="E414" s="24" t="s">
        <v>971</v>
      </c>
      <c r="F414" s="24"/>
      <c r="G414" s="21">
        <f t="shared" si="17"/>
        <v>260</v>
      </c>
      <c r="H414" s="21">
        <f t="shared" si="17"/>
        <v>260</v>
      </c>
    </row>
    <row r="415" spans="1:8" ht="31.5">
      <c r="A415" s="25" t="s">
        <v>1154</v>
      </c>
      <c r="B415" s="16">
        <v>903</v>
      </c>
      <c r="C415" s="20" t="s">
        <v>316</v>
      </c>
      <c r="D415" s="20" t="s">
        <v>167</v>
      </c>
      <c r="E415" s="20" t="s">
        <v>1240</v>
      </c>
      <c r="F415" s="20"/>
      <c r="G415" s="26">
        <f>'Пр.6 ведом.20'!G415</f>
        <v>260</v>
      </c>
      <c r="H415" s="26">
        <f t="shared" si="16"/>
        <v>260</v>
      </c>
    </row>
    <row r="416" spans="1:8" ht="31.5">
      <c r="A416" s="25" t="s">
        <v>148</v>
      </c>
      <c r="B416" s="16">
        <v>903</v>
      </c>
      <c r="C416" s="20" t="s">
        <v>316</v>
      </c>
      <c r="D416" s="20" t="s">
        <v>167</v>
      </c>
      <c r="E416" s="20" t="s">
        <v>1240</v>
      </c>
      <c r="F416" s="20" t="s">
        <v>149</v>
      </c>
      <c r="G416" s="26">
        <f>'Пр.6 ведом.20'!G416</f>
        <v>260</v>
      </c>
      <c r="H416" s="26">
        <f t="shared" si="16"/>
        <v>260</v>
      </c>
    </row>
    <row r="417" spans="1:8" ht="31.5">
      <c r="A417" s="25" t="s">
        <v>150</v>
      </c>
      <c r="B417" s="16">
        <v>903</v>
      </c>
      <c r="C417" s="20" t="s">
        <v>316</v>
      </c>
      <c r="D417" s="20" t="s">
        <v>167</v>
      </c>
      <c r="E417" s="20" t="s">
        <v>1240</v>
      </c>
      <c r="F417" s="20" t="s">
        <v>151</v>
      </c>
      <c r="G417" s="26">
        <f>'Пр.6 ведом.20'!G417</f>
        <v>260</v>
      </c>
      <c r="H417" s="26">
        <f t="shared" si="16"/>
        <v>260</v>
      </c>
    </row>
    <row r="418" spans="1:8" ht="15.75">
      <c r="A418" s="23" t="s">
        <v>260</v>
      </c>
      <c r="B418" s="19">
        <v>903</v>
      </c>
      <c r="C418" s="24" t="s">
        <v>261</v>
      </c>
      <c r="D418" s="24"/>
      <c r="E418" s="24"/>
      <c r="F418" s="24"/>
      <c r="G418" s="21">
        <f>G419</f>
        <v>2220</v>
      </c>
      <c r="H418" s="21">
        <f>H419</f>
        <v>2220</v>
      </c>
    </row>
    <row r="419" spans="1:8" ht="15.75">
      <c r="A419" s="23" t="s">
        <v>269</v>
      </c>
      <c r="B419" s="19">
        <v>903</v>
      </c>
      <c r="C419" s="24" t="s">
        <v>261</v>
      </c>
      <c r="D419" s="24" t="s">
        <v>232</v>
      </c>
      <c r="E419" s="24"/>
      <c r="F419" s="24"/>
      <c r="G419" s="21">
        <f>G420</f>
        <v>2220</v>
      </c>
      <c r="H419" s="21">
        <f>H420</f>
        <v>2220</v>
      </c>
    </row>
    <row r="420" spans="1:8" ht="47.25">
      <c r="A420" s="23" t="s">
        <v>360</v>
      </c>
      <c r="B420" s="19">
        <v>903</v>
      </c>
      <c r="C420" s="24" t="s">
        <v>261</v>
      </c>
      <c r="D420" s="24" t="s">
        <v>232</v>
      </c>
      <c r="E420" s="24" t="s">
        <v>361</v>
      </c>
      <c r="F420" s="24"/>
      <c r="G420" s="21">
        <f>G421+G426+G431+G442</f>
        <v>2220</v>
      </c>
      <c r="H420" s="21">
        <f>H421+H426+H431+H442</f>
        <v>2220</v>
      </c>
    </row>
    <row r="421" spans="1:8" ht="31.5">
      <c r="A421" s="23" t="s">
        <v>369</v>
      </c>
      <c r="B421" s="19">
        <v>903</v>
      </c>
      <c r="C421" s="24" t="s">
        <v>261</v>
      </c>
      <c r="D421" s="24" t="s">
        <v>232</v>
      </c>
      <c r="E421" s="24" t="s">
        <v>370</v>
      </c>
      <c r="F421" s="24"/>
      <c r="G421" s="21">
        <f>G422</f>
        <v>150</v>
      </c>
      <c r="H421" s="21">
        <f>H422</f>
        <v>150</v>
      </c>
    </row>
    <row r="422" spans="1:8" ht="31.5">
      <c r="A422" s="23" t="s">
        <v>981</v>
      </c>
      <c r="B422" s="19">
        <v>903</v>
      </c>
      <c r="C422" s="24" t="s">
        <v>261</v>
      </c>
      <c r="D422" s="24" t="s">
        <v>232</v>
      </c>
      <c r="E422" s="24" t="s">
        <v>980</v>
      </c>
      <c r="F422" s="24"/>
      <c r="G422" s="21">
        <f>G423</f>
        <v>150</v>
      </c>
      <c r="H422" s="21">
        <f>H423</f>
        <v>150</v>
      </c>
    </row>
    <row r="423" spans="1:8" ht="31.5">
      <c r="A423" s="25" t="s">
        <v>873</v>
      </c>
      <c r="B423" s="16">
        <v>903</v>
      </c>
      <c r="C423" s="20" t="s">
        <v>261</v>
      </c>
      <c r="D423" s="20" t="s">
        <v>232</v>
      </c>
      <c r="E423" s="20" t="s">
        <v>982</v>
      </c>
      <c r="F423" s="20"/>
      <c r="G423" s="26">
        <f>'Пр.6 ведом.20'!G423</f>
        <v>150</v>
      </c>
      <c r="H423" s="26">
        <f t="shared" si="16"/>
        <v>150</v>
      </c>
    </row>
    <row r="424" spans="1:8" ht="31.5">
      <c r="A424" s="25" t="s">
        <v>265</v>
      </c>
      <c r="B424" s="16">
        <v>903</v>
      </c>
      <c r="C424" s="20" t="s">
        <v>261</v>
      </c>
      <c r="D424" s="20" t="s">
        <v>232</v>
      </c>
      <c r="E424" s="20" t="s">
        <v>982</v>
      </c>
      <c r="F424" s="20" t="s">
        <v>266</v>
      </c>
      <c r="G424" s="26">
        <f>'Пр.6 ведом.20'!G424</f>
        <v>150</v>
      </c>
      <c r="H424" s="26">
        <f t="shared" si="16"/>
        <v>150</v>
      </c>
    </row>
    <row r="425" spans="1:8" ht="31.5">
      <c r="A425" s="25" t="s">
        <v>267</v>
      </c>
      <c r="B425" s="16">
        <v>903</v>
      </c>
      <c r="C425" s="20" t="s">
        <v>261</v>
      </c>
      <c r="D425" s="20" t="s">
        <v>232</v>
      </c>
      <c r="E425" s="20" t="s">
        <v>982</v>
      </c>
      <c r="F425" s="20" t="s">
        <v>268</v>
      </c>
      <c r="G425" s="26">
        <f>'Пр.6 ведом.20'!G425</f>
        <v>150</v>
      </c>
      <c r="H425" s="26">
        <f t="shared" si="16"/>
        <v>150</v>
      </c>
    </row>
    <row r="426" spans="1:8" ht="31.5">
      <c r="A426" s="23" t="s">
        <v>372</v>
      </c>
      <c r="B426" s="19">
        <v>903</v>
      </c>
      <c r="C426" s="19">
        <v>10</v>
      </c>
      <c r="D426" s="24" t="s">
        <v>232</v>
      </c>
      <c r="E426" s="24" t="s">
        <v>373</v>
      </c>
      <c r="F426" s="24"/>
      <c r="G426" s="21">
        <f>G428</f>
        <v>420</v>
      </c>
      <c r="H426" s="21">
        <f>H428</f>
        <v>420</v>
      </c>
    </row>
    <row r="427" spans="1:8" ht="31.5">
      <c r="A427" s="23" t="s">
        <v>1156</v>
      </c>
      <c r="B427" s="19">
        <v>903</v>
      </c>
      <c r="C427" s="19">
        <v>10</v>
      </c>
      <c r="D427" s="24" t="s">
        <v>232</v>
      </c>
      <c r="E427" s="24" t="s">
        <v>983</v>
      </c>
      <c r="F427" s="24"/>
      <c r="G427" s="21">
        <f>G428</f>
        <v>420</v>
      </c>
      <c r="H427" s="21">
        <f>H428</f>
        <v>420</v>
      </c>
    </row>
    <row r="428" spans="1:8" ht="15.75">
      <c r="A428" s="25" t="s">
        <v>1220</v>
      </c>
      <c r="B428" s="16">
        <v>903</v>
      </c>
      <c r="C428" s="20" t="s">
        <v>261</v>
      </c>
      <c r="D428" s="20" t="s">
        <v>232</v>
      </c>
      <c r="E428" s="20" t="s">
        <v>984</v>
      </c>
      <c r="F428" s="20"/>
      <c r="G428" s="26">
        <f>'Пр.6 ведом.20'!G428</f>
        <v>420</v>
      </c>
      <c r="H428" s="26">
        <f t="shared" si="16"/>
        <v>420</v>
      </c>
    </row>
    <row r="429" spans="1:8" ht="22.5" customHeight="1">
      <c r="A429" s="25" t="s">
        <v>265</v>
      </c>
      <c r="B429" s="16">
        <v>903</v>
      </c>
      <c r="C429" s="20" t="s">
        <v>261</v>
      </c>
      <c r="D429" s="20" t="s">
        <v>232</v>
      </c>
      <c r="E429" s="20" t="s">
        <v>984</v>
      </c>
      <c r="F429" s="20" t="s">
        <v>266</v>
      </c>
      <c r="G429" s="26">
        <f>'Пр.6 ведом.20'!G429</f>
        <v>420</v>
      </c>
      <c r="H429" s="26">
        <f t="shared" si="16"/>
        <v>420</v>
      </c>
    </row>
    <row r="430" spans="1:8" ht="31.5">
      <c r="A430" s="25" t="s">
        <v>365</v>
      </c>
      <c r="B430" s="16">
        <v>903</v>
      </c>
      <c r="C430" s="20" t="s">
        <v>261</v>
      </c>
      <c r="D430" s="20" t="s">
        <v>232</v>
      </c>
      <c r="E430" s="20" t="s">
        <v>984</v>
      </c>
      <c r="F430" s="20" t="s">
        <v>366</v>
      </c>
      <c r="G430" s="26">
        <f>'Пр.6 ведом.20'!G430</f>
        <v>420</v>
      </c>
      <c r="H430" s="26">
        <f t="shared" si="16"/>
        <v>420</v>
      </c>
    </row>
    <row r="431" spans="1:8" ht="15.75">
      <c r="A431" s="23" t="s">
        <v>375</v>
      </c>
      <c r="B431" s="19">
        <v>903</v>
      </c>
      <c r="C431" s="19">
        <v>10</v>
      </c>
      <c r="D431" s="24" t="s">
        <v>232</v>
      </c>
      <c r="E431" s="24" t="s">
        <v>376</v>
      </c>
      <c r="F431" s="24"/>
      <c r="G431" s="21">
        <f>G436+G432</f>
        <v>1400</v>
      </c>
      <c r="H431" s="21">
        <f>H436+H432</f>
        <v>1400</v>
      </c>
    </row>
    <row r="432" spans="1:8" ht="31.5">
      <c r="A432" s="23" t="s">
        <v>1222</v>
      </c>
      <c r="B432" s="19">
        <v>903</v>
      </c>
      <c r="C432" s="24" t="s">
        <v>261</v>
      </c>
      <c r="D432" s="24" t="s">
        <v>232</v>
      </c>
      <c r="E432" s="24" t="s">
        <v>986</v>
      </c>
      <c r="F432" s="24"/>
      <c r="G432" s="21">
        <f>G433</f>
        <v>920</v>
      </c>
      <c r="H432" s="21">
        <f>H433</f>
        <v>920</v>
      </c>
    </row>
    <row r="433" spans="1:8" ht="47.25">
      <c r="A433" s="107" t="s">
        <v>1223</v>
      </c>
      <c r="B433" s="16">
        <v>903</v>
      </c>
      <c r="C433" s="20" t="s">
        <v>261</v>
      </c>
      <c r="D433" s="20" t="s">
        <v>232</v>
      </c>
      <c r="E433" s="20" t="s">
        <v>987</v>
      </c>
      <c r="F433" s="20"/>
      <c r="G433" s="26">
        <f>'Пр.6 ведом.20'!G433</f>
        <v>920</v>
      </c>
      <c r="H433" s="26">
        <f t="shared" si="16"/>
        <v>920</v>
      </c>
    </row>
    <row r="434" spans="1:8" ht="31.5">
      <c r="A434" s="25" t="s">
        <v>265</v>
      </c>
      <c r="B434" s="16">
        <v>903</v>
      </c>
      <c r="C434" s="20" t="s">
        <v>261</v>
      </c>
      <c r="D434" s="20" t="s">
        <v>232</v>
      </c>
      <c r="E434" s="20" t="s">
        <v>987</v>
      </c>
      <c r="F434" s="20" t="s">
        <v>266</v>
      </c>
      <c r="G434" s="26">
        <f>'Пр.6 ведом.20'!G434</f>
        <v>920</v>
      </c>
      <c r="H434" s="26">
        <f t="shared" si="16"/>
        <v>920</v>
      </c>
    </row>
    <row r="435" spans="1:8" ht="31.5">
      <c r="A435" s="25" t="s">
        <v>365</v>
      </c>
      <c r="B435" s="16">
        <v>903</v>
      </c>
      <c r="C435" s="20" t="s">
        <v>261</v>
      </c>
      <c r="D435" s="20" t="s">
        <v>232</v>
      </c>
      <c r="E435" s="20" t="s">
        <v>987</v>
      </c>
      <c r="F435" s="20" t="s">
        <v>366</v>
      </c>
      <c r="G435" s="26">
        <f>'Пр.6 ведом.20'!G435</f>
        <v>920</v>
      </c>
      <c r="H435" s="26">
        <f t="shared" si="16"/>
        <v>920</v>
      </c>
    </row>
    <row r="436" spans="1:8" ht="31.5">
      <c r="A436" s="23" t="s">
        <v>985</v>
      </c>
      <c r="B436" s="19">
        <v>903</v>
      </c>
      <c r="C436" s="19">
        <v>10</v>
      </c>
      <c r="D436" s="24" t="s">
        <v>232</v>
      </c>
      <c r="E436" s="24" t="s">
        <v>988</v>
      </c>
      <c r="F436" s="24"/>
      <c r="G436" s="21">
        <f>G437+G440</f>
        <v>480</v>
      </c>
      <c r="H436" s="21">
        <f>H437+H440</f>
        <v>480</v>
      </c>
    </row>
    <row r="437" spans="1:8" ht="31.5">
      <c r="A437" s="25" t="s">
        <v>1157</v>
      </c>
      <c r="B437" s="16">
        <v>903</v>
      </c>
      <c r="C437" s="20" t="s">
        <v>261</v>
      </c>
      <c r="D437" s="20" t="s">
        <v>232</v>
      </c>
      <c r="E437" s="20" t="s">
        <v>989</v>
      </c>
      <c r="F437" s="20"/>
      <c r="G437" s="26">
        <f>'Пр.6 ведом.20'!G437</f>
        <v>270</v>
      </c>
      <c r="H437" s="26">
        <f t="shared" si="16"/>
        <v>270</v>
      </c>
    </row>
    <row r="438" spans="1:8" ht="31.5">
      <c r="A438" s="25" t="s">
        <v>148</v>
      </c>
      <c r="B438" s="16">
        <v>903</v>
      </c>
      <c r="C438" s="20" t="s">
        <v>261</v>
      </c>
      <c r="D438" s="20" t="s">
        <v>232</v>
      </c>
      <c r="E438" s="20" t="s">
        <v>989</v>
      </c>
      <c r="F438" s="20" t="s">
        <v>149</v>
      </c>
      <c r="G438" s="26">
        <f>'Пр.6 ведом.20'!G438</f>
        <v>270</v>
      </c>
      <c r="H438" s="26">
        <f t="shared" si="16"/>
        <v>270</v>
      </c>
    </row>
    <row r="439" spans="1:8" ht="31.5">
      <c r="A439" s="25" t="s">
        <v>150</v>
      </c>
      <c r="B439" s="16">
        <v>903</v>
      </c>
      <c r="C439" s="20" t="s">
        <v>261</v>
      </c>
      <c r="D439" s="20" t="s">
        <v>232</v>
      </c>
      <c r="E439" s="20" t="s">
        <v>989</v>
      </c>
      <c r="F439" s="20" t="s">
        <v>151</v>
      </c>
      <c r="G439" s="26">
        <f>'Пр.6 ведом.20'!G439</f>
        <v>270</v>
      </c>
      <c r="H439" s="26">
        <f t="shared" si="16"/>
        <v>270</v>
      </c>
    </row>
    <row r="440" spans="1:8" s="252" customFormat="1" ht="31.5">
      <c r="A440" s="25" t="s">
        <v>265</v>
      </c>
      <c r="B440" s="16">
        <v>903</v>
      </c>
      <c r="C440" s="20" t="s">
        <v>261</v>
      </c>
      <c r="D440" s="20" t="s">
        <v>232</v>
      </c>
      <c r="E440" s="20" t="s">
        <v>989</v>
      </c>
      <c r="F440" s="20" t="s">
        <v>266</v>
      </c>
      <c r="G440" s="26">
        <f>'Пр.6 ведом.20'!G440</f>
        <v>210</v>
      </c>
      <c r="H440" s="26">
        <f t="shared" si="16"/>
        <v>210</v>
      </c>
    </row>
    <row r="441" spans="1:8" s="252" customFormat="1" ht="31.5">
      <c r="A441" s="25" t="s">
        <v>365</v>
      </c>
      <c r="B441" s="16">
        <v>903</v>
      </c>
      <c r="C441" s="20" t="s">
        <v>261</v>
      </c>
      <c r="D441" s="20" t="s">
        <v>232</v>
      </c>
      <c r="E441" s="20" t="s">
        <v>989</v>
      </c>
      <c r="F441" s="20" t="s">
        <v>366</v>
      </c>
      <c r="G441" s="26">
        <f>'Пр.6 ведом.20'!G441</f>
        <v>210</v>
      </c>
      <c r="H441" s="26">
        <f t="shared" si="16"/>
        <v>210</v>
      </c>
    </row>
    <row r="442" spans="1:8" ht="31.5">
      <c r="A442" s="23" t="s">
        <v>378</v>
      </c>
      <c r="B442" s="19">
        <v>903</v>
      </c>
      <c r="C442" s="24" t="s">
        <v>261</v>
      </c>
      <c r="D442" s="24" t="s">
        <v>232</v>
      </c>
      <c r="E442" s="24" t="s">
        <v>379</v>
      </c>
      <c r="F442" s="24"/>
      <c r="G442" s="21">
        <f>G443</f>
        <v>250</v>
      </c>
      <c r="H442" s="21">
        <f>H443</f>
        <v>250</v>
      </c>
    </row>
    <row r="443" spans="1:8" ht="47.25">
      <c r="A443" s="23" t="s">
        <v>1225</v>
      </c>
      <c r="B443" s="19">
        <v>903</v>
      </c>
      <c r="C443" s="24" t="s">
        <v>261</v>
      </c>
      <c r="D443" s="24" t="s">
        <v>232</v>
      </c>
      <c r="E443" s="24" t="s">
        <v>991</v>
      </c>
      <c r="F443" s="24"/>
      <c r="G443" s="21">
        <f>G444</f>
        <v>250</v>
      </c>
      <c r="H443" s="21">
        <f>H444</f>
        <v>250</v>
      </c>
    </row>
    <row r="444" spans="1:8" ht="47.25">
      <c r="A444" s="25" t="s">
        <v>1224</v>
      </c>
      <c r="B444" s="16">
        <v>903</v>
      </c>
      <c r="C444" s="20" t="s">
        <v>261</v>
      </c>
      <c r="D444" s="20" t="s">
        <v>232</v>
      </c>
      <c r="E444" s="20" t="s">
        <v>990</v>
      </c>
      <c r="F444" s="20"/>
      <c r="G444" s="26">
        <f>'Пр.6 ведом.20'!G444</f>
        <v>250</v>
      </c>
      <c r="H444" s="26">
        <f t="shared" si="16"/>
        <v>250</v>
      </c>
    </row>
    <row r="445" spans="1:8" ht="17.25" customHeight="1">
      <c r="A445" s="25" t="s">
        <v>265</v>
      </c>
      <c r="B445" s="16">
        <v>903</v>
      </c>
      <c r="C445" s="20" t="s">
        <v>261</v>
      </c>
      <c r="D445" s="20" t="s">
        <v>232</v>
      </c>
      <c r="E445" s="20" t="s">
        <v>990</v>
      </c>
      <c r="F445" s="20" t="s">
        <v>266</v>
      </c>
      <c r="G445" s="26">
        <f>'Пр.6 ведом.20'!G445</f>
        <v>250</v>
      </c>
      <c r="H445" s="26">
        <f t="shared" si="16"/>
        <v>250</v>
      </c>
    </row>
    <row r="446" spans="1:8" ht="31.5">
      <c r="A446" s="25" t="s">
        <v>365</v>
      </c>
      <c r="B446" s="16">
        <v>903</v>
      </c>
      <c r="C446" s="20" t="s">
        <v>261</v>
      </c>
      <c r="D446" s="20" t="s">
        <v>232</v>
      </c>
      <c r="E446" s="20" t="s">
        <v>990</v>
      </c>
      <c r="F446" s="20" t="s">
        <v>366</v>
      </c>
      <c r="G446" s="26">
        <f>'Пр.6 ведом.20'!G446</f>
        <v>250</v>
      </c>
      <c r="H446" s="26">
        <f t="shared" si="16"/>
        <v>250</v>
      </c>
    </row>
    <row r="447" spans="1:8" ht="47.25">
      <c r="A447" s="19" t="s">
        <v>404</v>
      </c>
      <c r="B447" s="19">
        <v>905</v>
      </c>
      <c r="C447" s="20"/>
      <c r="D447" s="20"/>
      <c r="E447" s="20"/>
      <c r="F447" s="20"/>
      <c r="G447" s="21">
        <f>G448+G476</f>
        <v>18463.119</v>
      </c>
      <c r="H447" s="21">
        <f>H448+H476</f>
        <v>18463.119</v>
      </c>
    </row>
    <row r="448" spans="1:8" ht="15.75">
      <c r="A448" s="23" t="s">
        <v>134</v>
      </c>
      <c r="B448" s="19">
        <v>905</v>
      </c>
      <c r="C448" s="24" t="s">
        <v>135</v>
      </c>
      <c r="D448" s="20"/>
      <c r="E448" s="20"/>
      <c r="F448" s="20"/>
      <c r="G448" s="21">
        <f>G449+G462</f>
        <v>17282.119</v>
      </c>
      <c r="H448" s="21">
        <f>H449+H462</f>
        <v>17282.119</v>
      </c>
    </row>
    <row r="449" spans="1:8" ht="63">
      <c r="A449" s="23" t="s">
        <v>166</v>
      </c>
      <c r="B449" s="19">
        <v>905</v>
      </c>
      <c r="C449" s="24" t="s">
        <v>135</v>
      </c>
      <c r="D449" s="24" t="s">
        <v>167</v>
      </c>
      <c r="E449" s="24"/>
      <c r="F449" s="24"/>
      <c r="G449" s="21">
        <f>G450</f>
        <v>11853.298999999999</v>
      </c>
      <c r="H449" s="21">
        <f>H450</f>
        <v>11853.298999999999</v>
      </c>
    </row>
    <row r="450" spans="1:8" ht="31.5">
      <c r="A450" s="23" t="s">
        <v>995</v>
      </c>
      <c r="B450" s="19">
        <v>905</v>
      </c>
      <c r="C450" s="24" t="s">
        <v>135</v>
      </c>
      <c r="D450" s="24" t="s">
        <v>167</v>
      </c>
      <c r="E450" s="24" t="s">
        <v>909</v>
      </c>
      <c r="F450" s="24"/>
      <c r="G450" s="21">
        <f>G451</f>
        <v>11853.298999999999</v>
      </c>
      <c r="H450" s="21">
        <f>H451</f>
        <v>11853.298999999999</v>
      </c>
    </row>
    <row r="451" spans="1:8" ht="15.75">
      <c r="A451" s="23" t="s">
        <v>996</v>
      </c>
      <c r="B451" s="19">
        <v>905</v>
      </c>
      <c r="C451" s="24" t="s">
        <v>135</v>
      </c>
      <c r="D451" s="24" t="s">
        <v>167</v>
      </c>
      <c r="E451" s="24" t="s">
        <v>910</v>
      </c>
      <c r="F451" s="24"/>
      <c r="G451" s="21">
        <f>G452+G459</f>
        <v>11853.298999999999</v>
      </c>
      <c r="H451" s="21">
        <f>H452+H459</f>
        <v>11853.298999999999</v>
      </c>
    </row>
    <row r="452" spans="1:8" ht="31.5">
      <c r="A452" s="25" t="s">
        <v>972</v>
      </c>
      <c r="B452" s="16">
        <v>905</v>
      </c>
      <c r="C452" s="20" t="s">
        <v>135</v>
      </c>
      <c r="D452" s="20" t="s">
        <v>167</v>
      </c>
      <c r="E452" s="20" t="s">
        <v>911</v>
      </c>
      <c r="F452" s="20"/>
      <c r="G452" s="26">
        <f>'Пр.6 ведом.20'!G452</f>
        <v>11426.298999999999</v>
      </c>
      <c r="H452" s="26">
        <f t="shared" si="16"/>
        <v>11426.298999999999</v>
      </c>
    </row>
    <row r="453" spans="1:8" ht="78.75">
      <c r="A453" s="25" t="s">
        <v>144</v>
      </c>
      <c r="B453" s="16">
        <v>905</v>
      </c>
      <c r="C453" s="20" t="s">
        <v>135</v>
      </c>
      <c r="D453" s="20" t="s">
        <v>167</v>
      </c>
      <c r="E453" s="20" t="s">
        <v>911</v>
      </c>
      <c r="F453" s="20" t="s">
        <v>145</v>
      </c>
      <c r="G453" s="26">
        <f>'Пр.6 ведом.20'!G453</f>
        <v>10631.298999999999</v>
      </c>
      <c r="H453" s="26">
        <f t="shared" si="16"/>
        <v>10631.298999999999</v>
      </c>
    </row>
    <row r="454" spans="1:8" ht="31.5">
      <c r="A454" s="25" t="s">
        <v>146</v>
      </c>
      <c r="B454" s="16">
        <v>905</v>
      </c>
      <c r="C454" s="20" t="s">
        <v>135</v>
      </c>
      <c r="D454" s="20" t="s">
        <v>167</v>
      </c>
      <c r="E454" s="20" t="s">
        <v>911</v>
      </c>
      <c r="F454" s="20" t="s">
        <v>147</v>
      </c>
      <c r="G454" s="26">
        <f>'Пр.6 ведом.20'!G454</f>
        <v>10631.298999999999</v>
      </c>
      <c r="H454" s="26">
        <f t="shared" si="16"/>
        <v>10631.298999999999</v>
      </c>
    </row>
    <row r="455" spans="1:8" ht="31.5">
      <c r="A455" s="25" t="s">
        <v>148</v>
      </c>
      <c r="B455" s="16">
        <v>905</v>
      </c>
      <c r="C455" s="20" t="s">
        <v>135</v>
      </c>
      <c r="D455" s="20" t="s">
        <v>167</v>
      </c>
      <c r="E455" s="20" t="s">
        <v>911</v>
      </c>
      <c r="F455" s="20" t="s">
        <v>149</v>
      </c>
      <c r="G455" s="26">
        <f>'Пр.6 ведом.20'!G455</f>
        <v>664</v>
      </c>
      <c r="H455" s="26">
        <f t="shared" si="16"/>
        <v>664</v>
      </c>
    </row>
    <row r="456" spans="1:8" ht="31.5">
      <c r="A456" s="25" t="s">
        <v>150</v>
      </c>
      <c r="B456" s="16">
        <v>905</v>
      </c>
      <c r="C456" s="20" t="s">
        <v>135</v>
      </c>
      <c r="D456" s="20" t="s">
        <v>167</v>
      </c>
      <c r="E456" s="20" t="s">
        <v>911</v>
      </c>
      <c r="F456" s="20" t="s">
        <v>151</v>
      </c>
      <c r="G456" s="26">
        <f>'Пр.6 ведом.20'!G456</f>
        <v>664</v>
      </c>
      <c r="H456" s="26">
        <f t="shared" si="16"/>
        <v>664</v>
      </c>
    </row>
    <row r="457" spans="1:8" ht="15.75">
      <c r="A457" s="25" t="s">
        <v>152</v>
      </c>
      <c r="B457" s="16">
        <v>905</v>
      </c>
      <c r="C457" s="20" t="s">
        <v>135</v>
      </c>
      <c r="D457" s="20" t="s">
        <v>167</v>
      </c>
      <c r="E457" s="20" t="s">
        <v>911</v>
      </c>
      <c r="F457" s="20" t="s">
        <v>162</v>
      </c>
      <c r="G457" s="26">
        <f>'Пр.6 ведом.20'!G457</f>
        <v>131</v>
      </c>
      <c r="H457" s="26">
        <f t="shared" si="16"/>
        <v>131</v>
      </c>
    </row>
    <row r="458" spans="1:8" ht="15.75">
      <c r="A458" s="25" t="s">
        <v>585</v>
      </c>
      <c r="B458" s="16">
        <v>905</v>
      </c>
      <c r="C458" s="20" t="s">
        <v>135</v>
      </c>
      <c r="D458" s="20" t="s">
        <v>167</v>
      </c>
      <c r="E458" s="20" t="s">
        <v>911</v>
      </c>
      <c r="F458" s="20" t="s">
        <v>155</v>
      </c>
      <c r="G458" s="26">
        <f>'Пр.6 ведом.20'!G458</f>
        <v>131</v>
      </c>
      <c r="H458" s="26">
        <f t="shared" si="16"/>
        <v>131</v>
      </c>
    </row>
    <row r="459" spans="1:8" ht="47.25">
      <c r="A459" s="25" t="s">
        <v>889</v>
      </c>
      <c r="B459" s="16">
        <v>905</v>
      </c>
      <c r="C459" s="20" t="s">
        <v>135</v>
      </c>
      <c r="D459" s="20" t="s">
        <v>167</v>
      </c>
      <c r="E459" s="20" t="s">
        <v>913</v>
      </c>
      <c r="F459" s="20"/>
      <c r="G459" s="26">
        <f>'Пр.6 ведом.20'!G459</f>
        <v>427</v>
      </c>
      <c r="H459" s="26">
        <f t="shared" si="16"/>
        <v>427</v>
      </c>
    </row>
    <row r="460" spans="1:8" ht="78.75">
      <c r="A460" s="25" t="s">
        <v>144</v>
      </c>
      <c r="B460" s="16">
        <v>905</v>
      </c>
      <c r="C460" s="20" t="s">
        <v>135</v>
      </c>
      <c r="D460" s="20" t="s">
        <v>167</v>
      </c>
      <c r="E460" s="20" t="s">
        <v>913</v>
      </c>
      <c r="F460" s="20" t="s">
        <v>145</v>
      </c>
      <c r="G460" s="26">
        <f>'Пр.6 ведом.20'!G460</f>
        <v>427</v>
      </c>
      <c r="H460" s="26">
        <f aca="true" t="shared" si="18" ref="H460:H523">G460</f>
        <v>427</v>
      </c>
    </row>
    <row r="461" spans="1:8" ht="31.5">
      <c r="A461" s="25" t="s">
        <v>146</v>
      </c>
      <c r="B461" s="16">
        <v>905</v>
      </c>
      <c r="C461" s="20" t="s">
        <v>135</v>
      </c>
      <c r="D461" s="20" t="s">
        <v>167</v>
      </c>
      <c r="E461" s="20" t="s">
        <v>913</v>
      </c>
      <c r="F461" s="20" t="s">
        <v>147</v>
      </c>
      <c r="G461" s="26">
        <f>'Пр.6 ведом.20'!G461</f>
        <v>427</v>
      </c>
      <c r="H461" s="26">
        <f t="shared" si="18"/>
        <v>427</v>
      </c>
    </row>
    <row r="462" spans="1:8" ht="15.75">
      <c r="A462" s="23" t="s">
        <v>156</v>
      </c>
      <c r="B462" s="19">
        <v>905</v>
      </c>
      <c r="C462" s="24" t="s">
        <v>135</v>
      </c>
      <c r="D462" s="24" t="s">
        <v>157</v>
      </c>
      <c r="E462" s="24"/>
      <c r="F462" s="24"/>
      <c r="G462" s="21">
        <f>G463+G471</f>
        <v>5428.819999999999</v>
      </c>
      <c r="H462" s="21">
        <f>H463+H471</f>
        <v>5428.819999999999</v>
      </c>
    </row>
    <row r="463" spans="1:8" ht="15.75">
      <c r="A463" s="23" t="s">
        <v>158</v>
      </c>
      <c r="B463" s="19">
        <v>905</v>
      </c>
      <c r="C463" s="24" t="s">
        <v>135</v>
      </c>
      <c r="D463" s="24" t="s">
        <v>157</v>
      </c>
      <c r="E463" s="24" t="s">
        <v>917</v>
      </c>
      <c r="F463" s="24"/>
      <c r="G463" s="21">
        <f>G464</f>
        <v>5188.999999999999</v>
      </c>
      <c r="H463" s="21">
        <f>H464</f>
        <v>5188.999999999999</v>
      </c>
    </row>
    <row r="464" spans="1:8" ht="31.5">
      <c r="A464" s="23" t="s">
        <v>921</v>
      </c>
      <c r="B464" s="19">
        <v>905</v>
      </c>
      <c r="C464" s="24" t="s">
        <v>135</v>
      </c>
      <c r="D464" s="24" t="s">
        <v>157</v>
      </c>
      <c r="E464" s="24" t="s">
        <v>916</v>
      </c>
      <c r="F464" s="24"/>
      <c r="G464" s="21">
        <f>G465+G468</f>
        <v>5188.999999999999</v>
      </c>
      <c r="H464" s="21">
        <f>H465+H468</f>
        <v>5188.999999999999</v>
      </c>
    </row>
    <row r="465" spans="1:8" ht="47.25">
      <c r="A465" s="25" t="s">
        <v>405</v>
      </c>
      <c r="B465" s="16">
        <v>905</v>
      </c>
      <c r="C465" s="20" t="s">
        <v>135</v>
      </c>
      <c r="D465" s="20" t="s">
        <v>157</v>
      </c>
      <c r="E465" s="20" t="s">
        <v>1178</v>
      </c>
      <c r="F465" s="20"/>
      <c r="G465" s="26">
        <f>'Пр.6 ведом.20'!G465</f>
        <v>5088.999999999999</v>
      </c>
      <c r="H465" s="26">
        <f t="shared" si="18"/>
        <v>5088.999999999999</v>
      </c>
    </row>
    <row r="466" spans="1:8" ht="31.5">
      <c r="A466" s="25" t="s">
        <v>148</v>
      </c>
      <c r="B466" s="16">
        <v>905</v>
      </c>
      <c r="C466" s="20" t="s">
        <v>135</v>
      </c>
      <c r="D466" s="20" t="s">
        <v>157</v>
      </c>
      <c r="E466" s="20" t="s">
        <v>1178</v>
      </c>
      <c r="F466" s="20" t="s">
        <v>149</v>
      </c>
      <c r="G466" s="26">
        <f>'Пр.6 ведом.20'!G466</f>
        <v>5088.999999999999</v>
      </c>
      <c r="H466" s="26">
        <f t="shared" si="18"/>
        <v>5088.999999999999</v>
      </c>
    </row>
    <row r="467" spans="1:8" ht="31.5">
      <c r="A467" s="25" t="s">
        <v>150</v>
      </c>
      <c r="B467" s="16">
        <v>905</v>
      </c>
      <c r="C467" s="20" t="s">
        <v>135</v>
      </c>
      <c r="D467" s="20" t="s">
        <v>157</v>
      </c>
      <c r="E467" s="20" t="s">
        <v>1178</v>
      </c>
      <c r="F467" s="20" t="s">
        <v>151</v>
      </c>
      <c r="G467" s="26">
        <f>'Пр.6 ведом.20'!G467</f>
        <v>5088.999999999999</v>
      </c>
      <c r="H467" s="26">
        <f t="shared" si="18"/>
        <v>5088.999999999999</v>
      </c>
    </row>
    <row r="468" spans="1:8" ht="31.5">
      <c r="A468" s="25" t="s">
        <v>1011</v>
      </c>
      <c r="B468" s="16">
        <v>905</v>
      </c>
      <c r="C468" s="20" t="s">
        <v>135</v>
      </c>
      <c r="D468" s="20" t="s">
        <v>157</v>
      </c>
      <c r="E468" s="20" t="s">
        <v>1179</v>
      </c>
      <c r="F468" s="20"/>
      <c r="G468" s="26">
        <f>'Пр.6 ведом.20'!G468</f>
        <v>100</v>
      </c>
      <c r="H468" s="26">
        <f t="shared" si="18"/>
        <v>100</v>
      </c>
    </row>
    <row r="469" spans="1:8" ht="31.5">
      <c r="A469" s="25" t="s">
        <v>148</v>
      </c>
      <c r="B469" s="16">
        <v>905</v>
      </c>
      <c r="C469" s="20" t="s">
        <v>135</v>
      </c>
      <c r="D469" s="20" t="s">
        <v>157</v>
      </c>
      <c r="E469" s="20" t="s">
        <v>1179</v>
      </c>
      <c r="F469" s="20" t="s">
        <v>149</v>
      </c>
      <c r="G469" s="26">
        <f>'Пр.6 ведом.20'!G469</f>
        <v>100</v>
      </c>
      <c r="H469" s="26">
        <f t="shared" si="18"/>
        <v>100</v>
      </c>
    </row>
    <row r="470" spans="1:8" ht="31.5">
      <c r="A470" s="25" t="s">
        <v>150</v>
      </c>
      <c r="B470" s="16">
        <v>905</v>
      </c>
      <c r="C470" s="20" t="s">
        <v>135</v>
      </c>
      <c r="D470" s="20" t="s">
        <v>157</v>
      </c>
      <c r="E470" s="20" t="s">
        <v>1179</v>
      </c>
      <c r="F470" s="20" t="s">
        <v>151</v>
      </c>
      <c r="G470" s="26">
        <f>'Пр.6 ведом.20'!G470</f>
        <v>100</v>
      </c>
      <c r="H470" s="26">
        <f t="shared" si="18"/>
        <v>100</v>
      </c>
    </row>
    <row r="471" spans="1:8" ht="63">
      <c r="A471" s="23" t="s">
        <v>1191</v>
      </c>
      <c r="B471" s="19">
        <v>905</v>
      </c>
      <c r="C471" s="24" t="s">
        <v>135</v>
      </c>
      <c r="D471" s="24" t="s">
        <v>157</v>
      </c>
      <c r="E471" s="24" t="s">
        <v>808</v>
      </c>
      <c r="F471" s="24"/>
      <c r="G471" s="21">
        <f>G472</f>
        <v>239.82</v>
      </c>
      <c r="H471" s="21">
        <f>H472</f>
        <v>239.82</v>
      </c>
    </row>
    <row r="472" spans="1:8" ht="31.5">
      <c r="A472" s="23" t="s">
        <v>1010</v>
      </c>
      <c r="B472" s="19">
        <v>905</v>
      </c>
      <c r="C472" s="24" t="s">
        <v>135</v>
      </c>
      <c r="D472" s="24" t="s">
        <v>157</v>
      </c>
      <c r="E472" s="24" t="s">
        <v>1193</v>
      </c>
      <c r="F472" s="24"/>
      <c r="G472" s="21">
        <f>G473</f>
        <v>239.82</v>
      </c>
      <c r="H472" s="21">
        <f>H473</f>
        <v>239.82</v>
      </c>
    </row>
    <row r="473" spans="1:8" ht="31.5">
      <c r="A473" s="25" t="s">
        <v>818</v>
      </c>
      <c r="B473" s="16">
        <v>905</v>
      </c>
      <c r="C473" s="20" t="s">
        <v>135</v>
      </c>
      <c r="D473" s="20" t="s">
        <v>157</v>
      </c>
      <c r="E473" s="20" t="s">
        <v>1194</v>
      </c>
      <c r="F473" s="20"/>
      <c r="G473" s="26">
        <f>'Пр.6 ведом.20'!G473</f>
        <v>239.82</v>
      </c>
      <c r="H473" s="26">
        <f t="shared" si="18"/>
        <v>239.82</v>
      </c>
    </row>
    <row r="474" spans="1:8" ht="31.5">
      <c r="A474" s="25" t="s">
        <v>148</v>
      </c>
      <c r="B474" s="16">
        <v>905</v>
      </c>
      <c r="C474" s="20" t="s">
        <v>135</v>
      </c>
      <c r="D474" s="20" t="s">
        <v>157</v>
      </c>
      <c r="E474" s="20" t="s">
        <v>1194</v>
      </c>
      <c r="F474" s="20" t="s">
        <v>149</v>
      </c>
      <c r="G474" s="26">
        <f>'Пр.6 ведом.20'!G474</f>
        <v>239.82</v>
      </c>
      <c r="H474" s="26">
        <f t="shared" si="18"/>
        <v>239.82</v>
      </c>
    </row>
    <row r="475" spans="1:8" ht="31.5">
      <c r="A475" s="25" t="s">
        <v>150</v>
      </c>
      <c r="B475" s="16">
        <v>905</v>
      </c>
      <c r="C475" s="20" t="s">
        <v>135</v>
      </c>
      <c r="D475" s="20" t="s">
        <v>157</v>
      </c>
      <c r="E475" s="20" t="s">
        <v>1194</v>
      </c>
      <c r="F475" s="20" t="s">
        <v>151</v>
      </c>
      <c r="G475" s="26">
        <f>'Пр.6 ведом.20'!G475</f>
        <v>239.82</v>
      </c>
      <c r="H475" s="26">
        <f t="shared" si="18"/>
        <v>239.82</v>
      </c>
    </row>
    <row r="476" spans="1:8" ht="15.75">
      <c r="A476" s="42" t="s">
        <v>407</v>
      </c>
      <c r="B476" s="19">
        <v>905</v>
      </c>
      <c r="C476" s="24" t="s">
        <v>251</v>
      </c>
      <c r="D476" s="24"/>
      <c r="E476" s="24"/>
      <c r="F476" s="24"/>
      <c r="G476" s="21">
        <f aca="true" t="shared" si="19" ref="G476:H478">G477</f>
        <v>1181</v>
      </c>
      <c r="H476" s="21">
        <f t="shared" si="19"/>
        <v>1181</v>
      </c>
    </row>
    <row r="477" spans="1:8" ht="15.75">
      <c r="A477" s="42" t="s">
        <v>408</v>
      </c>
      <c r="B477" s="19">
        <v>905</v>
      </c>
      <c r="C477" s="24" t="s">
        <v>251</v>
      </c>
      <c r="D477" s="24" t="s">
        <v>135</v>
      </c>
      <c r="E477" s="24"/>
      <c r="F477" s="24"/>
      <c r="G477" s="21">
        <f t="shared" si="19"/>
        <v>1181</v>
      </c>
      <c r="H477" s="21">
        <f t="shared" si="19"/>
        <v>1181</v>
      </c>
    </row>
    <row r="478" spans="1:8" ht="15.75">
      <c r="A478" s="23" t="s">
        <v>158</v>
      </c>
      <c r="B478" s="19">
        <v>905</v>
      </c>
      <c r="C478" s="24" t="s">
        <v>251</v>
      </c>
      <c r="D478" s="24" t="s">
        <v>135</v>
      </c>
      <c r="E478" s="24" t="s">
        <v>917</v>
      </c>
      <c r="F478" s="24"/>
      <c r="G478" s="21">
        <f t="shared" si="19"/>
        <v>1181</v>
      </c>
      <c r="H478" s="21">
        <f t="shared" si="19"/>
        <v>1181</v>
      </c>
    </row>
    <row r="479" spans="1:8" ht="31.5">
      <c r="A479" s="23" t="s">
        <v>921</v>
      </c>
      <c r="B479" s="19">
        <v>905</v>
      </c>
      <c r="C479" s="24" t="s">
        <v>251</v>
      </c>
      <c r="D479" s="24" t="s">
        <v>135</v>
      </c>
      <c r="E479" s="24" t="s">
        <v>916</v>
      </c>
      <c r="F479" s="24"/>
      <c r="G479" s="21">
        <f>G480+G483</f>
        <v>1181</v>
      </c>
      <c r="H479" s="21">
        <f>H480+H483</f>
        <v>1181</v>
      </c>
    </row>
    <row r="480" spans="1:8" ht="31.5">
      <c r="A480" s="30" t="s">
        <v>415</v>
      </c>
      <c r="B480" s="16">
        <v>905</v>
      </c>
      <c r="C480" s="20" t="s">
        <v>251</v>
      </c>
      <c r="D480" s="20" t="s">
        <v>135</v>
      </c>
      <c r="E480" s="20" t="s">
        <v>1105</v>
      </c>
      <c r="F480" s="20"/>
      <c r="G480" s="26">
        <f>'Пр.6 ведом.20'!G480</f>
        <v>270.4</v>
      </c>
      <c r="H480" s="26">
        <f t="shared" si="18"/>
        <v>270.4</v>
      </c>
    </row>
    <row r="481" spans="1:8" ht="31.5">
      <c r="A481" s="25" t="s">
        <v>148</v>
      </c>
      <c r="B481" s="16">
        <v>905</v>
      </c>
      <c r="C481" s="20" t="s">
        <v>251</v>
      </c>
      <c r="D481" s="20" t="s">
        <v>135</v>
      </c>
      <c r="E481" s="20" t="s">
        <v>1105</v>
      </c>
      <c r="F481" s="20" t="s">
        <v>149</v>
      </c>
      <c r="G481" s="26">
        <f>'Пр.6 ведом.20'!G481</f>
        <v>270.4</v>
      </c>
      <c r="H481" s="26">
        <f t="shared" si="18"/>
        <v>270.4</v>
      </c>
    </row>
    <row r="482" spans="1:8" ht="31.5">
      <c r="A482" s="25" t="s">
        <v>150</v>
      </c>
      <c r="B482" s="16">
        <v>905</v>
      </c>
      <c r="C482" s="20" t="s">
        <v>251</v>
      </c>
      <c r="D482" s="20" t="s">
        <v>135</v>
      </c>
      <c r="E482" s="20" t="s">
        <v>1105</v>
      </c>
      <c r="F482" s="20" t="s">
        <v>151</v>
      </c>
      <c r="G482" s="26">
        <f>'Пр.6 ведом.20'!G482</f>
        <v>270.4</v>
      </c>
      <c r="H482" s="26">
        <f t="shared" si="18"/>
        <v>270.4</v>
      </c>
    </row>
    <row r="483" spans="1:8" ht="31.5">
      <c r="A483" s="30" t="s">
        <v>1012</v>
      </c>
      <c r="B483" s="16">
        <v>905</v>
      </c>
      <c r="C483" s="20" t="s">
        <v>251</v>
      </c>
      <c r="D483" s="20" t="s">
        <v>135</v>
      </c>
      <c r="E483" s="20" t="s">
        <v>1106</v>
      </c>
      <c r="F483" s="20"/>
      <c r="G483" s="26">
        <f>'Пр.6 ведом.20'!G483</f>
        <v>910.6</v>
      </c>
      <c r="H483" s="26">
        <f t="shared" si="18"/>
        <v>910.6</v>
      </c>
    </row>
    <row r="484" spans="1:8" ht="31.5">
      <c r="A484" s="25" t="s">
        <v>148</v>
      </c>
      <c r="B484" s="16">
        <v>905</v>
      </c>
      <c r="C484" s="20" t="s">
        <v>251</v>
      </c>
      <c r="D484" s="20" t="s">
        <v>135</v>
      </c>
      <c r="E484" s="20" t="s">
        <v>1106</v>
      </c>
      <c r="F484" s="20" t="s">
        <v>149</v>
      </c>
      <c r="G484" s="26">
        <f>'Пр.6 ведом.20'!G484</f>
        <v>910.6</v>
      </c>
      <c r="H484" s="26">
        <f t="shared" si="18"/>
        <v>910.6</v>
      </c>
    </row>
    <row r="485" spans="1:8" ht="31.5">
      <c r="A485" s="25" t="s">
        <v>150</v>
      </c>
      <c r="B485" s="16">
        <v>905</v>
      </c>
      <c r="C485" s="20" t="s">
        <v>251</v>
      </c>
      <c r="D485" s="20" t="s">
        <v>135</v>
      </c>
      <c r="E485" s="20" t="s">
        <v>1106</v>
      </c>
      <c r="F485" s="20" t="s">
        <v>151</v>
      </c>
      <c r="G485" s="26">
        <f>'Пр.6 ведом.20'!G485</f>
        <v>910.6</v>
      </c>
      <c r="H485" s="26">
        <f t="shared" si="18"/>
        <v>910.6</v>
      </c>
    </row>
    <row r="486" spans="1:8" ht="31.5">
      <c r="A486" s="19" t="s">
        <v>420</v>
      </c>
      <c r="B486" s="19">
        <v>906</v>
      </c>
      <c r="C486" s="24"/>
      <c r="D486" s="24"/>
      <c r="E486" s="24"/>
      <c r="F486" s="24"/>
      <c r="G486" s="21">
        <f>G497+G487</f>
        <v>299026.23099999997</v>
      </c>
      <c r="H486" s="21">
        <f>H497+H487</f>
        <v>299026.23099999997</v>
      </c>
    </row>
    <row r="487" spans="1:8" ht="15.75">
      <c r="A487" s="23" t="s">
        <v>134</v>
      </c>
      <c r="B487" s="19">
        <v>906</v>
      </c>
      <c r="C487" s="24" t="s">
        <v>135</v>
      </c>
      <c r="D487" s="24"/>
      <c r="E487" s="24"/>
      <c r="F487" s="24"/>
      <c r="G487" s="21">
        <f aca="true" t="shared" si="20" ref="G487:H490">G488</f>
        <v>50</v>
      </c>
      <c r="H487" s="21">
        <f t="shared" si="20"/>
        <v>50</v>
      </c>
    </row>
    <row r="488" spans="1:8" ht="15.75">
      <c r="A488" s="35" t="s">
        <v>156</v>
      </c>
      <c r="B488" s="19">
        <v>906</v>
      </c>
      <c r="C488" s="24" t="s">
        <v>135</v>
      </c>
      <c r="D488" s="24" t="s">
        <v>157</v>
      </c>
      <c r="E488" s="24"/>
      <c r="F488" s="24"/>
      <c r="G488" s="21">
        <f t="shared" si="20"/>
        <v>50</v>
      </c>
      <c r="H488" s="21">
        <f t="shared" si="20"/>
        <v>50</v>
      </c>
    </row>
    <row r="489" spans="1:8" ht="47.25">
      <c r="A489" s="23" t="s">
        <v>351</v>
      </c>
      <c r="B489" s="19">
        <v>906</v>
      </c>
      <c r="C489" s="24" t="s">
        <v>135</v>
      </c>
      <c r="D489" s="24" t="s">
        <v>157</v>
      </c>
      <c r="E489" s="24" t="s">
        <v>352</v>
      </c>
      <c r="F489" s="24"/>
      <c r="G489" s="21">
        <f t="shared" si="20"/>
        <v>50</v>
      </c>
      <c r="H489" s="21">
        <f t="shared" si="20"/>
        <v>50</v>
      </c>
    </row>
    <row r="490" spans="1:8" ht="31.5">
      <c r="A490" s="313" t="s">
        <v>1242</v>
      </c>
      <c r="B490" s="19">
        <v>906</v>
      </c>
      <c r="C490" s="24" t="s">
        <v>135</v>
      </c>
      <c r="D490" s="24" t="s">
        <v>157</v>
      </c>
      <c r="E490" s="24" t="s">
        <v>1243</v>
      </c>
      <c r="F490" s="24"/>
      <c r="G490" s="21">
        <f t="shared" si="20"/>
        <v>50</v>
      </c>
      <c r="H490" s="21">
        <f t="shared" si="20"/>
        <v>50</v>
      </c>
    </row>
    <row r="491" spans="1:8" ht="31.5">
      <c r="A491" s="105" t="s">
        <v>353</v>
      </c>
      <c r="B491" s="16">
        <v>906</v>
      </c>
      <c r="C491" s="20" t="s">
        <v>135</v>
      </c>
      <c r="D491" s="20" t="s">
        <v>157</v>
      </c>
      <c r="E491" s="20" t="s">
        <v>1244</v>
      </c>
      <c r="F491" s="20"/>
      <c r="G491" s="26">
        <f>'Пр.6 ведом.20'!G491</f>
        <v>50</v>
      </c>
      <c r="H491" s="26">
        <f t="shared" si="18"/>
        <v>50</v>
      </c>
    </row>
    <row r="492" spans="1:8" ht="31.5">
      <c r="A492" s="25" t="s">
        <v>148</v>
      </c>
      <c r="B492" s="16">
        <v>906</v>
      </c>
      <c r="C492" s="20" t="s">
        <v>135</v>
      </c>
      <c r="D492" s="20" t="s">
        <v>157</v>
      </c>
      <c r="E492" s="20" t="s">
        <v>1244</v>
      </c>
      <c r="F492" s="20" t="s">
        <v>149</v>
      </c>
      <c r="G492" s="26">
        <f>'Пр.6 ведом.20'!G492</f>
        <v>50</v>
      </c>
      <c r="H492" s="26">
        <f t="shared" si="18"/>
        <v>50</v>
      </c>
    </row>
    <row r="493" spans="1:8" ht="31.5">
      <c r="A493" s="25" t="s">
        <v>150</v>
      </c>
      <c r="B493" s="16">
        <v>906</v>
      </c>
      <c r="C493" s="20" t="s">
        <v>135</v>
      </c>
      <c r="D493" s="20" t="s">
        <v>157</v>
      </c>
      <c r="E493" s="20" t="s">
        <v>1244</v>
      </c>
      <c r="F493" s="20" t="s">
        <v>151</v>
      </c>
      <c r="G493" s="26">
        <f>'Пр.6 ведом.20'!G493</f>
        <v>50</v>
      </c>
      <c r="H493" s="26">
        <f t="shared" si="18"/>
        <v>50</v>
      </c>
    </row>
    <row r="494" spans="1:8" ht="31.5" hidden="1">
      <c r="A494" s="32" t="s">
        <v>798</v>
      </c>
      <c r="B494" s="16">
        <v>906</v>
      </c>
      <c r="C494" s="20" t="s">
        <v>135</v>
      </c>
      <c r="D494" s="20" t="s">
        <v>157</v>
      </c>
      <c r="E494" s="20" t="s">
        <v>1277</v>
      </c>
      <c r="F494" s="20"/>
      <c r="G494" s="26">
        <f>'Пр.6 ведом.20'!G494</f>
        <v>0</v>
      </c>
      <c r="H494" s="26">
        <f t="shared" si="18"/>
        <v>0</v>
      </c>
    </row>
    <row r="495" spans="1:8" ht="31.5" hidden="1">
      <c r="A495" s="25" t="s">
        <v>148</v>
      </c>
      <c r="B495" s="16">
        <v>906</v>
      </c>
      <c r="C495" s="20" t="s">
        <v>135</v>
      </c>
      <c r="D495" s="20" t="s">
        <v>157</v>
      </c>
      <c r="E495" s="20" t="s">
        <v>1277</v>
      </c>
      <c r="F495" s="20" t="s">
        <v>149</v>
      </c>
      <c r="G495" s="26">
        <f>'Пр.6 ведом.20'!G495</f>
        <v>0</v>
      </c>
      <c r="H495" s="26">
        <f t="shared" si="18"/>
        <v>0</v>
      </c>
    </row>
    <row r="496" spans="1:8" ht="31.5" hidden="1">
      <c r="A496" s="25" t="s">
        <v>150</v>
      </c>
      <c r="B496" s="16">
        <v>906</v>
      </c>
      <c r="C496" s="20" t="s">
        <v>135</v>
      </c>
      <c r="D496" s="20" t="s">
        <v>157</v>
      </c>
      <c r="E496" s="20" t="s">
        <v>1277</v>
      </c>
      <c r="F496" s="20" t="s">
        <v>151</v>
      </c>
      <c r="G496" s="26">
        <f>'Пр.6 ведом.20'!G496</f>
        <v>0</v>
      </c>
      <c r="H496" s="26">
        <f t="shared" si="18"/>
        <v>0</v>
      </c>
    </row>
    <row r="497" spans="1:8" ht="15.75">
      <c r="A497" s="23" t="s">
        <v>280</v>
      </c>
      <c r="B497" s="19">
        <v>906</v>
      </c>
      <c r="C497" s="24" t="s">
        <v>281</v>
      </c>
      <c r="D497" s="24"/>
      <c r="E497" s="24"/>
      <c r="F497" s="24"/>
      <c r="G497" s="21">
        <f>G498+G559+G668+G678+G637</f>
        <v>298976.23099999997</v>
      </c>
      <c r="H497" s="21">
        <f>H498+H559+H668+H678+H637</f>
        <v>298976.23099999997</v>
      </c>
    </row>
    <row r="498" spans="1:8" ht="15.75">
      <c r="A498" s="23" t="s">
        <v>421</v>
      </c>
      <c r="B498" s="19">
        <v>906</v>
      </c>
      <c r="C498" s="24" t="s">
        <v>281</v>
      </c>
      <c r="D498" s="24" t="s">
        <v>135</v>
      </c>
      <c r="E498" s="24"/>
      <c r="F498" s="24"/>
      <c r="G498" s="21">
        <f>G499+G549+G554</f>
        <v>96706</v>
      </c>
      <c r="H498" s="21">
        <f>H499+H549+H554</f>
        <v>96706</v>
      </c>
    </row>
    <row r="499" spans="1:8" ht="47.25">
      <c r="A499" s="23" t="s">
        <v>422</v>
      </c>
      <c r="B499" s="19">
        <v>906</v>
      </c>
      <c r="C499" s="24" t="s">
        <v>281</v>
      </c>
      <c r="D499" s="24" t="s">
        <v>135</v>
      </c>
      <c r="E499" s="24" t="s">
        <v>423</v>
      </c>
      <c r="F499" s="24"/>
      <c r="G499" s="21">
        <f>G500+G521</f>
        <v>96241.7</v>
      </c>
      <c r="H499" s="21">
        <f>H500+H521</f>
        <v>96241.7</v>
      </c>
    </row>
    <row r="500" spans="1:8" ht="31.5">
      <c r="A500" s="23" t="s">
        <v>424</v>
      </c>
      <c r="B500" s="19">
        <v>906</v>
      </c>
      <c r="C500" s="24" t="s">
        <v>281</v>
      </c>
      <c r="D500" s="24" t="s">
        <v>135</v>
      </c>
      <c r="E500" s="24" t="s">
        <v>425</v>
      </c>
      <c r="F500" s="24"/>
      <c r="G500" s="21">
        <f>G501+G508</f>
        <v>86566.4</v>
      </c>
      <c r="H500" s="21">
        <f>H501+H508</f>
        <v>86566.4</v>
      </c>
    </row>
    <row r="501" spans="1:8" ht="31.5">
      <c r="A501" s="23" t="s">
        <v>1036</v>
      </c>
      <c r="B501" s="19">
        <v>906</v>
      </c>
      <c r="C501" s="24" t="s">
        <v>281</v>
      </c>
      <c r="D501" s="24" t="s">
        <v>135</v>
      </c>
      <c r="E501" s="24" t="s">
        <v>1014</v>
      </c>
      <c r="F501" s="24"/>
      <c r="G501" s="21">
        <f>G502+G505</f>
        <v>13527</v>
      </c>
      <c r="H501" s="21">
        <f>H502+H505</f>
        <v>13527</v>
      </c>
    </row>
    <row r="502" spans="1:8" ht="63">
      <c r="A502" s="25" t="s">
        <v>1071</v>
      </c>
      <c r="B502" s="16">
        <v>906</v>
      </c>
      <c r="C502" s="20" t="s">
        <v>281</v>
      </c>
      <c r="D502" s="20" t="s">
        <v>135</v>
      </c>
      <c r="E502" s="20" t="s">
        <v>1070</v>
      </c>
      <c r="F502" s="20"/>
      <c r="G502" s="26">
        <f>'Пр.6 ведом.20'!G502</f>
        <v>8224.3</v>
      </c>
      <c r="H502" s="26">
        <f t="shared" si="18"/>
        <v>8224.3</v>
      </c>
    </row>
    <row r="503" spans="1:8" ht="31.5">
      <c r="A503" s="25" t="s">
        <v>289</v>
      </c>
      <c r="B503" s="16">
        <v>906</v>
      </c>
      <c r="C503" s="20" t="s">
        <v>281</v>
      </c>
      <c r="D503" s="20" t="s">
        <v>135</v>
      </c>
      <c r="E503" s="20" t="s">
        <v>1070</v>
      </c>
      <c r="F503" s="20" t="s">
        <v>290</v>
      </c>
      <c r="G503" s="26">
        <f>'Пр.6 ведом.20'!G503</f>
        <v>8224.3</v>
      </c>
      <c r="H503" s="26">
        <f t="shared" si="18"/>
        <v>8224.3</v>
      </c>
    </row>
    <row r="504" spans="1:8" ht="15.75">
      <c r="A504" s="25" t="s">
        <v>291</v>
      </c>
      <c r="B504" s="16">
        <v>906</v>
      </c>
      <c r="C504" s="20" t="s">
        <v>281</v>
      </c>
      <c r="D504" s="20" t="s">
        <v>135</v>
      </c>
      <c r="E504" s="20" t="s">
        <v>1070</v>
      </c>
      <c r="F504" s="20" t="s">
        <v>292</v>
      </c>
      <c r="G504" s="26">
        <f>'Пр.6 ведом.20'!G504</f>
        <v>8224.3</v>
      </c>
      <c r="H504" s="26">
        <f t="shared" si="18"/>
        <v>8224.3</v>
      </c>
    </row>
    <row r="505" spans="1:8" ht="63">
      <c r="A505" s="25" t="s">
        <v>1255</v>
      </c>
      <c r="B505" s="16">
        <v>906</v>
      </c>
      <c r="C505" s="20" t="s">
        <v>281</v>
      </c>
      <c r="D505" s="20" t="s">
        <v>135</v>
      </c>
      <c r="E505" s="20" t="s">
        <v>1072</v>
      </c>
      <c r="F505" s="20"/>
      <c r="G505" s="26">
        <f>'Пр.6 ведом.20'!G505</f>
        <v>5302.7</v>
      </c>
      <c r="H505" s="26">
        <f t="shared" si="18"/>
        <v>5302.7</v>
      </c>
    </row>
    <row r="506" spans="1:8" ht="31.5">
      <c r="A506" s="25" t="s">
        <v>289</v>
      </c>
      <c r="B506" s="16">
        <v>906</v>
      </c>
      <c r="C506" s="20" t="s">
        <v>281</v>
      </c>
      <c r="D506" s="20" t="s">
        <v>135</v>
      </c>
      <c r="E506" s="20" t="s">
        <v>1072</v>
      </c>
      <c r="F506" s="20" t="s">
        <v>290</v>
      </c>
      <c r="G506" s="26">
        <f>'Пр.6 ведом.20'!G506</f>
        <v>5302.7</v>
      </c>
      <c r="H506" s="26">
        <f t="shared" si="18"/>
        <v>5302.7</v>
      </c>
    </row>
    <row r="507" spans="1:8" ht="15.75">
      <c r="A507" s="25" t="s">
        <v>291</v>
      </c>
      <c r="B507" s="16">
        <v>906</v>
      </c>
      <c r="C507" s="20" t="s">
        <v>281</v>
      </c>
      <c r="D507" s="20" t="s">
        <v>135</v>
      </c>
      <c r="E507" s="20" t="s">
        <v>1072</v>
      </c>
      <c r="F507" s="20" t="s">
        <v>292</v>
      </c>
      <c r="G507" s="26">
        <f>'Пр.6 ведом.20'!G507</f>
        <v>5302.7</v>
      </c>
      <c r="H507" s="26">
        <f t="shared" si="18"/>
        <v>5302.7</v>
      </c>
    </row>
    <row r="508" spans="1:8" ht="47.25">
      <c r="A508" s="23" t="s">
        <v>976</v>
      </c>
      <c r="B508" s="19">
        <v>906</v>
      </c>
      <c r="C508" s="24" t="s">
        <v>281</v>
      </c>
      <c r="D508" s="24" t="s">
        <v>135</v>
      </c>
      <c r="E508" s="24" t="s">
        <v>1029</v>
      </c>
      <c r="F508" s="24"/>
      <c r="G508" s="45">
        <f>G509+G512+G515+G518</f>
        <v>73039.4</v>
      </c>
      <c r="H508" s="45">
        <f>H509+H512+H515+H518</f>
        <v>73039.4</v>
      </c>
    </row>
    <row r="509" spans="1:8" ht="63">
      <c r="A509" s="32" t="s">
        <v>306</v>
      </c>
      <c r="B509" s="16">
        <v>906</v>
      </c>
      <c r="C509" s="20" t="s">
        <v>281</v>
      </c>
      <c r="D509" s="20" t="s">
        <v>135</v>
      </c>
      <c r="E509" s="20" t="s">
        <v>1028</v>
      </c>
      <c r="F509" s="20"/>
      <c r="G509" s="26">
        <f>'Пр.6 ведом.20'!G509</f>
        <v>363.7</v>
      </c>
      <c r="H509" s="26">
        <f t="shared" si="18"/>
        <v>363.7</v>
      </c>
    </row>
    <row r="510" spans="1:8" ht="31.5">
      <c r="A510" s="25" t="s">
        <v>289</v>
      </c>
      <c r="B510" s="16">
        <v>906</v>
      </c>
      <c r="C510" s="20" t="s">
        <v>281</v>
      </c>
      <c r="D510" s="20" t="s">
        <v>135</v>
      </c>
      <c r="E510" s="20" t="s">
        <v>1028</v>
      </c>
      <c r="F510" s="20" t="s">
        <v>290</v>
      </c>
      <c r="G510" s="26">
        <f>'Пр.6 ведом.20'!G510</f>
        <v>363.7</v>
      </c>
      <c r="H510" s="26">
        <f t="shared" si="18"/>
        <v>363.7</v>
      </c>
    </row>
    <row r="511" spans="1:8" ht="15.75">
      <c r="A511" s="25" t="s">
        <v>291</v>
      </c>
      <c r="B511" s="16">
        <v>906</v>
      </c>
      <c r="C511" s="20" t="s">
        <v>281</v>
      </c>
      <c r="D511" s="20" t="s">
        <v>135</v>
      </c>
      <c r="E511" s="20" t="s">
        <v>1028</v>
      </c>
      <c r="F511" s="20" t="s">
        <v>292</v>
      </c>
      <c r="G511" s="26">
        <f>'Пр.6 ведом.20'!G511</f>
        <v>363.7</v>
      </c>
      <c r="H511" s="26">
        <f t="shared" si="18"/>
        <v>363.7</v>
      </c>
    </row>
    <row r="512" spans="1:8" ht="63">
      <c r="A512" s="32" t="s">
        <v>437</v>
      </c>
      <c r="B512" s="16">
        <v>906</v>
      </c>
      <c r="C512" s="20" t="s">
        <v>281</v>
      </c>
      <c r="D512" s="20" t="s">
        <v>135</v>
      </c>
      <c r="E512" s="20" t="s">
        <v>1031</v>
      </c>
      <c r="F512" s="20"/>
      <c r="G512" s="26">
        <f>'Пр.6 ведом.20'!G512</f>
        <v>1755.8</v>
      </c>
      <c r="H512" s="26">
        <f t="shared" si="18"/>
        <v>1755.8</v>
      </c>
    </row>
    <row r="513" spans="1:8" ht="31.5">
      <c r="A513" s="25" t="s">
        <v>289</v>
      </c>
      <c r="B513" s="16">
        <v>906</v>
      </c>
      <c r="C513" s="20" t="s">
        <v>281</v>
      </c>
      <c r="D513" s="20" t="s">
        <v>135</v>
      </c>
      <c r="E513" s="20" t="s">
        <v>1031</v>
      </c>
      <c r="F513" s="20" t="s">
        <v>290</v>
      </c>
      <c r="G513" s="26">
        <f>'Пр.6 ведом.20'!G513</f>
        <v>1755.8</v>
      </c>
      <c r="H513" s="26">
        <f t="shared" si="18"/>
        <v>1755.8</v>
      </c>
    </row>
    <row r="514" spans="1:8" ht="15.75">
      <c r="A514" s="25" t="s">
        <v>291</v>
      </c>
      <c r="B514" s="16">
        <v>906</v>
      </c>
      <c r="C514" s="20" t="s">
        <v>281</v>
      </c>
      <c r="D514" s="20" t="s">
        <v>135</v>
      </c>
      <c r="E514" s="20" t="s">
        <v>1031</v>
      </c>
      <c r="F514" s="20" t="s">
        <v>292</v>
      </c>
      <c r="G514" s="26">
        <f>'Пр.6 ведом.20'!G514</f>
        <v>1755.8</v>
      </c>
      <c r="H514" s="26">
        <f t="shared" si="18"/>
        <v>1755.8</v>
      </c>
    </row>
    <row r="515" spans="1:8" ht="94.5">
      <c r="A515" s="32" t="s">
        <v>438</v>
      </c>
      <c r="B515" s="16">
        <v>906</v>
      </c>
      <c r="C515" s="20" t="s">
        <v>281</v>
      </c>
      <c r="D515" s="20" t="s">
        <v>135</v>
      </c>
      <c r="E515" s="20" t="s">
        <v>1030</v>
      </c>
      <c r="F515" s="20"/>
      <c r="G515" s="26">
        <f>'Пр.6 ведом.20'!G515</f>
        <v>68207.5</v>
      </c>
      <c r="H515" s="26">
        <f t="shared" si="18"/>
        <v>68207.5</v>
      </c>
    </row>
    <row r="516" spans="1:8" ht="31.5">
      <c r="A516" s="25" t="s">
        <v>289</v>
      </c>
      <c r="B516" s="16">
        <v>906</v>
      </c>
      <c r="C516" s="20" t="s">
        <v>281</v>
      </c>
      <c r="D516" s="20" t="s">
        <v>135</v>
      </c>
      <c r="E516" s="20" t="s">
        <v>1030</v>
      </c>
      <c r="F516" s="20" t="s">
        <v>290</v>
      </c>
      <c r="G516" s="26">
        <f>'Пр.6 ведом.20'!G516</f>
        <v>68207.5</v>
      </c>
      <c r="H516" s="26">
        <f t="shared" si="18"/>
        <v>68207.5</v>
      </c>
    </row>
    <row r="517" spans="1:8" ht="15.75">
      <c r="A517" s="25" t="s">
        <v>291</v>
      </c>
      <c r="B517" s="16">
        <v>906</v>
      </c>
      <c r="C517" s="20" t="s">
        <v>281</v>
      </c>
      <c r="D517" s="20" t="s">
        <v>135</v>
      </c>
      <c r="E517" s="20" t="s">
        <v>1030</v>
      </c>
      <c r="F517" s="20" t="s">
        <v>292</v>
      </c>
      <c r="G517" s="26">
        <f>'Пр.6 ведом.20'!G517</f>
        <v>68207.5</v>
      </c>
      <c r="H517" s="26">
        <f t="shared" si="18"/>
        <v>68207.5</v>
      </c>
    </row>
    <row r="518" spans="1:8" ht="94.5">
      <c r="A518" s="32" t="s">
        <v>310</v>
      </c>
      <c r="B518" s="16">
        <v>906</v>
      </c>
      <c r="C518" s="20" t="s">
        <v>281</v>
      </c>
      <c r="D518" s="20" t="s">
        <v>135</v>
      </c>
      <c r="E518" s="20" t="s">
        <v>1032</v>
      </c>
      <c r="F518" s="20"/>
      <c r="G518" s="26">
        <f>'Пр.6 ведом.20'!G518</f>
        <v>2712.4</v>
      </c>
      <c r="H518" s="26">
        <f t="shared" si="18"/>
        <v>2712.4</v>
      </c>
    </row>
    <row r="519" spans="1:8" ht="31.5">
      <c r="A519" s="25" t="s">
        <v>289</v>
      </c>
      <c r="B519" s="16">
        <v>906</v>
      </c>
      <c r="C519" s="20" t="s">
        <v>281</v>
      </c>
      <c r="D519" s="20" t="s">
        <v>135</v>
      </c>
      <c r="E519" s="20" t="s">
        <v>1032</v>
      </c>
      <c r="F519" s="20" t="s">
        <v>290</v>
      </c>
      <c r="G519" s="26">
        <f>'Пр.6 ведом.20'!G519</f>
        <v>2712.4</v>
      </c>
      <c r="H519" s="26">
        <f t="shared" si="18"/>
        <v>2712.4</v>
      </c>
    </row>
    <row r="520" spans="1:8" ht="15.75">
      <c r="A520" s="25" t="s">
        <v>291</v>
      </c>
      <c r="B520" s="16">
        <v>906</v>
      </c>
      <c r="C520" s="20" t="s">
        <v>281</v>
      </c>
      <c r="D520" s="20" t="s">
        <v>135</v>
      </c>
      <c r="E520" s="20" t="s">
        <v>1032</v>
      </c>
      <c r="F520" s="20" t="s">
        <v>292</v>
      </c>
      <c r="G520" s="26">
        <f>'Пр.6 ведом.20'!G520</f>
        <v>2712.4</v>
      </c>
      <c r="H520" s="26">
        <f t="shared" si="18"/>
        <v>2712.4</v>
      </c>
    </row>
    <row r="521" spans="1:8" ht="31.5">
      <c r="A521" s="23" t="s">
        <v>428</v>
      </c>
      <c r="B521" s="19">
        <v>906</v>
      </c>
      <c r="C521" s="24" t="s">
        <v>281</v>
      </c>
      <c r="D521" s="24" t="s">
        <v>135</v>
      </c>
      <c r="E521" s="24" t="s">
        <v>429</v>
      </c>
      <c r="F521" s="24"/>
      <c r="G521" s="21">
        <f>G522+G532+G542</f>
        <v>9675.3</v>
      </c>
      <c r="H521" s="21">
        <f>H522+H532+H542</f>
        <v>9675.3</v>
      </c>
    </row>
    <row r="522" spans="1:8" ht="31.5">
      <c r="A522" s="23" t="s">
        <v>1015</v>
      </c>
      <c r="B522" s="19">
        <v>906</v>
      </c>
      <c r="C522" s="24" t="s">
        <v>281</v>
      </c>
      <c r="D522" s="24" t="s">
        <v>135</v>
      </c>
      <c r="E522" s="24" t="s">
        <v>1016</v>
      </c>
      <c r="F522" s="24"/>
      <c r="G522" s="21">
        <f>G523+G526+G529</f>
        <v>5170</v>
      </c>
      <c r="H522" s="21">
        <f>H523+H526+H529</f>
        <v>5170</v>
      </c>
    </row>
    <row r="523" spans="1:8" ht="31.5" hidden="1">
      <c r="A523" s="25" t="s">
        <v>295</v>
      </c>
      <c r="B523" s="16">
        <v>906</v>
      </c>
      <c r="C523" s="20" t="s">
        <v>281</v>
      </c>
      <c r="D523" s="20" t="s">
        <v>135</v>
      </c>
      <c r="E523" s="20" t="s">
        <v>1017</v>
      </c>
      <c r="F523" s="20"/>
      <c r="G523" s="26">
        <f>'Пр.6 ведом.20'!G523</f>
        <v>0</v>
      </c>
      <c r="H523" s="26">
        <f t="shared" si="18"/>
        <v>0</v>
      </c>
    </row>
    <row r="524" spans="1:8" ht="31.5" hidden="1">
      <c r="A524" s="25" t="s">
        <v>289</v>
      </c>
      <c r="B524" s="16">
        <v>906</v>
      </c>
      <c r="C524" s="20" t="s">
        <v>281</v>
      </c>
      <c r="D524" s="20" t="s">
        <v>135</v>
      </c>
      <c r="E524" s="20" t="s">
        <v>1017</v>
      </c>
      <c r="F524" s="20" t="s">
        <v>290</v>
      </c>
      <c r="G524" s="26">
        <f>'Пр.6 ведом.20'!G524</f>
        <v>0</v>
      </c>
      <c r="H524" s="26">
        <f aca="true" t="shared" si="21" ref="H524:H587">G524</f>
        <v>0</v>
      </c>
    </row>
    <row r="525" spans="1:8" ht="15.75" hidden="1">
      <c r="A525" s="25" t="s">
        <v>291</v>
      </c>
      <c r="B525" s="16">
        <v>906</v>
      </c>
      <c r="C525" s="20" t="s">
        <v>281</v>
      </c>
      <c r="D525" s="20" t="s">
        <v>135</v>
      </c>
      <c r="E525" s="20" t="s">
        <v>1017</v>
      </c>
      <c r="F525" s="20" t="s">
        <v>292</v>
      </c>
      <c r="G525" s="26">
        <f>'Пр.6 ведом.20'!G525</f>
        <v>0</v>
      </c>
      <c r="H525" s="26">
        <f t="shared" si="21"/>
        <v>0</v>
      </c>
    </row>
    <row r="526" spans="1:8" ht="31.5" hidden="1">
      <c r="A526" s="25" t="s">
        <v>297</v>
      </c>
      <c r="B526" s="16">
        <v>906</v>
      </c>
      <c r="C526" s="20" t="s">
        <v>281</v>
      </c>
      <c r="D526" s="20" t="s">
        <v>135</v>
      </c>
      <c r="E526" s="20" t="s">
        <v>1018</v>
      </c>
      <c r="F526" s="20"/>
      <c r="G526" s="26">
        <f>'Пр.6 ведом.20'!G526</f>
        <v>0</v>
      </c>
      <c r="H526" s="26">
        <f t="shared" si="21"/>
        <v>0</v>
      </c>
    </row>
    <row r="527" spans="1:8" ht="31.5" hidden="1">
      <c r="A527" s="25" t="s">
        <v>289</v>
      </c>
      <c r="B527" s="16">
        <v>906</v>
      </c>
      <c r="C527" s="20" t="s">
        <v>281</v>
      </c>
      <c r="D527" s="20" t="s">
        <v>135</v>
      </c>
      <c r="E527" s="20" t="s">
        <v>1018</v>
      </c>
      <c r="F527" s="20" t="s">
        <v>290</v>
      </c>
      <c r="G527" s="26">
        <f>'Пр.6 ведом.20'!G527</f>
        <v>0</v>
      </c>
      <c r="H527" s="26">
        <f t="shared" si="21"/>
        <v>0</v>
      </c>
    </row>
    <row r="528" spans="1:8" ht="15.75" hidden="1">
      <c r="A528" s="25" t="s">
        <v>291</v>
      </c>
      <c r="B528" s="16">
        <v>906</v>
      </c>
      <c r="C528" s="20" t="s">
        <v>281</v>
      </c>
      <c r="D528" s="20" t="s">
        <v>135</v>
      </c>
      <c r="E528" s="20" t="s">
        <v>1018</v>
      </c>
      <c r="F528" s="20" t="s">
        <v>292</v>
      </c>
      <c r="G528" s="26">
        <f>'Пр.6 ведом.20'!G528</f>
        <v>0</v>
      </c>
      <c r="H528" s="26">
        <f t="shared" si="21"/>
        <v>0</v>
      </c>
    </row>
    <row r="529" spans="1:8" ht="31.5">
      <c r="A529" s="25" t="s">
        <v>432</v>
      </c>
      <c r="B529" s="16">
        <v>906</v>
      </c>
      <c r="C529" s="20" t="s">
        <v>281</v>
      </c>
      <c r="D529" s="20" t="s">
        <v>135</v>
      </c>
      <c r="E529" s="20" t="s">
        <v>1019</v>
      </c>
      <c r="F529" s="20"/>
      <c r="G529" s="26">
        <f>'Пр.6 ведом.20'!G529</f>
        <v>5170</v>
      </c>
      <c r="H529" s="26">
        <f t="shared" si="21"/>
        <v>5170</v>
      </c>
    </row>
    <row r="530" spans="1:8" ht="31.5">
      <c r="A530" s="25" t="s">
        <v>289</v>
      </c>
      <c r="B530" s="16">
        <v>906</v>
      </c>
      <c r="C530" s="20" t="s">
        <v>281</v>
      </c>
      <c r="D530" s="20" t="s">
        <v>135</v>
      </c>
      <c r="E530" s="20" t="s">
        <v>1019</v>
      </c>
      <c r="F530" s="20" t="s">
        <v>290</v>
      </c>
      <c r="G530" s="26">
        <f>'Пр.6 ведом.20'!G530</f>
        <v>5170</v>
      </c>
      <c r="H530" s="26">
        <f t="shared" si="21"/>
        <v>5170</v>
      </c>
    </row>
    <row r="531" spans="1:8" ht="15.75">
      <c r="A531" s="25" t="s">
        <v>291</v>
      </c>
      <c r="B531" s="16">
        <v>906</v>
      </c>
      <c r="C531" s="20" t="s">
        <v>281</v>
      </c>
      <c r="D531" s="20" t="s">
        <v>135</v>
      </c>
      <c r="E531" s="20" t="s">
        <v>1019</v>
      </c>
      <c r="F531" s="20" t="s">
        <v>292</v>
      </c>
      <c r="G531" s="26">
        <f>'Пр.6 ведом.20'!G531</f>
        <v>5170</v>
      </c>
      <c r="H531" s="26">
        <f t="shared" si="21"/>
        <v>5170</v>
      </c>
    </row>
    <row r="532" spans="1:8" ht="31.5">
      <c r="A532" s="319" t="s">
        <v>1085</v>
      </c>
      <c r="B532" s="19">
        <v>906</v>
      </c>
      <c r="C532" s="24" t="s">
        <v>281</v>
      </c>
      <c r="D532" s="24" t="s">
        <v>135</v>
      </c>
      <c r="E532" s="24" t="s">
        <v>1020</v>
      </c>
      <c r="F532" s="24"/>
      <c r="G532" s="45">
        <f>G533+G536+G539</f>
        <v>4215</v>
      </c>
      <c r="H532" s="45">
        <f>H533+H536+H539</f>
        <v>4215</v>
      </c>
    </row>
    <row r="533" spans="1:8" ht="31.5" hidden="1">
      <c r="A533" s="25" t="s">
        <v>301</v>
      </c>
      <c r="B533" s="16">
        <v>906</v>
      </c>
      <c r="C533" s="20" t="s">
        <v>281</v>
      </c>
      <c r="D533" s="20" t="s">
        <v>135</v>
      </c>
      <c r="E533" s="20" t="s">
        <v>1021</v>
      </c>
      <c r="F533" s="20"/>
      <c r="G533" s="26">
        <f>'Пр.6 ведом.20'!G533</f>
        <v>0</v>
      </c>
      <c r="H533" s="26">
        <f t="shared" si="21"/>
        <v>0</v>
      </c>
    </row>
    <row r="534" spans="1:8" ht="31.5" hidden="1">
      <c r="A534" s="25" t="s">
        <v>289</v>
      </c>
      <c r="B534" s="16">
        <v>906</v>
      </c>
      <c r="C534" s="20" t="s">
        <v>281</v>
      </c>
      <c r="D534" s="20" t="s">
        <v>135</v>
      </c>
      <c r="E534" s="20" t="s">
        <v>1021</v>
      </c>
      <c r="F534" s="20" t="s">
        <v>290</v>
      </c>
      <c r="G534" s="26">
        <f>'Пр.6 ведом.20'!G534</f>
        <v>0</v>
      </c>
      <c r="H534" s="26">
        <f t="shared" si="21"/>
        <v>0</v>
      </c>
    </row>
    <row r="535" spans="1:8" ht="15.75" hidden="1">
      <c r="A535" s="25" t="s">
        <v>291</v>
      </c>
      <c r="B535" s="16">
        <v>906</v>
      </c>
      <c r="C535" s="20" t="s">
        <v>281</v>
      </c>
      <c r="D535" s="20" t="s">
        <v>135</v>
      </c>
      <c r="E535" s="20" t="s">
        <v>1021</v>
      </c>
      <c r="F535" s="20" t="s">
        <v>292</v>
      </c>
      <c r="G535" s="26">
        <f>'Пр.6 ведом.20'!G535</f>
        <v>0</v>
      </c>
      <c r="H535" s="26">
        <f t="shared" si="21"/>
        <v>0</v>
      </c>
    </row>
    <row r="536" spans="1:8" ht="31.5">
      <c r="A536" s="63" t="s">
        <v>789</v>
      </c>
      <c r="B536" s="16">
        <v>906</v>
      </c>
      <c r="C536" s="20" t="s">
        <v>281</v>
      </c>
      <c r="D536" s="20" t="s">
        <v>135</v>
      </c>
      <c r="E536" s="20" t="s">
        <v>1022</v>
      </c>
      <c r="F536" s="20"/>
      <c r="G536" s="26">
        <f>'Пр.6 ведом.20'!G536</f>
        <v>2850</v>
      </c>
      <c r="H536" s="26">
        <f t="shared" si="21"/>
        <v>2850</v>
      </c>
    </row>
    <row r="537" spans="1:8" ht="31.5">
      <c r="A537" s="30" t="s">
        <v>289</v>
      </c>
      <c r="B537" s="16">
        <v>906</v>
      </c>
      <c r="C537" s="20" t="s">
        <v>281</v>
      </c>
      <c r="D537" s="20" t="s">
        <v>135</v>
      </c>
      <c r="E537" s="20" t="s">
        <v>1022</v>
      </c>
      <c r="F537" s="20" t="s">
        <v>290</v>
      </c>
      <c r="G537" s="26">
        <f>'Пр.6 ведом.20'!G537</f>
        <v>2850</v>
      </c>
      <c r="H537" s="26">
        <f t="shared" si="21"/>
        <v>2850</v>
      </c>
    </row>
    <row r="538" spans="1:8" ht="15.75">
      <c r="A538" s="208" t="s">
        <v>291</v>
      </c>
      <c r="B538" s="16">
        <v>906</v>
      </c>
      <c r="C538" s="20" t="s">
        <v>281</v>
      </c>
      <c r="D538" s="20" t="s">
        <v>135</v>
      </c>
      <c r="E538" s="20" t="s">
        <v>1022</v>
      </c>
      <c r="F538" s="20" t="s">
        <v>292</v>
      </c>
      <c r="G538" s="26">
        <f>'Пр.6 ведом.20'!G538</f>
        <v>2850</v>
      </c>
      <c r="H538" s="26">
        <f t="shared" si="21"/>
        <v>2850</v>
      </c>
    </row>
    <row r="539" spans="1:8" ht="47.25">
      <c r="A539" s="63" t="s">
        <v>790</v>
      </c>
      <c r="B539" s="16">
        <v>906</v>
      </c>
      <c r="C539" s="20" t="s">
        <v>281</v>
      </c>
      <c r="D539" s="20" t="s">
        <v>135</v>
      </c>
      <c r="E539" s="20" t="s">
        <v>1023</v>
      </c>
      <c r="F539" s="20"/>
      <c r="G539" s="26">
        <f>'Пр.6 ведом.20'!G539</f>
        <v>1364.9999999999998</v>
      </c>
      <c r="H539" s="26">
        <f t="shared" si="21"/>
        <v>1364.9999999999998</v>
      </c>
    </row>
    <row r="540" spans="1:8" ht="31.5">
      <c r="A540" s="30" t="s">
        <v>289</v>
      </c>
      <c r="B540" s="16">
        <v>906</v>
      </c>
      <c r="C540" s="20" t="s">
        <v>281</v>
      </c>
      <c r="D540" s="20" t="s">
        <v>135</v>
      </c>
      <c r="E540" s="20" t="s">
        <v>1023</v>
      </c>
      <c r="F540" s="20" t="s">
        <v>290</v>
      </c>
      <c r="G540" s="26">
        <f>'Пр.6 ведом.20'!G540</f>
        <v>1364.9999999999998</v>
      </c>
      <c r="H540" s="26">
        <f t="shared" si="21"/>
        <v>1364.9999999999998</v>
      </c>
    </row>
    <row r="541" spans="1:8" ht="15.75">
      <c r="A541" s="208" t="s">
        <v>291</v>
      </c>
      <c r="B541" s="16">
        <v>906</v>
      </c>
      <c r="C541" s="20" t="s">
        <v>281</v>
      </c>
      <c r="D541" s="20" t="s">
        <v>135</v>
      </c>
      <c r="E541" s="20" t="s">
        <v>1023</v>
      </c>
      <c r="F541" s="20" t="s">
        <v>292</v>
      </c>
      <c r="G541" s="26">
        <f>'Пр.6 ведом.20'!G541</f>
        <v>1364.9999999999998</v>
      </c>
      <c r="H541" s="26">
        <f t="shared" si="21"/>
        <v>1364.9999999999998</v>
      </c>
    </row>
    <row r="542" spans="1:8" ht="63">
      <c r="A542" s="23" t="s">
        <v>1024</v>
      </c>
      <c r="B542" s="19">
        <v>906</v>
      </c>
      <c r="C542" s="24" t="s">
        <v>281</v>
      </c>
      <c r="D542" s="24" t="s">
        <v>135</v>
      </c>
      <c r="E542" s="24" t="s">
        <v>1025</v>
      </c>
      <c r="F542" s="24"/>
      <c r="G542" s="21">
        <f>G543+G546</f>
        <v>290.3</v>
      </c>
      <c r="H542" s="21">
        <f>H543+H546</f>
        <v>290.3</v>
      </c>
    </row>
    <row r="543" spans="1:8" ht="141.75">
      <c r="A543" s="25" t="s">
        <v>833</v>
      </c>
      <c r="B543" s="16">
        <v>906</v>
      </c>
      <c r="C543" s="20" t="s">
        <v>281</v>
      </c>
      <c r="D543" s="20" t="s">
        <v>135</v>
      </c>
      <c r="E543" s="20" t="s">
        <v>1026</v>
      </c>
      <c r="F543" s="20"/>
      <c r="G543" s="26">
        <f>'Пр.6 ведом.20'!G543</f>
        <v>124.4</v>
      </c>
      <c r="H543" s="26">
        <f t="shared" si="21"/>
        <v>124.4</v>
      </c>
    </row>
    <row r="544" spans="1:8" ht="31.5">
      <c r="A544" s="30" t="s">
        <v>289</v>
      </c>
      <c r="B544" s="16">
        <v>906</v>
      </c>
      <c r="C544" s="20" t="s">
        <v>281</v>
      </c>
      <c r="D544" s="20" t="s">
        <v>135</v>
      </c>
      <c r="E544" s="20" t="s">
        <v>1026</v>
      </c>
      <c r="F544" s="20" t="s">
        <v>290</v>
      </c>
      <c r="G544" s="26">
        <f>'Пр.6 ведом.20'!G544</f>
        <v>124.4</v>
      </c>
      <c r="H544" s="26">
        <f t="shared" si="21"/>
        <v>124.4</v>
      </c>
    </row>
    <row r="545" spans="1:8" ht="15.75">
      <c r="A545" s="208" t="s">
        <v>291</v>
      </c>
      <c r="B545" s="16">
        <v>906</v>
      </c>
      <c r="C545" s="20" t="s">
        <v>281</v>
      </c>
      <c r="D545" s="20" t="s">
        <v>135</v>
      </c>
      <c r="E545" s="20" t="s">
        <v>1026</v>
      </c>
      <c r="F545" s="20" t="s">
        <v>292</v>
      </c>
      <c r="G545" s="26">
        <f>'Пр.6 ведом.20'!G545</f>
        <v>124.4</v>
      </c>
      <c r="H545" s="26">
        <f t="shared" si="21"/>
        <v>124.4</v>
      </c>
    </row>
    <row r="546" spans="1:8" ht="126">
      <c r="A546" s="25" t="s">
        <v>440</v>
      </c>
      <c r="B546" s="16">
        <v>906</v>
      </c>
      <c r="C546" s="20" t="s">
        <v>281</v>
      </c>
      <c r="D546" s="20" t="s">
        <v>135</v>
      </c>
      <c r="E546" s="20" t="s">
        <v>1027</v>
      </c>
      <c r="F546" s="20"/>
      <c r="G546" s="26">
        <f>'Пр.6 ведом.20'!G546</f>
        <v>165.9</v>
      </c>
      <c r="H546" s="26">
        <f t="shared" si="21"/>
        <v>165.9</v>
      </c>
    </row>
    <row r="547" spans="1:8" ht="31.5">
      <c r="A547" s="25" t="s">
        <v>289</v>
      </c>
      <c r="B547" s="16">
        <v>906</v>
      </c>
      <c r="C547" s="20" t="s">
        <v>281</v>
      </c>
      <c r="D547" s="20" t="s">
        <v>135</v>
      </c>
      <c r="E547" s="20" t="s">
        <v>1027</v>
      </c>
      <c r="F547" s="20" t="s">
        <v>290</v>
      </c>
      <c r="G547" s="26">
        <f>'Пр.6 ведом.20'!G547</f>
        <v>165.9</v>
      </c>
      <c r="H547" s="26">
        <f t="shared" si="21"/>
        <v>165.9</v>
      </c>
    </row>
    <row r="548" spans="1:8" ht="15.75">
      <c r="A548" s="25" t="s">
        <v>291</v>
      </c>
      <c r="B548" s="16">
        <v>906</v>
      </c>
      <c r="C548" s="20" t="s">
        <v>281</v>
      </c>
      <c r="D548" s="20" t="s">
        <v>135</v>
      </c>
      <c r="E548" s="20" t="s">
        <v>1027</v>
      </c>
      <c r="F548" s="20" t="s">
        <v>292</v>
      </c>
      <c r="G548" s="26">
        <f>'Пр.6 ведом.20'!G548</f>
        <v>165.9</v>
      </c>
      <c r="H548" s="26">
        <f t="shared" si="21"/>
        <v>165.9</v>
      </c>
    </row>
    <row r="549" spans="1:8" ht="63">
      <c r="A549" s="35" t="s">
        <v>807</v>
      </c>
      <c r="B549" s="19">
        <v>906</v>
      </c>
      <c r="C549" s="24" t="s">
        <v>281</v>
      </c>
      <c r="D549" s="24" t="s">
        <v>135</v>
      </c>
      <c r="E549" s="24" t="s">
        <v>341</v>
      </c>
      <c r="F549" s="24"/>
      <c r="G549" s="21">
        <f>G550</f>
        <v>0</v>
      </c>
      <c r="H549" s="21">
        <f>H550</f>
        <v>0</v>
      </c>
    </row>
    <row r="550" spans="1:8" ht="63">
      <c r="A550" s="35" t="s">
        <v>1171</v>
      </c>
      <c r="B550" s="19">
        <v>906</v>
      </c>
      <c r="C550" s="24" t="s">
        <v>281</v>
      </c>
      <c r="D550" s="24" t="s">
        <v>135</v>
      </c>
      <c r="E550" s="24" t="s">
        <v>1033</v>
      </c>
      <c r="F550" s="24"/>
      <c r="G550" s="21">
        <f>G551</f>
        <v>0</v>
      </c>
      <c r="H550" s="21">
        <f>H551</f>
        <v>0</v>
      </c>
    </row>
    <row r="551" spans="1:8" ht="47.25">
      <c r="A551" s="32" t="s">
        <v>1291</v>
      </c>
      <c r="B551" s="16">
        <v>906</v>
      </c>
      <c r="C551" s="20" t="s">
        <v>281</v>
      </c>
      <c r="D551" s="20" t="s">
        <v>135</v>
      </c>
      <c r="E551" s="20" t="s">
        <v>1034</v>
      </c>
      <c r="F551" s="20"/>
      <c r="G551" s="26">
        <f>'Пр.6 ведом.20'!G551</f>
        <v>0</v>
      </c>
      <c r="H551" s="26">
        <f t="shared" si="21"/>
        <v>0</v>
      </c>
    </row>
    <row r="552" spans="1:8" ht="31.5">
      <c r="A552" s="32" t="s">
        <v>289</v>
      </c>
      <c r="B552" s="16">
        <v>906</v>
      </c>
      <c r="C552" s="20" t="s">
        <v>281</v>
      </c>
      <c r="D552" s="20" t="s">
        <v>135</v>
      </c>
      <c r="E552" s="20" t="s">
        <v>1034</v>
      </c>
      <c r="F552" s="20" t="s">
        <v>290</v>
      </c>
      <c r="G552" s="26">
        <f>'Пр.6 ведом.20'!G552</f>
        <v>0</v>
      </c>
      <c r="H552" s="26">
        <f t="shared" si="21"/>
        <v>0</v>
      </c>
    </row>
    <row r="553" spans="1:8" ht="15.75">
      <c r="A553" s="32" t="s">
        <v>291</v>
      </c>
      <c r="B553" s="16">
        <v>906</v>
      </c>
      <c r="C553" s="20" t="s">
        <v>281</v>
      </c>
      <c r="D553" s="20" t="s">
        <v>135</v>
      </c>
      <c r="E553" s="20" t="s">
        <v>1034</v>
      </c>
      <c r="F553" s="20" t="s">
        <v>292</v>
      </c>
      <c r="G553" s="26">
        <f>'Пр.6 ведом.20'!G553</f>
        <v>0</v>
      </c>
      <c r="H553" s="26">
        <f t="shared" si="21"/>
        <v>0</v>
      </c>
    </row>
    <row r="554" spans="1:8" ht="63">
      <c r="A554" s="42" t="s">
        <v>732</v>
      </c>
      <c r="B554" s="19">
        <v>906</v>
      </c>
      <c r="C554" s="24" t="s">
        <v>281</v>
      </c>
      <c r="D554" s="24" t="s">
        <v>135</v>
      </c>
      <c r="E554" s="24" t="s">
        <v>730</v>
      </c>
      <c r="F554" s="324"/>
      <c r="G554" s="21">
        <f>G556</f>
        <v>464.3</v>
      </c>
      <c r="H554" s="21">
        <f>H556</f>
        <v>464.3</v>
      </c>
    </row>
    <row r="555" spans="1:8" ht="47.25">
      <c r="A555" s="42" t="s">
        <v>954</v>
      </c>
      <c r="B555" s="19">
        <v>906</v>
      </c>
      <c r="C555" s="24" t="s">
        <v>281</v>
      </c>
      <c r="D555" s="24" t="s">
        <v>135</v>
      </c>
      <c r="E555" s="24" t="s">
        <v>952</v>
      </c>
      <c r="F555" s="324"/>
      <c r="G555" s="21">
        <f>G556</f>
        <v>464.3</v>
      </c>
      <c r="H555" s="21">
        <f>H556</f>
        <v>464.3</v>
      </c>
    </row>
    <row r="556" spans="1:8" ht="47.25">
      <c r="A556" s="107" t="s">
        <v>805</v>
      </c>
      <c r="B556" s="16">
        <v>906</v>
      </c>
      <c r="C556" s="20" t="s">
        <v>281</v>
      </c>
      <c r="D556" s="20" t="s">
        <v>135</v>
      </c>
      <c r="E556" s="20" t="s">
        <v>1035</v>
      </c>
      <c r="F556" s="33"/>
      <c r="G556" s="26">
        <f>'Пр.6 ведом.20'!G556</f>
        <v>464.3</v>
      </c>
      <c r="H556" s="26">
        <f t="shared" si="21"/>
        <v>464.3</v>
      </c>
    </row>
    <row r="557" spans="1:8" ht="31.5">
      <c r="A557" s="30" t="s">
        <v>289</v>
      </c>
      <c r="B557" s="16">
        <v>906</v>
      </c>
      <c r="C557" s="20" t="s">
        <v>281</v>
      </c>
      <c r="D557" s="20" t="s">
        <v>135</v>
      </c>
      <c r="E557" s="20" t="s">
        <v>1035</v>
      </c>
      <c r="F557" s="33" t="s">
        <v>290</v>
      </c>
      <c r="G557" s="26">
        <f>'Пр.6 ведом.20'!G557</f>
        <v>464.3</v>
      </c>
      <c r="H557" s="26">
        <f t="shared" si="21"/>
        <v>464.3</v>
      </c>
    </row>
    <row r="558" spans="1:8" ht="15.75">
      <c r="A558" s="208" t="s">
        <v>291</v>
      </c>
      <c r="B558" s="16">
        <v>906</v>
      </c>
      <c r="C558" s="20" t="s">
        <v>281</v>
      </c>
      <c r="D558" s="20" t="s">
        <v>135</v>
      </c>
      <c r="E558" s="20" t="s">
        <v>1035</v>
      </c>
      <c r="F558" s="33" t="s">
        <v>292</v>
      </c>
      <c r="G558" s="26">
        <f>'Пр.6 ведом.20'!G558</f>
        <v>464.3</v>
      </c>
      <c r="H558" s="26">
        <f t="shared" si="21"/>
        <v>464.3</v>
      </c>
    </row>
    <row r="559" spans="1:8" ht="15.75">
      <c r="A559" s="23" t="s">
        <v>442</v>
      </c>
      <c r="B559" s="19">
        <v>906</v>
      </c>
      <c r="C559" s="24" t="s">
        <v>281</v>
      </c>
      <c r="D559" s="24" t="s">
        <v>230</v>
      </c>
      <c r="E559" s="24"/>
      <c r="F559" s="24"/>
      <c r="G559" s="21">
        <f>G560+G627+G632</f>
        <v>139817.9</v>
      </c>
      <c r="H559" s="21">
        <f>H560+H627+H632</f>
        <v>139817.9</v>
      </c>
    </row>
    <row r="560" spans="1:8" ht="47.25">
      <c r="A560" s="23" t="s">
        <v>443</v>
      </c>
      <c r="B560" s="19">
        <v>906</v>
      </c>
      <c r="C560" s="24" t="s">
        <v>281</v>
      </c>
      <c r="D560" s="24" t="s">
        <v>230</v>
      </c>
      <c r="E560" s="24" t="s">
        <v>423</v>
      </c>
      <c r="F560" s="24"/>
      <c r="G560" s="21">
        <f>G561+G588</f>
        <v>139094.6</v>
      </c>
      <c r="H560" s="21">
        <f>H561+H588</f>
        <v>139094.6</v>
      </c>
    </row>
    <row r="561" spans="1:8" ht="31.5">
      <c r="A561" s="23" t="s">
        <v>424</v>
      </c>
      <c r="B561" s="19">
        <v>906</v>
      </c>
      <c r="C561" s="24" t="s">
        <v>281</v>
      </c>
      <c r="D561" s="24" t="s">
        <v>230</v>
      </c>
      <c r="E561" s="24" t="s">
        <v>425</v>
      </c>
      <c r="F561" s="24"/>
      <c r="G561" s="21">
        <f>G562+G572</f>
        <v>130119.3</v>
      </c>
      <c r="H561" s="21">
        <f>H562+H572</f>
        <v>130119.3</v>
      </c>
    </row>
    <row r="562" spans="1:8" ht="31.5">
      <c r="A562" s="23" t="s">
        <v>1036</v>
      </c>
      <c r="B562" s="19">
        <v>906</v>
      </c>
      <c r="C562" s="24" t="s">
        <v>281</v>
      </c>
      <c r="D562" s="24" t="s">
        <v>230</v>
      </c>
      <c r="E562" s="24" t="s">
        <v>1014</v>
      </c>
      <c r="F562" s="24"/>
      <c r="G562" s="21">
        <f>G563+G566+G569</f>
        <v>29803</v>
      </c>
      <c r="H562" s="21">
        <f>H563+H566+H569</f>
        <v>29803</v>
      </c>
    </row>
    <row r="563" spans="1:8" ht="47.25">
      <c r="A563" s="25" t="s">
        <v>1076</v>
      </c>
      <c r="B563" s="16">
        <v>906</v>
      </c>
      <c r="C563" s="20" t="s">
        <v>281</v>
      </c>
      <c r="D563" s="20" t="s">
        <v>230</v>
      </c>
      <c r="E563" s="20" t="s">
        <v>1073</v>
      </c>
      <c r="F563" s="20"/>
      <c r="G563" s="26">
        <f>'Пр.6 ведом.20'!G563</f>
        <v>9775.400000000001</v>
      </c>
      <c r="H563" s="26">
        <f t="shared" si="21"/>
        <v>9775.400000000001</v>
      </c>
    </row>
    <row r="564" spans="1:8" ht="31.5">
      <c r="A564" s="25" t="s">
        <v>289</v>
      </c>
      <c r="B564" s="16">
        <v>906</v>
      </c>
      <c r="C564" s="20" t="s">
        <v>281</v>
      </c>
      <c r="D564" s="20" t="s">
        <v>230</v>
      </c>
      <c r="E564" s="20" t="s">
        <v>1073</v>
      </c>
      <c r="F564" s="20" t="s">
        <v>290</v>
      </c>
      <c r="G564" s="26">
        <f>'Пр.6 ведом.20'!G564</f>
        <v>9775.400000000001</v>
      </c>
      <c r="H564" s="26">
        <f t="shared" si="21"/>
        <v>9775.400000000001</v>
      </c>
    </row>
    <row r="565" spans="1:8" ht="15.75">
      <c r="A565" s="25" t="s">
        <v>291</v>
      </c>
      <c r="B565" s="16">
        <v>906</v>
      </c>
      <c r="C565" s="20" t="s">
        <v>281</v>
      </c>
      <c r="D565" s="20" t="s">
        <v>230</v>
      </c>
      <c r="E565" s="20" t="s">
        <v>1073</v>
      </c>
      <c r="F565" s="20" t="s">
        <v>292</v>
      </c>
      <c r="G565" s="26">
        <f>'Пр.6 ведом.20'!G565</f>
        <v>9775.400000000001</v>
      </c>
      <c r="H565" s="26">
        <f t="shared" si="21"/>
        <v>9775.400000000001</v>
      </c>
    </row>
    <row r="566" spans="1:8" ht="47.25">
      <c r="A566" s="25" t="s">
        <v>1077</v>
      </c>
      <c r="B566" s="16">
        <v>906</v>
      </c>
      <c r="C566" s="20" t="s">
        <v>281</v>
      </c>
      <c r="D566" s="20" t="s">
        <v>230</v>
      </c>
      <c r="E566" s="20" t="s">
        <v>1074</v>
      </c>
      <c r="F566" s="20"/>
      <c r="G566" s="26">
        <f>'Пр.6 ведом.20'!G566</f>
        <v>13351.7</v>
      </c>
      <c r="H566" s="26">
        <f t="shared" si="21"/>
        <v>13351.7</v>
      </c>
    </row>
    <row r="567" spans="1:8" ht="31.5">
      <c r="A567" s="25" t="s">
        <v>289</v>
      </c>
      <c r="B567" s="16">
        <v>906</v>
      </c>
      <c r="C567" s="20" t="s">
        <v>281</v>
      </c>
      <c r="D567" s="20" t="s">
        <v>230</v>
      </c>
      <c r="E567" s="20" t="s">
        <v>1074</v>
      </c>
      <c r="F567" s="20" t="s">
        <v>290</v>
      </c>
      <c r="G567" s="26">
        <f>'Пр.6 ведом.20'!G567</f>
        <v>13351.7</v>
      </c>
      <c r="H567" s="26">
        <f t="shared" si="21"/>
        <v>13351.7</v>
      </c>
    </row>
    <row r="568" spans="1:8" ht="15.75">
      <c r="A568" s="25" t="s">
        <v>291</v>
      </c>
      <c r="B568" s="16">
        <v>906</v>
      </c>
      <c r="C568" s="20" t="s">
        <v>281</v>
      </c>
      <c r="D568" s="20" t="s">
        <v>230</v>
      </c>
      <c r="E568" s="20" t="s">
        <v>1074</v>
      </c>
      <c r="F568" s="20" t="s">
        <v>292</v>
      </c>
      <c r="G568" s="26">
        <f>'Пр.6 ведом.20'!G568</f>
        <v>13351.7</v>
      </c>
      <c r="H568" s="26">
        <f t="shared" si="21"/>
        <v>13351.7</v>
      </c>
    </row>
    <row r="569" spans="1:8" ht="47.25">
      <c r="A569" s="25" t="s">
        <v>1078</v>
      </c>
      <c r="B569" s="16">
        <v>906</v>
      </c>
      <c r="C569" s="20" t="s">
        <v>281</v>
      </c>
      <c r="D569" s="20" t="s">
        <v>230</v>
      </c>
      <c r="E569" s="20" t="s">
        <v>1075</v>
      </c>
      <c r="F569" s="20"/>
      <c r="G569" s="26">
        <f>'Пр.6 ведом.20'!G569</f>
        <v>6675.9</v>
      </c>
      <c r="H569" s="26">
        <f t="shared" si="21"/>
        <v>6675.9</v>
      </c>
    </row>
    <row r="570" spans="1:8" ht="31.5">
      <c r="A570" s="25" t="s">
        <v>289</v>
      </c>
      <c r="B570" s="16">
        <v>906</v>
      </c>
      <c r="C570" s="20" t="s">
        <v>281</v>
      </c>
      <c r="D570" s="20" t="s">
        <v>230</v>
      </c>
      <c r="E570" s="20" t="s">
        <v>1075</v>
      </c>
      <c r="F570" s="20" t="s">
        <v>290</v>
      </c>
      <c r="G570" s="26">
        <f>'Пр.6 ведом.20'!G570</f>
        <v>6675.9</v>
      </c>
      <c r="H570" s="26">
        <f t="shared" si="21"/>
        <v>6675.9</v>
      </c>
    </row>
    <row r="571" spans="1:8" ht="15.75">
      <c r="A571" s="25" t="s">
        <v>291</v>
      </c>
      <c r="B571" s="16">
        <v>906</v>
      </c>
      <c r="C571" s="20" t="s">
        <v>281</v>
      </c>
      <c r="D571" s="20" t="s">
        <v>230</v>
      </c>
      <c r="E571" s="20" t="s">
        <v>1075</v>
      </c>
      <c r="F571" s="20" t="s">
        <v>292</v>
      </c>
      <c r="G571" s="26">
        <f>'Пр.6 ведом.20'!G571</f>
        <v>6675.9</v>
      </c>
      <c r="H571" s="26">
        <f t="shared" si="21"/>
        <v>6675.9</v>
      </c>
    </row>
    <row r="572" spans="1:8" ht="47.25">
      <c r="A572" s="23" t="s">
        <v>976</v>
      </c>
      <c r="B572" s="19">
        <v>906</v>
      </c>
      <c r="C572" s="24" t="s">
        <v>281</v>
      </c>
      <c r="D572" s="24" t="s">
        <v>230</v>
      </c>
      <c r="E572" s="24" t="s">
        <v>1029</v>
      </c>
      <c r="F572" s="24"/>
      <c r="G572" s="45">
        <f>G573+G576+G579+G582+G585</f>
        <v>100316.3</v>
      </c>
      <c r="H572" s="45">
        <f>H573+H576+H579+H582+H585</f>
        <v>100316.3</v>
      </c>
    </row>
    <row r="573" spans="1:8" ht="78.75">
      <c r="A573" s="32" t="s">
        <v>477</v>
      </c>
      <c r="B573" s="16">
        <v>906</v>
      </c>
      <c r="C573" s="20" t="s">
        <v>281</v>
      </c>
      <c r="D573" s="20" t="s">
        <v>230</v>
      </c>
      <c r="E573" s="20" t="s">
        <v>1057</v>
      </c>
      <c r="F573" s="20"/>
      <c r="G573" s="26">
        <f>'Пр.6 ведом.20'!G573</f>
        <v>91447.9</v>
      </c>
      <c r="H573" s="26">
        <f t="shared" si="21"/>
        <v>91447.9</v>
      </c>
    </row>
    <row r="574" spans="1:8" ht="31.5">
      <c r="A574" s="25" t="s">
        <v>289</v>
      </c>
      <c r="B574" s="16">
        <v>906</v>
      </c>
      <c r="C574" s="20" t="s">
        <v>281</v>
      </c>
      <c r="D574" s="20" t="s">
        <v>230</v>
      </c>
      <c r="E574" s="20" t="s">
        <v>1057</v>
      </c>
      <c r="F574" s="20" t="s">
        <v>290</v>
      </c>
      <c r="G574" s="26">
        <f>'Пр.6 ведом.20'!G574</f>
        <v>91447.9</v>
      </c>
      <c r="H574" s="26">
        <f t="shared" si="21"/>
        <v>91447.9</v>
      </c>
    </row>
    <row r="575" spans="1:8" ht="15.75">
      <c r="A575" s="25" t="s">
        <v>291</v>
      </c>
      <c r="B575" s="16">
        <v>906</v>
      </c>
      <c r="C575" s="20" t="s">
        <v>281</v>
      </c>
      <c r="D575" s="20" t="s">
        <v>230</v>
      </c>
      <c r="E575" s="20" t="s">
        <v>1057</v>
      </c>
      <c r="F575" s="20" t="s">
        <v>292</v>
      </c>
      <c r="G575" s="26">
        <f>'Пр.6 ведом.20'!G575</f>
        <v>91447.9</v>
      </c>
      <c r="H575" s="26">
        <f t="shared" si="21"/>
        <v>91447.9</v>
      </c>
    </row>
    <row r="576" spans="1:8" ht="63">
      <c r="A576" s="32" t="s">
        <v>306</v>
      </c>
      <c r="B576" s="16">
        <v>906</v>
      </c>
      <c r="C576" s="20" t="s">
        <v>281</v>
      </c>
      <c r="D576" s="20" t="s">
        <v>230</v>
      </c>
      <c r="E576" s="20" t="s">
        <v>1028</v>
      </c>
      <c r="F576" s="20"/>
      <c r="G576" s="26">
        <f>'Пр.6 ведом.20'!G576</f>
        <v>809.4</v>
      </c>
      <c r="H576" s="26">
        <f t="shared" si="21"/>
        <v>809.4</v>
      </c>
    </row>
    <row r="577" spans="1:8" ht="31.5">
      <c r="A577" s="25" t="s">
        <v>289</v>
      </c>
      <c r="B577" s="16">
        <v>906</v>
      </c>
      <c r="C577" s="20" t="s">
        <v>281</v>
      </c>
      <c r="D577" s="20" t="s">
        <v>230</v>
      </c>
      <c r="E577" s="20" t="s">
        <v>1028</v>
      </c>
      <c r="F577" s="20" t="s">
        <v>290</v>
      </c>
      <c r="G577" s="26">
        <f>'Пр.6 ведом.20'!G577</f>
        <v>809.4</v>
      </c>
      <c r="H577" s="26">
        <f t="shared" si="21"/>
        <v>809.4</v>
      </c>
    </row>
    <row r="578" spans="1:8" ht="15.75">
      <c r="A578" s="25" t="s">
        <v>291</v>
      </c>
      <c r="B578" s="16">
        <v>906</v>
      </c>
      <c r="C578" s="20" t="s">
        <v>281</v>
      </c>
      <c r="D578" s="20" t="s">
        <v>230</v>
      </c>
      <c r="E578" s="20" t="s">
        <v>1028</v>
      </c>
      <c r="F578" s="20" t="s">
        <v>292</v>
      </c>
      <c r="G578" s="26">
        <f>'Пр.6 ведом.20'!G578</f>
        <v>809.4</v>
      </c>
      <c r="H578" s="26">
        <f t="shared" si="21"/>
        <v>809.4</v>
      </c>
    </row>
    <row r="579" spans="1:8" ht="63">
      <c r="A579" s="32" t="s">
        <v>308</v>
      </c>
      <c r="B579" s="16">
        <v>906</v>
      </c>
      <c r="C579" s="20" t="s">
        <v>281</v>
      </c>
      <c r="D579" s="20" t="s">
        <v>230</v>
      </c>
      <c r="E579" s="20" t="s">
        <v>1031</v>
      </c>
      <c r="F579" s="20"/>
      <c r="G579" s="26">
        <f>'Пр.6 ведом.20'!G579</f>
        <v>2442.6</v>
      </c>
      <c r="H579" s="26">
        <f t="shared" si="21"/>
        <v>2442.6</v>
      </c>
    </row>
    <row r="580" spans="1:8" ht="31.5">
      <c r="A580" s="25" t="s">
        <v>289</v>
      </c>
      <c r="B580" s="16">
        <v>906</v>
      </c>
      <c r="C580" s="20" t="s">
        <v>281</v>
      </c>
      <c r="D580" s="20" t="s">
        <v>230</v>
      </c>
      <c r="E580" s="20" t="s">
        <v>1031</v>
      </c>
      <c r="F580" s="20" t="s">
        <v>290</v>
      </c>
      <c r="G580" s="26">
        <f>'Пр.6 ведом.20'!G580</f>
        <v>2442.6</v>
      </c>
      <c r="H580" s="26">
        <f t="shared" si="21"/>
        <v>2442.6</v>
      </c>
    </row>
    <row r="581" spans="1:8" ht="15.75">
      <c r="A581" s="25" t="s">
        <v>291</v>
      </c>
      <c r="B581" s="16">
        <v>906</v>
      </c>
      <c r="C581" s="20" t="s">
        <v>281</v>
      </c>
      <c r="D581" s="20" t="s">
        <v>230</v>
      </c>
      <c r="E581" s="20" t="s">
        <v>1031</v>
      </c>
      <c r="F581" s="20" t="s">
        <v>292</v>
      </c>
      <c r="G581" s="26">
        <f>'Пр.6 ведом.20'!G581</f>
        <v>2442.6</v>
      </c>
      <c r="H581" s="26">
        <f t="shared" si="21"/>
        <v>2442.6</v>
      </c>
    </row>
    <row r="582" spans="1:8" ht="47.25">
      <c r="A582" s="32" t="s">
        <v>479</v>
      </c>
      <c r="B582" s="16">
        <v>906</v>
      </c>
      <c r="C582" s="20" t="s">
        <v>281</v>
      </c>
      <c r="D582" s="20" t="s">
        <v>230</v>
      </c>
      <c r="E582" s="20" t="s">
        <v>1058</v>
      </c>
      <c r="F582" s="20"/>
      <c r="G582" s="26">
        <f>'Пр.6 ведом.20'!G582</f>
        <v>946.8</v>
      </c>
      <c r="H582" s="26">
        <f t="shared" si="21"/>
        <v>946.8</v>
      </c>
    </row>
    <row r="583" spans="1:8" ht="31.5">
      <c r="A583" s="25" t="s">
        <v>289</v>
      </c>
      <c r="B583" s="16">
        <v>906</v>
      </c>
      <c r="C583" s="20" t="s">
        <v>281</v>
      </c>
      <c r="D583" s="20" t="s">
        <v>230</v>
      </c>
      <c r="E583" s="20" t="s">
        <v>1058</v>
      </c>
      <c r="F583" s="20" t="s">
        <v>290</v>
      </c>
      <c r="G583" s="26">
        <f>'Пр.6 ведом.20'!G583</f>
        <v>946.8</v>
      </c>
      <c r="H583" s="26">
        <f t="shared" si="21"/>
        <v>946.8</v>
      </c>
    </row>
    <row r="584" spans="1:8" ht="15.75">
      <c r="A584" s="25" t="s">
        <v>291</v>
      </c>
      <c r="B584" s="16">
        <v>906</v>
      </c>
      <c r="C584" s="20" t="s">
        <v>281</v>
      </c>
      <c r="D584" s="20" t="s">
        <v>230</v>
      </c>
      <c r="E584" s="20" t="s">
        <v>1058</v>
      </c>
      <c r="F584" s="20" t="s">
        <v>292</v>
      </c>
      <c r="G584" s="26">
        <f>'Пр.6 ведом.20'!G584</f>
        <v>946.8</v>
      </c>
      <c r="H584" s="26">
        <f t="shared" si="21"/>
        <v>946.8</v>
      </c>
    </row>
    <row r="585" spans="1:8" ht="94.5">
      <c r="A585" s="32" t="s">
        <v>481</v>
      </c>
      <c r="B585" s="16">
        <v>906</v>
      </c>
      <c r="C585" s="20" t="s">
        <v>281</v>
      </c>
      <c r="D585" s="20" t="s">
        <v>230</v>
      </c>
      <c r="E585" s="20" t="s">
        <v>1032</v>
      </c>
      <c r="F585" s="20"/>
      <c r="G585" s="26">
        <f>'Пр.6 ведом.20'!G585</f>
        <v>4669.6</v>
      </c>
      <c r="H585" s="26">
        <f t="shared" si="21"/>
        <v>4669.6</v>
      </c>
    </row>
    <row r="586" spans="1:8" ht="31.5">
      <c r="A586" s="25" t="s">
        <v>289</v>
      </c>
      <c r="B586" s="16">
        <v>906</v>
      </c>
      <c r="C586" s="20" t="s">
        <v>281</v>
      </c>
      <c r="D586" s="20" t="s">
        <v>230</v>
      </c>
      <c r="E586" s="20" t="s">
        <v>1032</v>
      </c>
      <c r="F586" s="20" t="s">
        <v>290</v>
      </c>
      <c r="G586" s="26">
        <f>'Пр.6 ведом.20'!G586</f>
        <v>4669.6</v>
      </c>
      <c r="H586" s="26">
        <f t="shared" si="21"/>
        <v>4669.6</v>
      </c>
    </row>
    <row r="587" spans="1:8" ht="15.75">
      <c r="A587" s="25" t="s">
        <v>291</v>
      </c>
      <c r="B587" s="16">
        <v>906</v>
      </c>
      <c r="C587" s="20" t="s">
        <v>281</v>
      </c>
      <c r="D587" s="20" t="s">
        <v>230</v>
      </c>
      <c r="E587" s="20" t="s">
        <v>1032</v>
      </c>
      <c r="F587" s="20" t="s">
        <v>292</v>
      </c>
      <c r="G587" s="26">
        <f>'Пр.6 ведом.20'!G587</f>
        <v>4669.6</v>
      </c>
      <c r="H587" s="26">
        <f t="shared" si="21"/>
        <v>4669.6</v>
      </c>
    </row>
    <row r="588" spans="1:8" ht="31.5">
      <c r="A588" s="386" t="s">
        <v>447</v>
      </c>
      <c r="B588" s="19">
        <v>906</v>
      </c>
      <c r="C588" s="24" t="s">
        <v>281</v>
      </c>
      <c r="D588" s="24" t="s">
        <v>230</v>
      </c>
      <c r="E588" s="24" t="s">
        <v>448</v>
      </c>
      <c r="F588" s="24"/>
      <c r="G588" s="21">
        <f>G589+G602+G609+G616+G623</f>
        <v>8975.3</v>
      </c>
      <c r="H588" s="21">
        <f>H589+H602+H609+H616+H623</f>
        <v>8975.3</v>
      </c>
    </row>
    <row r="589" spans="1:8" ht="31.5">
      <c r="A589" s="23" t="s">
        <v>1037</v>
      </c>
      <c r="B589" s="389">
        <v>906</v>
      </c>
      <c r="C589" s="24" t="s">
        <v>281</v>
      </c>
      <c r="D589" s="24" t="s">
        <v>230</v>
      </c>
      <c r="E589" s="24" t="s">
        <v>1038</v>
      </c>
      <c r="F589" s="24"/>
      <c r="G589" s="21">
        <f>G590+G593+G596+G599</f>
        <v>224</v>
      </c>
      <c r="H589" s="21">
        <f>H590+H593+H596+H599</f>
        <v>224</v>
      </c>
    </row>
    <row r="590" spans="1:8" ht="31.5" hidden="1">
      <c r="A590" s="25" t="s">
        <v>457</v>
      </c>
      <c r="B590" s="38">
        <v>906</v>
      </c>
      <c r="C590" s="20" t="s">
        <v>281</v>
      </c>
      <c r="D590" s="20" t="s">
        <v>230</v>
      </c>
      <c r="E590" s="20" t="s">
        <v>1042</v>
      </c>
      <c r="F590" s="20"/>
      <c r="G590" s="26">
        <f>'Пр.6 ведом.20'!G590</f>
        <v>0</v>
      </c>
      <c r="H590" s="26">
        <f aca="true" t="shared" si="22" ref="H590:H651">G590</f>
        <v>0</v>
      </c>
    </row>
    <row r="591" spans="1:8" ht="31.5" hidden="1">
      <c r="A591" s="25" t="s">
        <v>289</v>
      </c>
      <c r="B591" s="38">
        <v>906</v>
      </c>
      <c r="C591" s="20" t="s">
        <v>281</v>
      </c>
      <c r="D591" s="20" t="s">
        <v>230</v>
      </c>
      <c r="E591" s="20" t="s">
        <v>1042</v>
      </c>
      <c r="F591" s="20" t="s">
        <v>290</v>
      </c>
      <c r="G591" s="26">
        <f>'Пр.6 ведом.20'!G591</f>
        <v>0</v>
      </c>
      <c r="H591" s="26">
        <f t="shared" si="22"/>
        <v>0</v>
      </c>
    </row>
    <row r="592" spans="1:8" ht="15.75" hidden="1">
      <c r="A592" s="25" t="s">
        <v>291</v>
      </c>
      <c r="B592" s="38">
        <v>906</v>
      </c>
      <c r="C592" s="20" t="s">
        <v>281</v>
      </c>
      <c r="D592" s="20" t="s">
        <v>230</v>
      </c>
      <c r="E592" s="20" t="s">
        <v>1042</v>
      </c>
      <c r="F592" s="20" t="s">
        <v>292</v>
      </c>
      <c r="G592" s="26">
        <f>'Пр.6 ведом.20'!G592</f>
        <v>0</v>
      </c>
      <c r="H592" s="26">
        <f t="shared" si="22"/>
        <v>0</v>
      </c>
    </row>
    <row r="593" spans="1:8" ht="31.5" hidden="1">
      <c r="A593" s="25" t="s">
        <v>295</v>
      </c>
      <c r="B593" s="38">
        <v>906</v>
      </c>
      <c r="C593" s="20" t="s">
        <v>281</v>
      </c>
      <c r="D593" s="20" t="s">
        <v>230</v>
      </c>
      <c r="E593" s="20" t="s">
        <v>1043</v>
      </c>
      <c r="F593" s="20"/>
      <c r="G593" s="26">
        <f>'Пр.6 ведом.20'!G593</f>
        <v>0</v>
      </c>
      <c r="H593" s="26">
        <f t="shared" si="22"/>
        <v>0</v>
      </c>
    </row>
    <row r="594" spans="1:8" ht="31.5" hidden="1">
      <c r="A594" s="25" t="s">
        <v>289</v>
      </c>
      <c r="B594" s="38">
        <v>906</v>
      </c>
      <c r="C594" s="20" t="s">
        <v>281</v>
      </c>
      <c r="D594" s="20" t="s">
        <v>230</v>
      </c>
      <c r="E594" s="20" t="s">
        <v>1043</v>
      </c>
      <c r="F594" s="20" t="s">
        <v>290</v>
      </c>
      <c r="G594" s="26">
        <f>'Пр.6 ведом.20'!G594</f>
        <v>0</v>
      </c>
      <c r="H594" s="26">
        <f t="shared" si="22"/>
        <v>0</v>
      </c>
    </row>
    <row r="595" spans="1:8" ht="15.75" hidden="1">
      <c r="A595" s="25" t="s">
        <v>291</v>
      </c>
      <c r="B595" s="38">
        <v>906</v>
      </c>
      <c r="C595" s="20" t="s">
        <v>281</v>
      </c>
      <c r="D595" s="20" t="s">
        <v>230</v>
      </c>
      <c r="E595" s="20" t="s">
        <v>1043</v>
      </c>
      <c r="F595" s="20" t="s">
        <v>292</v>
      </c>
      <c r="G595" s="26">
        <f>'Пр.6 ведом.20'!G595</f>
        <v>0</v>
      </c>
      <c r="H595" s="26">
        <f t="shared" si="22"/>
        <v>0</v>
      </c>
    </row>
    <row r="596" spans="1:8" ht="31.5" hidden="1">
      <c r="A596" s="25" t="s">
        <v>297</v>
      </c>
      <c r="B596" s="38">
        <v>906</v>
      </c>
      <c r="C596" s="20" t="s">
        <v>281</v>
      </c>
      <c r="D596" s="20" t="s">
        <v>230</v>
      </c>
      <c r="E596" s="20" t="s">
        <v>1044</v>
      </c>
      <c r="F596" s="20"/>
      <c r="G596" s="26">
        <f>'Пр.6 ведом.20'!G596</f>
        <v>0</v>
      </c>
      <c r="H596" s="26">
        <f t="shared" si="22"/>
        <v>0</v>
      </c>
    </row>
    <row r="597" spans="1:8" ht="31.5" hidden="1">
      <c r="A597" s="25" t="s">
        <v>289</v>
      </c>
      <c r="B597" s="38">
        <v>906</v>
      </c>
      <c r="C597" s="20" t="s">
        <v>281</v>
      </c>
      <c r="D597" s="20" t="s">
        <v>230</v>
      </c>
      <c r="E597" s="20" t="s">
        <v>1044</v>
      </c>
      <c r="F597" s="20" t="s">
        <v>290</v>
      </c>
      <c r="G597" s="26">
        <f>'Пр.6 ведом.20'!G597</f>
        <v>0</v>
      </c>
      <c r="H597" s="26">
        <f t="shared" si="22"/>
        <v>0</v>
      </c>
    </row>
    <row r="598" spans="1:8" ht="15.75" hidden="1">
      <c r="A598" s="25" t="s">
        <v>291</v>
      </c>
      <c r="B598" s="38">
        <v>906</v>
      </c>
      <c r="C598" s="20" t="s">
        <v>281</v>
      </c>
      <c r="D598" s="20" t="s">
        <v>230</v>
      </c>
      <c r="E598" s="20" t="s">
        <v>1044</v>
      </c>
      <c r="F598" s="20" t="s">
        <v>292</v>
      </c>
      <c r="G598" s="26">
        <f>'Пр.6 ведом.20'!G598</f>
        <v>0</v>
      </c>
      <c r="H598" s="26">
        <f t="shared" si="22"/>
        <v>0</v>
      </c>
    </row>
    <row r="599" spans="1:8" ht="31.5">
      <c r="A599" s="25" t="s">
        <v>299</v>
      </c>
      <c r="B599" s="38">
        <v>906</v>
      </c>
      <c r="C599" s="20" t="s">
        <v>281</v>
      </c>
      <c r="D599" s="20" t="s">
        <v>230</v>
      </c>
      <c r="E599" s="20" t="s">
        <v>1045</v>
      </c>
      <c r="F599" s="20"/>
      <c r="G599" s="26">
        <f>'Пр.6 ведом.20'!G599</f>
        <v>224</v>
      </c>
      <c r="H599" s="26">
        <f t="shared" si="22"/>
        <v>224</v>
      </c>
    </row>
    <row r="600" spans="1:8" ht="31.5">
      <c r="A600" s="25" t="s">
        <v>289</v>
      </c>
      <c r="B600" s="38">
        <v>906</v>
      </c>
      <c r="C600" s="20" t="s">
        <v>281</v>
      </c>
      <c r="D600" s="20" t="s">
        <v>230</v>
      </c>
      <c r="E600" s="20" t="s">
        <v>1045</v>
      </c>
      <c r="F600" s="20" t="s">
        <v>290</v>
      </c>
      <c r="G600" s="26">
        <f>'Пр.6 ведом.20'!G600</f>
        <v>224</v>
      </c>
      <c r="H600" s="26">
        <f t="shared" si="22"/>
        <v>224</v>
      </c>
    </row>
    <row r="601" spans="1:8" ht="15.75">
      <c r="A601" s="25" t="s">
        <v>291</v>
      </c>
      <c r="B601" s="38">
        <v>906</v>
      </c>
      <c r="C601" s="20" t="s">
        <v>281</v>
      </c>
      <c r="D601" s="20" t="s">
        <v>230</v>
      </c>
      <c r="E601" s="20" t="s">
        <v>1045</v>
      </c>
      <c r="F601" s="20" t="s">
        <v>292</v>
      </c>
      <c r="G601" s="26">
        <f>'Пр.6 ведом.20'!G601</f>
        <v>224</v>
      </c>
      <c r="H601" s="26">
        <f t="shared" si="22"/>
        <v>224</v>
      </c>
    </row>
    <row r="602" spans="1:8" ht="31.5">
      <c r="A602" s="23" t="s">
        <v>1039</v>
      </c>
      <c r="B602" s="389">
        <v>906</v>
      </c>
      <c r="C602" s="24" t="s">
        <v>281</v>
      </c>
      <c r="D602" s="24" t="s">
        <v>230</v>
      </c>
      <c r="E602" s="24" t="s">
        <v>1040</v>
      </c>
      <c r="F602" s="24"/>
      <c r="G602" s="21">
        <f>G603+G606</f>
        <v>4582.6</v>
      </c>
      <c r="H602" s="21">
        <f>H603+H606</f>
        <v>4582.6</v>
      </c>
    </row>
    <row r="603" spans="1:8" ht="63">
      <c r="A603" s="307" t="s">
        <v>453</v>
      </c>
      <c r="B603" s="38">
        <v>906</v>
      </c>
      <c r="C603" s="20" t="s">
        <v>281</v>
      </c>
      <c r="D603" s="20" t="s">
        <v>230</v>
      </c>
      <c r="E603" s="20" t="s">
        <v>1046</v>
      </c>
      <c r="F603" s="20"/>
      <c r="G603" s="26">
        <f>'Пр.6 ведом.20'!G603</f>
        <v>2914.0000000000005</v>
      </c>
      <c r="H603" s="26">
        <f t="shared" si="22"/>
        <v>2914.0000000000005</v>
      </c>
    </row>
    <row r="604" spans="1:8" ht="31.5">
      <c r="A604" s="25" t="s">
        <v>289</v>
      </c>
      <c r="B604" s="38">
        <v>906</v>
      </c>
      <c r="C604" s="20" t="s">
        <v>281</v>
      </c>
      <c r="D604" s="20" t="s">
        <v>230</v>
      </c>
      <c r="E604" s="20" t="s">
        <v>1046</v>
      </c>
      <c r="F604" s="20" t="s">
        <v>290</v>
      </c>
      <c r="G604" s="26">
        <f>'Пр.6 ведом.20'!G604</f>
        <v>2914.0000000000005</v>
      </c>
      <c r="H604" s="26">
        <f t="shared" si="22"/>
        <v>2914.0000000000005</v>
      </c>
    </row>
    <row r="605" spans="1:8" ht="15.75">
      <c r="A605" s="25" t="s">
        <v>291</v>
      </c>
      <c r="B605" s="38">
        <v>906</v>
      </c>
      <c r="C605" s="20" t="s">
        <v>281</v>
      </c>
      <c r="D605" s="20" t="s">
        <v>230</v>
      </c>
      <c r="E605" s="20" t="s">
        <v>1046</v>
      </c>
      <c r="F605" s="20" t="s">
        <v>292</v>
      </c>
      <c r="G605" s="26">
        <f>'Пр.6 ведом.20'!G605</f>
        <v>2914.0000000000005</v>
      </c>
      <c r="H605" s="26">
        <f t="shared" si="22"/>
        <v>2914.0000000000005</v>
      </c>
    </row>
    <row r="606" spans="1:8" ht="31.5">
      <c r="A606" s="25" t="s">
        <v>473</v>
      </c>
      <c r="B606" s="38">
        <v>906</v>
      </c>
      <c r="C606" s="20" t="s">
        <v>281</v>
      </c>
      <c r="D606" s="20" t="s">
        <v>230</v>
      </c>
      <c r="E606" s="20" t="s">
        <v>1047</v>
      </c>
      <c r="F606" s="20"/>
      <c r="G606" s="26">
        <f>'Пр.6 ведом.20'!G606</f>
        <v>1668.6</v>
      </c>
      <c r="H606" s="26">
        <f t="shared" si="22"/>
        <v>1668.6</v>
      </c>
    </row>
    <row r="607" spans="1:8" ht="31.5">
      <c r="A607" s="25" t="s">
        <v>289</v>
      </c>
      <c r="B607" s="38">
        <v>906</v>
      </c>
      <c r="C607" s="20" t="s">
        <v>281</v>
      </c>
      <c r="D607" s="20" t="s">
        <v>230</v>
      </c>
      <c r="E607" s="20" t="s">
        <v>1047</v>
      </c>
      <c r="F607" s="20" t="s">
        <v>290</v>
      </c>
      <c r="G607" s="26">
        <f>'Пр.6 ведом.20'!G607</f>
        <v>1668.6</v>
      </c>
      <c r="H607" s="26">
        <f t="shared" si="22"/>
        <v>1668.6</v>
      </c>
    </row>
    <row r="608" spans="1:8" ht="15.75">
      <c r="A608" s="25" t="s">
        <v>291</v>
      </c>
      <c r="B608" s="38">
        <v>906</v>
      </c>
      <c r="C608" s="20" t="s">
        <v>281</v>
      </c>
      <c r="D608" s="20" t="s">
        <v>230</v>
      </c>
      <c r="E608" s="20" t="s">
        <v>1047</v>
      </c>
      <c r="F608" s="20" t="s">
        <v>292</v>
      </c>
      <c r="G608" s="26">
        <f>'Пр.6 ведом.20'!G608</f>
        <v>1668.6</v>
      </c>
      <c r="H608" s="26">
        <f t="shared" si="22"/>
        <v>1668.6</v>
      </c>
    </row>
    <row r="609" spans="1:8" ht="31.5">
      <c r="A609" s="23" t="s">
        <v>1041</v>
      </c>
      <c r="B609" s="389">
        <v>906</v>
      </c>
      <c r="C609" s="24" t="s">
        <v>281</v>
      </c>
      <c r="D609" s="24" t="s">
        <v>230</v>
      </c>
      <c r="E609" s="24" t="s">
        <v>1048</v>
      </c>
      <c r="F609" s="24"/>
      <c r="G609" s="45">
        <f>G610+G613</f>
        <v>912.7</v>
      </c>
      <c r="H609" s="45">
        <f>H610+H613</f>
        <v>912.7</v>
      </c>
    </row>
    <row r="610" spans="1:8" ht="47.25">
      <c r="A610" s="25" t="s">
        <v>455</v>
      </c>
      <c r="B610" s="38">
        <v>906</v>
      </c>
      <c r="C610" s="20" t="s">
        <v>281</v>
      </c>
      <c r="D610" s="20" t="s">
        <v>230</v>
      </c>
      <c r="E610" s="20" t="s">
        <v>1049</v>
      </c>
      <c r="F610" s="20"/>
      <c r="G610" s="26">
        <f>'Пр.6 ведом.20'!G610</f>
        <v>416</v>
      </c>
      <c r="H610" s="26">
        <f t="shared" si="22"/>
        <v>416</v>
      </c>
    </row>
    <row r="611" spans="1:8" ht="31.5">
      <c r="A611" s="25" t="s">
        <v>289</v>
      </c>
      <c r="B611" s="38">
        <v>906</v>
      </c>
      <c r="C611" s="20" t="s">
        <v>281</v>
      </c>
      <c r="D611" s="20" t="s">
        <v>230</v>
      </c>
      <c r="E611" s="20" t="s">
        <v>1049</v>
      </c>
      <c r="F611" s="20" t="s">
        <v>290</v>
      </c>
      <c r="G611" s="26">
        <f>'Пр.6 ведом.20'!G611</f>
        <v>416</v>
      </c>
      <c r="H611" s="26">
        <f t="shared" si="22"/>
        <v>416</v>
      </c>
    </row>
    <row r="612" spans="1:8" ht="15.75">
      <c r="A612" s="25" t="s">
        <v>291</v>
      </c>
      <c r="B612" s="38">
        <v>906</v>
      </c>
      <c r="C612" s="20" t="s">
        <v>281</v>
      </c>
      <c r="D612" s="20" t="s">
        <v>230</v>
      </c>
      <c r="E612" s="20" t="s">
        <v>1049</v>
      </c>
      <c r="F612" s="20" t="s">
        <v>292</v>
      </c>
      <c r="G612" s="26">
        <f>'Пр.6 ведом.20'!G612</f>
        <v>416</v>
      </c>
      <c r="H612" s="26">
        <f t="shared" si="22"/>
        <v>416</v>
      </c>
    </row>
    <row r="613" spans="1:8" ht="47.25">
      <c r="A613" s="25" t="s">
        <v>475</v>
      </c>
      <c r="B613" s="38">
        <v>906</v>
      </c>
      <c r="C613" s="20" t="s">
        <v>281</v>
      </c>
      <c r="D613" s="20" t="s">
        <v>230</v>
      </c>
      <c r="E613" s="20" t="s">
        <v>1050</v>
      </c>
      <c r="F613" s="20"/>
      <c r="G613" s="26">
        <f>'Пр.6 ведом.20'!G613</f>
        <v>496.7</v>
      </c>
      <c r="H613" s="26">
        <f t="shared" si="22"/>
        <v>496.7</v>
      </c>
    </row>
    <row r="614" spans="1:8" ht="31.5">
      <c r="A614" s="387" t="s">
        <v>289</v>
      </c>
      <c r="B614" s="16">
        <v>906</v>
      </c>
      <c r="C614" s="20" t="s">
        <v>281</v>
      </c>
      <c r="D614" s="20" t="s">
        <v>230</v>
      </c>
      <c r="E614" s="20" t="s">
        <v>1050</v>
      </c>
      <c r="F614" s="20" t="s">
        <v>290</v>
      </c>
      <c r="G614" s="26">
        <f>'Пр.6 ведом.20'!G614</f>
        <v>496.7</v>
      </c>
      <c r="H614" s="26">
        <f t="shared" si="22"/>
        <v>496.7</v>
      </c>
    </row>
    <row r="615" spans="1:8" ht="15.75">
      <c r="A615" s="25" t="s">
        <v>291</v>
      </c>
      <c r="B615" s="16">
        <v>906</v>
      </c>
      <c r="C615" s="20" t="s">
        <v>281</v>
      </c>
      <c r="D615" s="20" t="s">
        <v>230</v>
      </c>
      <c r="E615" s="20" t="s">
        <v>1050</v>
      </c>
      <c r="F615" s="20" t="s">
        <v>292</v>
      </c>
      <c r="G615" s="26">
        <f>'Пр.6 ведом.20'!G615</f>
        <v>496.7</v>
      </c>
      <c r="H615" s="26">
        <f t="shared" si="22"/>
        <v>496.7</v>
      </c>
    </row>
    <row r="616" spans="1:8" ht="31.5">
      <c r="A616" s="319" t="s">
        <v>1085</v>
      </c>
      <c r="B616" s="19">
        <v>906</v>
      </c>
      <c r="C616" s="24" t="s">
        <v>281</v>
      </c>
      <c r="D616" s="24" t="s">
        <v>230</v>
      </c>
      <c r="E616" s="24" t="s">
        <v>1051</v>
      </c>
      <c r="F616" s="24"/>
      <c r="G616" s="45">
        <f>G617+G620</f>
        <v>2634</v>
      </c>
      <c r="H616" s="45">
        <f>H617+H620</f>
        <v>2634</v>
      </c>
    </row>
    <row r="617" spans="1:8" ht="31.5">
      <c r="A617" s="25" t="s">
        <v>819</v>
      </c>
      <c r="B617" s="16">
        <v>906</v>
      </c>
      <c r="C617" s="20" t="s">
        <v>281</v>
      </c>
      <c r="D617" s="20" t="s">
        <v>230</v>
      </c>
      <c r="E617" s="20" t="s">
        <v>1053</v>
      </c>
      <c r="F617" s="20"/>
      <c r="G617" s="26">
        <f>'Пр.6 ведом.20'!G617</f>
        <v>0</v>
      </c>
      <c r="H617" s="26">
        <f t="shared" si="22"/>
        <v>0</v>
      </c>
    </row>
    <row r="618" spans="1:8" ht="31.5">
      <c r="A618" s="25" t="s">
        <v>289</v>
      </c>
      <c r="B618" s="16">
        <v>906</v>
      </c>
      <c r="C618" s="20" t="s">
        <v>281</v>
      </c>
      <c r="D618" s="20" t="s">
        <v>230</v>
      </c>
      <c r="E618" s="20" t="s">
        <v>1053</v>
      </c>
      <c r="F618" s="20" t="s">
        <v>290</v>
      </c>
      <c r="G618" s="26">
        <f>'Пр.6 ведом.20'!G618</f>
        <v>0</v>
      </c>
      <c r="H618" s="26">
        <f t="shared" si="22"/>
        <v>0</v>
      </c>
    </row>
    <row r="619" spans="1:8" ht="15.75">
      <c r="A619" s="25" t="s">
        <v>291</v>
      </c>
      <c r="B619" s="16">
        <v>906</v>
      </c>
      <c r="C619" s="20" t="s">
        <v>281</v>
      </c>
      <c r="D619" s="20" t="s">
        <v>230</v>
      </c>
      <c r="E619" s="20" t="s">
        <v>1053</v>
      </c>
      <c r="F619" s="20" t="s">
        <v>292</v>
      </c>
      <c r="G619" s="26">
        <f>'Пр.6 ведом.20'!G619</f>
        <v>0</v>
      </c>
      <c r="H619" s="26">
        <f t="shared" si="22"/>
        <v>0</v>
      </c>
    </row>
    <row r="620" spans="1:8" ht="31.5">
      <c r="A620" s="63" t="s">
        <v>789</v>
      </c>
      <c r="B620" s="16">
        <v>906</v>
      </c>
      <c r="C620" s="20" t="s">
        <v>281</v>
      </c>
      <c r="D620" s="20" t="s">
        <v>230</v>
      </c>
      <c r="E620" s="20" t="s">
        <v>1054</v>
      </c>
      <c r="F620" s="20"/>
      <c r="G620" s="26">
        <f>'Пр.6 ведом.20'!G620</f>
        <v>2634</v>
      </c>
      <c r="H620" s="26">
        <f t="shared" si="22"/>
        <v>2634</v>
      </c>
    </row>
    <row r="621" spans="1:8" ht="31.5">
      <c r="A621" s="30" t="s">
        <v>289</v>
      </c>
      <c r="B621" s="16">
        <v>906</v>
      </c>
      <c r="C621" s="20" t="s">
        <v>281</v>
      </c>
      <c r="D621" s="20" t="s">
        <v>230</v>
      </c>
      <c r="E621" s="20" t="s">
        <v>1054</v>
      </c>
      <c r="F621" s="20" t="s">
        <v>290</v>
      </c>
      <c r="G621" s="26">
        <f>'Пр.6 ведом.20'!G621</f>
        <v>2634</v>
      </c>
      <c r="H621" s="26">
        <f t="shared" si="22"/>
        <v>2634</v>
      </c>
    </row>
    <row r="622" spans="1:8" ht="15.75">
      <c r="A622" s="208" t="s">
        <v>291</v>
      </c>
      <c r="B622" s="16">
        <v>906</v>
      </c>
      <c r="C622" s="20" t="s">
        <v>281</v>
      </c>
      <c r="D622" s="20" t="s">
        <v>230</v>
      </c>
      <c r="E622" s="20" t="s">
        <v>1054</v>
      </c>
      <c r="F622" s="20" t="s">
        <v>292</v>
      </c>
      <c r="G622" s="26">
        <f>'Пр.6 ведом.20'!G622</f>
        <v>2634</v>
      </c>
      <c r="H622" s="26">
        <f t="shared" si="22"/>
        <v>2634</v>
      </c>
    </row>
    <row r="623" spans="1:8" ht="31.5">
      <c r="A623" s="317" t="s">
        <v>1056</v>
      </c>
      <c r="B623" s="19">
        <v>906</v>
      </c>
      <c r="C623" s="24" t="s">
        <v>281</v>
      </c>
      <c r="D623" s="24" t="s">
        <v>230</v>
      </c>
      <c r="E623" s="24" t="s">
        <v>1052</v>
      </c>
      <c r="F623" s="24"/>
      <c r="G623" s="21">
        <f>G624</f>
        <v>622</v>
      </c>
      <c r="H623" s="21">
        <f>H624</f>
        <v>622</v>
      </c>
    </row>
    <row r="624" spans="1:8" ht="47.25">
      <c r="A624" s="208" t="s">
        <v>878</v>
      </c>
      <c r="B624" s="16">
        <v>906</v>
      </c>
      <c r="C624" s="20" t="s">
        <v>281</v>
      </c>
      <c r="D624" s="20" t="s">
        <v>230</v>
      </c>
      <c r="E624" s="20" t="s">
        <v>1055</v>
      </c>
      <c r="F624" s="20"/>
      <c r="G624" s="26">
        <f>'Пр.6 ведом.20'!G624</f>
        <v>622</v>
      </c>
      <c r="H624" s="26">
        <f t="shared" si="22"/>
        <v>622</v>
      </c>
    </row>
    <row r="625" spans="1:8" ht="31.5">
      <c r="A625" s="32" t="s">
        <v>289</v>
      </c>
      <c r="B625" s="16">
        <v>906</v>
      </c>
      <c r="C625" s="20" t="s">
        <v>281</v>
      </c>
      <c r="D625" s="20" t="s">
        <v>230</v>
      </c>
      <c r="E625" s="20" t="s">
        <v>1055</v>
      </c>
      <c r="F625" s="20" t="s">
        <v>290</v>
      </c>
      <c r="G625" s="26">
        <f>'Пр.6 ведом.20'!G625</f>
        <v>622</v>
      </c>
      <c r="H625" s="26">
        <f t="shared" si="22"/>
        <v>622</v>
      </c>
    </row>
    <row r="626" spans="1:8" ht="15.75">
      <c r="A626" s="32" t="s">
        <v>291</v>
      </c>
      <c r="B626" s="16">
        <v>906</v>
      </c>
      <c r="C626" s="20" t="s">
        <v>281</v>
      </c>
      <c r="D626" s="20" t="s">
        <v>230</v>
      </c>
      <c r="E626" s="20" t="s">
        <v>1055</v>
      </c>
      <c r="F626" s="20" t="s">
        <v>292</v>
      </c>
      <c r="G626" s="26">
        <f>'Пр.6 ведом.20'!G626</f>
        <v>622</v>
      </c>
      <c r="H626" s="26">
        <f t="shared" si="22"/>
        <v>622</v>
      </c>
    </row>
    <row r="627" spans="1:8" ht="63" hidden="1">
      <c r="A627" s="35" t="s">
        <v>807</v>
      </c>
      <c r="B627" s="19">
        <v>906</v>
      </c>
      <c r="C627" s="24" t="s">
        <v>281</v>
      </c>
      <c r="D627" s="24" t="s">
        <v>230</v>
      </c>
      <c r="E627" s="24" t="s">
        <v>341</v>
      </c>
      <c r="F627" s="24"/>
      <c r="G627" s="21">
        <f>G628</f>
        <v>0</v>
      </c>
      <c r="H627" s="21">
        <f>H628</f>
        <v>0</v>
      </c>
    </row>
    <row r="628" spans="1:8" ht="63" hidden="1">
      <c r="A628" s="35" t="s">
        <v>1201</v>
      </c>
      <c r="B628" s="19">
        <v>906</v>
      </c>
      <c r="C628" s="24" t="s">
        <v>281</v>
      </c>
      <c r="D628" s="24" t="s">
        <v>230</v>
      </c>
      <c r="E628" s="24" t="s">
        <v>1033</v>
      </c>
      <c r="F628" s="24"/>
      <c r="G628" s="21">
        <f>G629</f>
        <v>0</v>
      </c>
      <c r="H628" s="21">
        <f>H629</f>
        <v>0</v>
      </c>
    </row>
    <row r="629" spans="1:8" ht="47.25" hidden="1">
      <c r="A629" s="32" t="s">
        <v>1291</v>
      </c>
      <c r="B629" s="16">
        <v>906</v>
      </c>
      <c r="C629" s="20" t="s">
        <v>281</v>
      </c>
      <c r="D629" s="20" t="s">
        <v>230</v>
      </c>
      <c r="E629" s="20" t="s">
        <v>1034</v>
      </c>
      <c r="F629" s="20"/>
      <c r="G629" s="26">
        <f>'Пр.6 ведом.20'!G629</f>
        <v>0</v>
      </c>
      <c r="H629" s="26">
        <f t="shared" si="22"/>
        <v>0</v>
      </c>
    </row>
    <row r="630" spans="1:8" ht="31.5" hidden="1">
      <c r="A630" s="32" t="s">
        <v>289</v>
      </c>
      <c r="B630" s="16">
        <v>906</v>
      </c>
      <c r="C630" s="20" t="s">
        <v>281</v>
      </c>
      <c r="D630" s="20" t="s">
        <v>230</v>
      </c>
      <c r="E630" s="20" t="s">
        <v>1034</v>
      </c>
      <c r="F630" s="20" t="s">
        <v>290</v>
      </c>
      <c r="G630" s="26">
        <f>'Пр.6 ведом.20'!G630</f>
        <v>0</v>
      </c>
      <c r="H630" s="26">
        <f t="shared" si="22"/>
        <v>0</v>
      </c>
    </row>
    <row r="631" spans="1:8" ht="15.75" hidden="1">
      <c r="A631" s="32" t="s">
        <v>291</v>
      </c>
      <c r="B631" s="16">
        <v>906</v>
      </c>
      <c r="C631" s="20" t="s">
        <v>281</v>
      </c>
      <c r="D631" s="20" t="s">
        <v>230</v>
      </c>
      <c r="E631" s="20" t="s">
        <v>1034</v>
      </c>
      <c r="F631" s="20" t="s">
        <v>292</v>
      </c>
      <c r="G631" s="26">
        <f>'Пр.6 ведом.20'!G631</f>
        <v>0</v>
      </c>
      <c r="H631" s="26">
        <f t="shared" si="22"/>
        <v>0</v>
      </c>
    </row>
    <row r="632" spans="1:8" ht="63">
      <c r="A632" s="42" t="s">
        <v>1188</v>
      </c>
      <c r="B632" s="19">
        <v>906</v>
      </c>
      <c r="C632" s="24" t="s">
        <v>281</v>
      </c>
      <c r="D632" s="24" t="s">
        <v>230</v>
      </c>
      <c r="E632" s="24" t="s">
        <v>730</v>
      </c>
      <c r="F632" s="324"/>
      <c r="G632" s="21">
        <f>G633</f>
        <v>723.3</v>
      </c>
      <c r="H632" s="21">
        <f>H633</f>
        <v>723.3</v>
      </c>
    </row>
    <row r="633" spans="1:8" ht="47.25">
      <c r="A633" s="42" t="s">
        <v>954</v>
      </c>
      <c r="B633" s="19">
        <v>906</v>
      </c>
      <c r="C633" s="24" t="s">
        <v>281</v>
      </c>
      <c r="D633" s="24" t="s">
        <v>230</v>
      </c>
      <c r="E633" s="24" t="s">
        <v>952</v>
      </c>
      <c r="F633" s="324"/>
      <c r="G633" s="21">
        <f>G634</f>
        <v>723.3</v>
      </c>
      <c r="H633" s="21">
        <f>H634</f>
        <v>723.3</v>
      </c>
    </row>
    <row r="634" spans="1:8" ht="47.25">
      <c r="A634" s="107" t="s">
        <v>805</v>
      </c>
      <c r="B634" s="16">
        <v>906</v>
      </c>
      <c r="C634" s="20" t="s">
        <v>281</v>
      </c>
      <c r="D634" s="20" t="s">
        <v>230</v>
      </c>
      <c r="E634" s="20" t="s">
        <v>1035</v>
      </c>
      <c r="F634" s="33"/>
      <c r="G634" s="26">
        <f>'Пр.6 ведом.20'!G634</f>
        <v>723.3</v>
      </c>
      <c r="H634" s="26">
        <f t="shared" si="22"/>
        <v>723.3</v>
      </c>
    </row>
    <row r="635" spans="1:8" ht="31.5">
      <c r="A635" s="30" t="s">
        <v>289</v>
      </c>
      <c r="B635" s="16">
        <v>906</v>
      </c>
      <c r="C635" s="20" t="s">
        <v>281</v>
      </c>
      <c r="D635" s="20" t="s">
        <v>230</v>
      </c>
      <c r="E635" s="20" t="s">
        <v>1035</v>
      </c>
      <c r="F635" s="33" t="s">
        <v>290</v>
      </c>
      <c r="G635" s="26">
        <f>'Пр.6 ведом.20'!G635</f>
        <v>723.3</v>
      </c>
      <c r="H635" s="26">
        <f t="shared" si="22"/>
        <v>723.3</v>
      </c>
    </row>
    <row r="636" spans="1:8" ht="15.75">
      <c r="A636" s="208" t="s">
        <v>291</v>
      </c>
      <c r="B636" s="16">
        <v>906</v>
      </c>
      <c r="C636" s="20" t="s">
        <v>281</v>
      </c>
      <c r="D636" s="20" t="s">
        <v>230</v>
      </c>
      <c r="E636" s="20" t="s">
        <v>1035</v>
      </c>
      <c r="F636" s="33" t="s">
        <v>292</v>
      </c>
      <c r="G636" s="26">
        <f>'Пр.6 ведом.20'!G636</f>
        <v>723.3</v>
      </c>
      <c r="H636" s="26">
        <f t="shared" si="22"/>
        <v>723.3</v>
      </c>
    </row>
    <row r="637" spans="1:8" ht="15.75">
      <c r="A637" s="23" t="s">
        <v>282</v>
      </c>
      <c r="B637" s="19">
        <v>906</v>
      </c>
      <c r="C637" s="24" t="s">
        <v>281</v>
      </c>
      <c r="D637" s="24" t="s">
        <v>232</v>
      </c>
      <c r="E637" s="24"/>
      <c r="F637" s="24"/>
      <c r="G637" s="45">
        <f>G638+G663</f>
        <v>35147.09999999999</v>
      </c>
      <c r="H637" s="45">
        <f>H638+H663</f>
        <v>35147.09999999999</v>
      </c>
    </row>
    <row r="638" spans="1:8" ht="47.25">
      <c r="A638" s="23" t="s">
        <v>443</v>
      </c>
      <c r="B638" s="19">
        <v>906</v>
      </c>
      <c r="C638" s="24" t="s">
        <v>281</v>
      </c>
      <c r="D638" s="24" t="s">
        <v>232</v>
      </c>
      <c r="E638" s="24" t="s">
        <v>423</v>
      </c>
      <c r="F638" s="24"/>
      <c r="G638" s="45">
        <f>G639+G654</f>
        <v>34846.399999999994</v>
      </c>
      <c r="H638" s="45">
        <f>H639+H654</f>
        <v>34846.399999999994</v>
      </c>
    </row>
    <row r="639" spans="1:8" ht="31.5">
      <c r="A639" s="23" t="s">
        <v>424</v>
      </c>
      <c r="B639" s="19">
        <v>906</v>
      </c>
      <c r="C639" s="24" t="s">
        <v>281</v>
      </c>
      <c r="D639" s="24" t="s">
        <v>232</v>
      </c>
      <c r="E639" s="24" t="s">
        <v>425</v>
      </c>
      <c r="F639" s="24"/>
      <c r="G639" s="45">
        <f>G641+G644</f>
        <v>34157.399999999994</v>
      </c>
      <c r="H639" s="45">
        <f>H641+H644</f>
        <v>34157.399999999994</v>
      </c>
    </row>
    <row r="640" spans="1:8" ht="31.5">
      <c r="A640" s="23" t="s">
        <v>1036</v>
      </c>
      <c r="B640" s="19">
        <v>906</v>
      </c>
      <c r="C640" s="24" t="s">
        <v>281</v>
      </c>
      <c r="D640" s="24" t="s">
        <v>232</v>
      </c>
      <c r="E640" s="24" t="s">
        <v>1014</v>
      </c>
      <c r="F640" s="24"/>
      <c r="G640" s="45">
        <f>G641</f>
        <v>32614.999999999996</v>
      </c>
      <c r="H640" s="45">
        <f>H641</f>
        <v>32614.999999999996</v>
      </c>
    </row>
    <row r="641" spans="1:8" ht="47.25">
      <c r="A641" s="25" t="s">
        <v>287</v>
      </c>
      <c r="B641" s="16">
        <v>906</v>
      </c>
      <c r="C641" s="20" t="s">
        <v>281</v>
      </c>
      <c r="D641" s="20" t="s">
        <v>232</v>
      </c>
      <c r="E641" s="20" t="s">
        <v>1059</v>
      </c>
      <c r="F641" s="20"/>
      <c r="G641" s="26">
        <f>'Пр.6 ведом.20'!G641</f>
        <v>32614.999999999996</v>
      </c>
      <c r="H641" s="26">
        <f t="shared" si="22"/>
        <v>32614.999999999996</v>
      </c>
    </row>
    <row r="642" spans="1:8" ht="31.5">
      <c r="A642" s="25" t="s">
        <v>289</v>
      </c>
      <c r="B642" s="16">
        <v>906</v>
      </c>
      <c r="C642" s="20" t="s">
        <v>281</v>
      </c>
      <c r="D642" s="20" t="s">
        <v>232</v>
      </c>
      <c r="E642" s="20" t="s">
        <v>1059</v>
      </c>
      <c r="F642" s="20" t="s">
        <v>290</v>
      </c>
      <c r="G642" s="26">
        <f>'Пр.6 ведом.20'!G642</f>
        <v>32614.999999999996</v>
      </c>
      <c r="H642" s="26">
        <f t="shared" si="22"/>
        <v>32614.999999999996</v>
      </c>
    </row>
    <row r="643" spans="1:8" ht="15.75">
      <c r="A643" s="25" t="s">
        <v>291</v>
      </c>
      <c r="B643" s="16">
        <v>906</v>
      </c>
      <c r="C643" s="20" t="s">
        <v>281</v>
      </c>
      <c r="D643" s="20" t="s">
        <v>232</v>
      </c>
      <c r="E643" s="20" t="s">
        <v>1059</v>
      </c>
      <c r="F643" s="20" t="s">
        <v>292</v>
      </c>
      <c r="G643" s="26">
        <f>'Пр.6 ведом.20'!G643</f>
        <v>32614.999999999996</v>
      </c>
      <c r="H643" s="26">
        <f t="shared" si="22"/>
        <v>32614.999999999996</v>
      </c>
    </row>
    <row r="644" spans="1:8" ht="47.25">
      <c r="A644" s="23" t="s">
        <v>976</v>
      </c>
      <c r="B644" s="19">
        <v>906</v>
      </c>
      <c r="C644" s="24" t="s">
        <v>281</v>
      </c>
      <c r="D644" s="24" t="s">
        <v>232</v>
      </c>
      <c r="E644" s="24" t="s">
        <v>1029</v>
      </c>
      <c r="F644" s="24"/>
      <c r="G644" s="45">
        <f>G645+G648+G651</f>
        <v>1542.4</v>
      </c>
      <c r="H644" s="45">
        <f>H645+H648+H651</f>
        <v>1542.4</v>
      </c>
    </row>
    <row r="645" spans="1:8" ht="63">
      <c r="A645" s="32" t="s">
        <v>306</v>
      </c>
      <c r="B645" s="16">
        <v>906</v>
      </c>
      <c r="C645" s="20" t="s">
        <v>281</v>
      </c>
      <c r="D645" s="20" t="s">
        <v>232</v>
      </c>
      <c r="E645" s="20" t="s">
        <v>1028</v>
      </c>
      <c r="F645" s="20"/>
      <c r="G645" s="26">
        <f>'Пр.6 ведом.20'!G645</f>
        <v>110</v>
      </c>
      <c r="H645" s="26">
        <f t="shared" si="22"/>
        <v>110</v>
      </c>
    </row>
    <row r="646" spans="1:8" ht="31.5">
      <c r="A646" s="25" t="s">
        <v>289</v>
      </c>
      <c r="B646" s="16">
        <v>906</v>
      </c>
      <c r="C646" s="20" t="s">
        <v>281</v>
      </c>
      <c r="D646" s="20" t="s">
        <v>232</v>
      </c>
      <c r="E646" s="20" t="s">
        <v>1028</v>
      </c>
      <c r="F646" s="20" t="s">
        <v>290</v>
      </c>
      <c r="G646" s="26">
        <f>'Пр.6 ведом.20'!G646</f>
        <v>110</v>
      </c>
      <c r="H646" s="26">
        <f t="shared" si="22"/>
        <v>110</v>
      </c>
    </row>
    <row r="647" spans="1:8" ht="15.75">
      <c r="A647" s="25" t="s">
        <v>291</v>
      </c>
      <c r="B647" s="16">
        <v>906</v>
      </c>
      <c r="C647" s="20" t="s">
        <v>281</v>
      </c>
      <c r="D647" s="20" t="s">
        <v>232</v>
      </c>
      <c r="E647" s="20" t="s">
        <v>1028</v>
      </c>
      <c r="F647" s="20" t="s">
        <v>292</v>
      </c>
      <c r="G647" s="26">
        <f>'Пр.6 ведом.20'!G647</f>
        <v>110</v>
      </c>
      <c r="H647" s="26">
        <f t="shared" si="22"/>
        <v>110</v>
      </c>
    </row>
    <row r="648" spans="1:8" ht="63">
      <c r="A648" s="32" t="s">
        <v>308</v>
      </c>
      <c r="B648" s="16">
        <v>906</v>
      </c>
      <c r="C648" s="20" t="s">
        <v>281</v>
      </c>
      <c r="D648" s="20" t="s">
        <v>232</v>
      </c>
      <c r="E648" s="20" t="s">
        <v>1031</v>
      </c>
      <c r="F648" s="20"/>
      <c r="G648" s="26">
        <f>'Пр.6 ведом.20'!G648</f>
        <v>592.1</v>
      </c>
      <c r="H648" s="26">
        <f t="shared" si="22"/>
        <v>592.1</v>
      </c>
    </row>
    <row r="649" spans="1:8" ht="31.5">
      <c r="A649" s="25" t="s">
        <v>289</v>
      </c>
      <c r="B649" s="16">
        <v>906</v>
      </c>
      <c r="C649" s="20" t="s">
        <v>281</v>
      </c>
      <c r="D649" s="20" t="s">
        <v>232</v>
      </c>
      <c r="E649" s="20" t="s">
        <v>1031</v>
      </c>
      <c r="F649" s="20" t="s">
        <v>290</v>
      </c>
      <c r="G649" s="26">
        <f>'Пр.6 ведом.20'!G649</f>
        <v>592.1</v>
      </c>
      <c r="H649" s="26">
        <f t="shared" si="22"/>
        <v>592.1</v>
      </c>
    </row>
    <row r="650" spans="1:8" ht="15.75">
      <c r="A650" s="25" t="s">
        <v>291</v>
      </c>
      <c r="B650" s="16">
        <v>906</v>
      </c>
      <c r="C650" s="20" t="s">
        <v>281</v>
      </c>
      <c r="D650" s="20" t="s">
        <v>232</v>
      </c>
      <c r="E650" s="20" t="s">
        <v>1031</v>
      </c>
      <c r="F650" s="20" t="s">
        <v>292</v>
      </c>
      <c r="G650" s="26">
        <f>'Пр.6 ведом.20'!G650</f>
        <v>592.1</v>
      </c>
      <c r="H650" s="26">
        <f t="shared" si="22"/>
        <v>592.1</v>
      </c>
    </row>
    <row r="651" spans="1:8" ht="94.5">
      <c r="A651" s="32" t="s">
        <v>310</v>
      </c>
      <c r="B651" s="16">
        <v>906</v>
      </c>
      <c r="C651" s="20" t="s">
        <v>281</v>
      </c>
      <c r="D651" s="20" t="s">
        <v>232</v>
      </c>
      <c r="E651" s="20" t="s">
        <v>1032</v>
      </c>
      <c r="F651" s="20"/>
      <c r="G651" s="26">
        <f>'Пр.6 ведом.20'!G651</f>
        <v>840.3</v>
      </c>
      <c r="H651" s="26">
        <f t="shared" si="22"/>
        <v>840.3</v>
      </c>
    </row>
    <row r="652" spans="1:8" ht="31.5">
      <c r="A652" s="25" t="s">
        <v>289</v>
      </c>
      <c r="B652" s="16">
        <v>906</v>
      </c>
      <c r="C652" s="20" t="s">
        <v>281</v>
      </c>
      <c r="D652" s="20" t="s">
        <v>232</v>
      </c>
      <c r="E652" s="20" t="s">
        <v>1032</v>
      </c>
      <c r="F652" s="20" t="s">
        <v>290</v>
      </c>
      <c r="G652" s="26">
        <f>'Пр.6 ведом.20'!G652</f>
        <v>840.3</v>
      </c>
      <c r="H652" s="26">
        <f aca="true" t="shared" si="23" ref="H652:H722">G652</f>
        <v>840.3</v>
      </c>
    </row>
    <row r="653" spans="1:8" ht="15.75">
      <c r="A653" s="25" t="s">
        <v>291</v>
      </c>
      <c r="B653" s="16">
        <v>906</v>
      </c>
      <c r="C653" s="20" t="s">
        <v>281</v>
      </c>
      <c r="D653" s="20" t="s">
        <v>232</v>
      </c>
      <c r="E653" s="20" t="s">
        <v>1032</v>
      </c>
      <c r="F653" s="20" t="s">
        <v>292</v>
      </c>
      <c r="G653" s="26">
        <f>'Пр.6 ведом.20'!G653</f>
        <v>840.3</v>
      </c>
      <c r="H653" s="26">
        <f t="shared" si="23"/>
        <v>840.3</v>
      </c>
    </row>
    <row r="654" spans="1:8" ht="31.5">
      <c r="A654" s="35" t="s">
        <v>723</v>
      </c>
      <c r="B654" s="19">
        <v>906</v>
      </c>
      <c r="C654" s="24" t="s">
        <v>281</v>
      </c>
      <c r="D654" s="24" t="s">
        <v>232</v>
      </c>
      <c r="E654" s="24" t="s">
        <v>464</v>
      </c>
      <c r="F654" s="24"/>
      <c r="G654" s="45">
        <f>G655+G659</f>
        <v>689</v>
      </c>
      <c r="H654" s="45">
        <f>H655+H659</f>
        <v>689</v>
      </c>
    </row>
    <row r="655" spans="1:8" ht="31.5" hidden="1">
      <c r="A655" s="23" t="s">
        <v>1060</v>
      </c>
      <c r="B655" s="19">
        <v>906</v>
      </c>
      <c r="C655" s="24" t="s">
        <v>281</v>
      </c>
      <c r="D655" s="24" t="s">
        <v>232</v>
      </c>
      <c r="E655" s="24" t="s">
        <v>1250</v>
      </c>
      <c r="F655" s="24"/>
      <c r="G655" s="45">
        <f>G656</f>
        <v>0</v>
      </c>
      <c r="H655" s="45">
        <f>H656</f>
        <v>0</v>
      </c>
    </row>
    <row r="656" spans="1:8" ht="31.5" hidden="1">
      <c r="A656" s="46" t="s">
        <v>791</v>
      </c>
      <c r="B656" s="16">
        <v>906</v>
      </c>
      <c r="C656" s="20" t="s">
        <v>281</v>
      </c>
      <c r="D656" s="20" t="s">
        <v>232</v>
      </c>
      <c r="E656" s="20" t="s">
        <v>1251</v>
      </c>
      <c r="F656" s="20"/>
      <c r="G656" s="26">
        <f>'Пр.6 ведом.20'!G656</f>
        <v>0</v>
      </c>
      <c r="H656" s="26">
        <f t="shared" si="23"/>
        <v>0</v>
      </c>
    </row>
    <row r="657" spans="1:8" ht="31.5" hidden="1">
      <c r="A657" s="32" t="s">
        <v>289</v>
      </c>
      <c r="B657" s="16">
        <v>906</v>
      </c>
      <c r="C657" s="20" t="s">
        <v>281</v>
      </c>
      <c r="D657" s="20" t="s">
        <v>232</v>
      </c>
      <c r="E657" s="20" t="s">
        <v>1251</v>
      </c>
      <c r="F657" s="20" t="s">
        <v>290</v>
      </c>
      <c r="G657" s="26">
        <f>'Пр.6 ведом.20'!G657</f>
        <v>0</v>
      </c>
      <c r="H657" s="26">
        <f t="shared" si="23"/>
        <v>0</v>
      </c>
    </row>
    <row r="658" spans="1:8" ht="15.75" hidden="1">
      <c r="A658" s="32" t="s">
        <v>291</v>
      </c>
      <c r="B658" s="16">
        <v>906</v>
      </c>
      <c r="C658" s="20" t="s">
        <v>281</v>
      </c>
      <c r="D658" s="20" t="s">
        <v>232</v>
      </c>
      <c r="E658" s="20" t="s">
        <v>1251</v>
      </c>
      <c r="F658" s="20" t="s">
        <v>292</v>
      </c>
      <c r="G658" s="26">
        <f>'Пр.6 ведом.20'!G658</f>
        <v>0</v>
      </c>
      <c r="H658" s="26">
        <f t="shared" si="23"/>
        <v>0</v>
      </c>
    </row>
    <row r="659" spans="1:8" ht="31.5">
      <c r="A659" s="319" t="s">
        <v>1085</v>
      </c>
      <c r="B659" s="19">
        <v>906</v>
      </c>
      <c r="C659" s="24" t="s">
        <v>281</v>
      </c>
      <c r="D659" s="24" t="s">
        <v>232</v>
      </c>
      <c r="E659" s="24" t="s">
        <v>1061</v>
      </c>
      <c r="F659" s="24"/>
      <c r="G659" s="45">
        <f>G660</f>
        <v>689</v>
      </c>
      <c r="H659" s="45">
        <f>H660</f>
        <v>689</v>
      </c>
    </row>
    <row r="660" spans="1:8" ht="31.5">
      <c r="A660" s="46" t="s">
        <v>789</v>
      </c>
      <c r="B660" s="16">
        <v>906</v>
      </c>
      <c r="C660" s="20" t="s">
        <v>281</v>
      </c>
      <c r="D660" s="20" t="s">
        <v>232</v>
      </c>
      <c r="E660" s="20" t="s">
        <v>1062</v>
      </c>
      <c r="F660" s="20"/>
      <c r="G660" s="26">
        <f>'Пр.6 ведом.20'!G660</f>
        <v>689</v>
      </c>
      <c r="H660" s="26">
        <f t="shared" si="23"/>
        <v>689</v>
      </c>
    </row>
    <row r="661" spans="1:8" ht="31.5">
      <c r="A661" s="25" t="s">
        <v>289</v>
      </c>
      <c r="B661" s="16">
        <v>906</v>
      </c>
      <c r="C661" s="20" t="s">
        <v>281</v>
      </c>
      <c r="D661" s="20" t="s">
        <v>232</v>
      </c>
      <c r="E661" s="20" t="s">
        <v>1062</v>
      </c>
      <c r="F661" s="20" t="s">
        <v>290</v>
      </c>
      <c r="G661" s="26">
        <f>'Пр.6 ведом.20'!G661</f>
        <v>689</v>
      </c>
      <c r="H661" s="26">
        <f t="shared" si="23"/>
        <v>689</v>
      </c>
    </row>
    <row r="662" spans="1:8" ht="15.75">
      <c r="A662" s="32" t="s">
        <v>291</v>
      </c>
      <c r="B662" s="16">
        <v>906</v>
      </c>
      <c r="C662" s="20" t="s">
        <v>281</v>
      </c>
      <c r="D662" s="20" t="s">
        <v>232</v>
      </c>
      <c r="E662" s="20" t="s">
        <v>1062</v>
      </c>
      <c r="F662" s="20" t="s">
        <v>292</v>
      </c>
      <c r="G662" s="26">
        <f>'Пр.6 ведом.20'!G662</f>
        <v>689</v>
      </c>
      <c r="H662" s="26">
        <f t="shared" si="23"/>
        <v>689</v>
      </c>
    </row>
    <row r="663" spans="1:8" ht="63">
      <c r="A663" s="42" t="s">
        <v>1188</v>
      </c>
      <c r="B663" s="19">
        <v>906</v>
      </c>
      <c r="C663" s="24" t="s">
        <v>281</v>
      </c>
      <c r="D663" s="24" t="s">
        <v>232</v>
      </c>
      <c r="E663" s="24" t="s">
        <v>730</v>
      </c>
      <c r="F663" s="324"/>
      <c r="G663" s="45">
        <f>G665</f>
        <v>300.7</v>
      </c>
      <c r="H663" s="45">
        <f>H665</f>
        <v>300.7</v>
      </c>
    </row>
    <row r="664" spans="1:8" ht="47.25">
      <c r="A664" s="42" t="s">
        <v>954</v>
      </c>
      <c r="B664" s="19">
        <v>906</v>
      </c>
      <c r="C664" s="24" t="s">
        <v>281</v>
      </c>
      <c r="D664" s="24" t="s">
        <v>1063</v>
      </c>
      <c r="E664" s="24" t="s">
        <v>952</v>
      </c>
      <c r="F664" s="324"/>
      <c r="G664" s="45">
        <f>G665</f>
        <v>300.7</v>
      </c>
      <c r="H664" s="45">
        <f>H665</f>
        <v>300.7</v>
      </c>
    </row>
    <row r="665" spans="1:8" ht="47.25">
      <c r="A665" s="107" t="s">
        <v>805</v>
      </c>
      <c r="B665" s="16">
        <v>906</v>
      </c>
      <c r="C665" s="20" t="s">
        <v>281</v>
      </c>
      <c r="D665" s="20" t="s">
        <v>232</v>
      </c>
      <c r="E665" s="20" t="s">
        <v>1035</v>
      </c>
      <c r="F665" s="33"/>
      <c r="G665" s="26">
        <f>'Пр.6 ведом.20'!G665</f>
        <v>300.7</v>
      </c>
      <c r="H665" s="26">
        <f t="shared" si="23"/>
        <v>300.7</v>
      </c>
    </row>
    <row r="666" spans="1:8" ht="31.5">
      <c r="A666" s="30" t="s">
        <v>289</v>
      </c>
      <c r="B666" s="16">
        <v>906</v>
      </c>
      <c r="C666" s="20" t="s">
        <v>281</v>
      </c>
      <c r="D666" s="20" t="s">
        <v>232</v>
      </c>
      <c r="E666" s="20" t="s">
        <v>1035</v>
      </c>
      <c r="F666" s="33" t="s">
        <v>290</v>
      </c>
      <c r="G666" s="26">
        <f>'Пр.6 ведом.20'!G666</f>
        <v>300.7</v>
      </c>
      <c r="H666" s="26">
        <f t="shared" si="23"/>
        <v>300.7</v>
      </c>
    </row>
    <row r="667" spans="1:8" ht="15.75">
      <c r="A667" s="208" t="s">
        <v>291</v>
      </c>
      <c r="B667" s="16">
        <v>906</v>
      </c>
      <c r="C667" s="20" t="s">
        <v>281</v>
      </c>
      <c r="D667" s="20" t="s">
        <v>232</v>
      </c>
      <c r="E667" s="20" t="s">
        <v>1035</v>
      </c>
      <c r="F667" s="33" t="s">
        <v>292</v>
      </c>
      <c r="G667" s="26">
        <f>'Пр.6 ведом.20'!G667</f>
        <v>300.7</v>
      </c>
      <c r="H667" s="26">
        <f t="shared" si="23"/>
        <v>300.7</v>
      </c>
    </row>
    <row r="668" spans="1:8" ht="15.75">
      <c r="A668" s="23" t="s">
        <v>483</v>
      </c>
      <c r="B668" s="19">
        <v>906</v>
      </c>
      <c r="C668" s="24" t="s">
        <v>281</v>
      </c>
      <c r="D668" s="24" t="s">
        <v>281</v>
      </c>
      <c r="E668" s="24"/>
      <c r="F668" s="24"/>
      <c r="G668" s="21">
        <f>G669</f>
        <v>6836.3</v>
      </c>
      <c r="H668" s="21">
        <f>H669</f>
        <v>6836.3</v>
      </c>
    </row>
    <row r="669" spans="1:8" ht="47.25">
      <c r="A669" s="23" t="s">
        <v>443</v>
      </c>
      <c r="B669" s="19">
        <v>906</v>
      </c>
      <c r="C669" s="24" t="s">
        <v>281</v>
      </c>
      <c r="D669" s="24" t="s">
        <v>281</v>
      </c>
      <c r="E669" s="24" t="s">
        <v>423</v>
      </c>
      <c r="F669" s="24"/>
      <c r="G669" s="21">
        <f aca="true" t="shared" si="24" ref="G669:H669">G670</f>
        <v>6836.3</v>
      </c>
      <c r="H669" s="21">
        <f t="shared" si="24"/>
        <v>6836.3</v>
      </c>
    </row>
    <row r="670" spans="1:8" ht="31.5">
      <c r="A670" s="23" t="s">
        <v>484</v>
      </c>
      <c r="B670" s="19">
        <v>906</v>
      </c>
      <c r="C670" s="24" t="s">
        <v>281</v>
      </c>
      <c r="D670" s="24" t="s">
        <v>485</v>
      </c>
      <c r="E670" s="24" t="s">
        <v>486</v>
      </c>
      <c r="F670" s="24"/>
      <c r="G670" s="21">
        <f>G671</f>
        <v>6836.3</v>
      </c>
      <c r="H670" s="21">
        <f>H671</f>
        <v>6836.3</v>
      </c>
    </row>
    <row r="671" spans="1:8" ht="31.5">
      <c r="A671" s="23" t="s">
        <v>1064</v>
      </c>
      <c r="B671" s="19">
        <v>906</v>
      </c>
      <c r="C671" s="24" t="s">
        <v>281</v>
      </c>
      <c r="D671" s="24" t="s">
        <v>281</v>
      </c>
      <c r="E671" s="24" t="s">
        <v>1065</v>
      </c>
      <c r="F671" s="24"/>
      <c r="G671" s="21">
        <f>G672+G675</f>
        <v>6836.3</v>
      </c>
      <c r="H671" s="21">
        <f>H672+H675</f>
        <v>6836.3</v>
      </c>
    </row>
    <row r="672" spans="1:8" ht="31.5">
      <c r="A672" s="32" t="s">
        <v>1252</v>
      </c>
      <c r="B672" s="16">
        <v>906</v>
      </c>
      <c r="C672" s="20" t="s">
        <v>281</v>
      </c>
      <c r="D672" s="20" t="s">
        <v>281</v>
      </c>
      <c r="E672" s="20" t="s">
        <v>1066</v>
      </c>
      <c r="F672" s="20"/>
      <c r="G672" s="26">
        <f>'Пр.6 ведом.20'!G672</f>
        <v>3584</v>
      </c>
      <c r="H672" s="26">
        <f t="shared" si="23"/>
        <v>3584</v>
      </c>
    </row>
    <row r="673" spans="1:8" ht="31.5">
      <c r="A673" s="25" t="s">
        <v>289</v>
      </c>
      <c r="B673" s="16">
        <v>906</v>
      </c>
      <c r="C673" s="20" t="s">
        <v>281</v>
      </c>
      <c r="D673" s="20" t="s">
        <v>281</v>
      </c>
      <c r="E673" s="20" t="s">
        <v>1066</v>
      </c>
      <c r="F673" s="20" t="s">
        <v>290</v>
      </c>
      <c r="G673" s="26">
        <f>'Пр.6 ведом.20'!G673</f>
        <v>3584</v>
      </c>
      <c r="H673" s="26">
        <f t="shared" si="23"/>
        <v>3584</v>
      </c>
    </row>
    <row r="674" spans="1:8" ht="15.75">
      <c r="A674" s="25" t="s">
        <v>291</v>
      </c>
      <c r="B674" s="16">
        <v>906</v>
      </c>
      <c r="C674" s="20" t="s">
        <v>281</v>
      </c>
      <c r="D674" s="20" t="s">
        <v>281</v>
      </c>
      <c r="E674" s="20" t="s">
        <v>1066</v>
      </c>
      <c r="F674" s="20" t="s">
        <v>292</v>
      </c>
      <c r="G674" s="26">
        <f>'Пр.6 ведом.20'!G674</f>
        <v>3584</v>
      </c>
      <c r="H674" s="26">
        <f t="shared" si="23"/>
        <v>3584</v>
      </c>
    </row>
    <row r="675" spans="1:8" ht="31.5">
      <c r="A675" s="32" t="s">
        <v>491</v>
      </c>
      <c r="B675" s="16">
        <v>906</v>
      </c>
      <c r="C675" s="20" t="s">
        <v>281</v>
      </c>
      <c r="D675" s="20" t="s">
        <v>281</v>
      </c>
      <c r="E675" s="20" t="s">
        <v>1067</v>
      </c>
      <c r="F675" s="20"/>
      <c r="G675" s="26">
        <f>'Пр.6 ведом.20'!G675</f>
        <v>3252.3</v>
      </c>
      <c r="H675" s="26">
        <f t="shared" si="23"/>
        <v>3252.3</v>
      </c>
    </row>
    <row r="676" spans="1:8" ht="31.5">
      <c r="A676" s="25" t="s">
        <v>289</v>
      </c>
      <c r="B676" s="16">
        <v>906</v>
      </c>
      <c r="C676" s="20" t="s">
        <v>281</v>
      </c>
      <c r="D676" s="20" t="s">
        <v>281</v>
      </c>
      <c r="E676" s="20" t="s">
        <v>1067</v>
      </c>
      <c r="F676" s="20" t="s">
        <v>290</v>
      </c>
      <c r="G676" s="26">
        <f>'Пр.6 ведом.20'!G676</f>
        <v>3252.3</v>
      </c>
      <c r="H676" s="26">
        <f t="shared" si="23"/>
        <v>3252.3</v>
      </c>
    </row>
    <row r="677" spans="1:8" ht="15.75">
      <c r="A677" s="25" t="s">
        <v>291</v>
      </c>
      <c r="B677" s="16">
        <v>906</v>
      </c>
      <c r="C677" s="20" t="s">
        <v>281</v>
      </c>
      <c r="D677" s="20" t="s">
        <v>281</v>
      </c>
      <c r="E677" s="20" t="s">
        <v>1067</v>
      </c>
      <c r="F677" s="20" t="s">
        <v>292</v>
      </c>
      <c r="G677" s="26">
        <f>'Пр.6 ведом.20'!G677</f>
        <v>3252.3</v>
      </c>
      <c r="H677" s="26">
        <f t="shared" si="23"/>
        <v>3252.3</v>
      </c>
    </row>
    <row r="678" spans="1:8" ht="15.75">
      <c r="A678" s="23" t="s">
        <v>312</v>
      </c>
      <c r="B678" s="19">
        <v>906</v>
      </c>
      <c r="C678" s="24" t="s">
        <v>281</v>
      </c>
      <c r="D678" s="24" t="s">
        <v>236</v>
      </c>
      <c r="E678" s="24"/>
      <c r="F678" s="24"/>
      <c r="G678" s="21">
        <f>G679+G689</f>
        <v>20468.931</v>
      </c>
      <c r="H678" s="21">
        <f>H679+H689</f>
        <v>20468.931</v>
      </c>
    </row>
    <row r="679" spans="1:8" ht="31.5">
      <c r="A679" s="23" t="s">
        <v>995</v>
      </c>
      <c r="B679" s="19">
        <v>906</v>
      </c>
      <c r="C679" s="24" t="s">
        <v>281</v>
      </c>
      <c r="D679" s="24" t="s">
        <v>236</v>
      </c>
      <c r="E679" s="24" t="s">
        <v>909</v>
      </c>
      <c r="F679" s="24"/>
      <c r="G679" s="21">
        <f>G680</f>
        <v>5806.718</v>
      </c>
      <c r="H679" s="21">
        <f>H680</f>
        <v>5806.718</v>
      </c>
    </row>
    <row r="680" spans="1:8" ht="15.75">
      <c r="A680" s="23" t="s">
        <v>996</v>
      </c>
      <c r="B680" s="19">
        <v>906</v>
      </c>
      <c r="C680" s="24" t="s">
        <v>281</v>
      </c>
      <c r="D680" s="24" t="s">
        <v>236</v>
      </c>
      <c r="E680" s="24" t="s">
        <v>910</v>
      </c>
      <c r="F680" s="24"/>
      <c r="G680" s="21">
        <f>G681+G686</f>
        <v>5806.718</v>
      </c>
      <c r="H680" s="21">
        <f>H681+H686</f>
        <v>5806.718</v>
      </c>
    </row>
    <row r="681" spans="1:8" ht="31.5">
      <c r="A681" s="25" t="s">
        <v>972</v>
      </c>
      <c r="B681" s="16">
        <v>906</v>
      </c>
      <c r="C681" s="20" t="s">
        <v>281</v>
      </c>
      <c r="D681" s="20" t="s">
        <v>236</v>
      </c>
      <c r="E681" s="20" t="s">
        <v>911</v>
      </c>
      <c r="F681" s="20"/>
      <c r="G681" s="26">
        <f>'Пр.6 ведом.20'!G681</f>
        <v>5706.718</v>
      </c>
      <c r="H681" s="26">
        <f t="shared" si="23"/>
        <v>5706.718</v>
      </c>
    </row>
    <row r="682" spans="1:8" ht="78.75">
      <c r="A682" s="25" t="s">
        <v>144</v>
      </c>
      <c r="B682" s="16">
        <v>906</v>
      </c>
      <c r="C682" s="20" t="s">
        <v>281</v>
      </c>
      <c r="D682" s="20" t="s">
        <v>236</v>
      </c>
      <c r="E682" s="20" t="s">
        <v>911</v>
      </c>
      <c r="F682" s="20" t="s">
        <v>145</v>
      </c>
      <c r="G682" s="26">
        <f>'Пр.6 ведом.20'!G682</f>
        <v>5450.718</v>
      </c>
      <c r="H682" s="26">
        <f t="shared" si="23"/>
        <v>5450.718</v>
      </c>
    </row>
    <row r="683" spans="1:8" ht="31.5">
      <c r="A683" s="25" t="s">
        <v>146</v>
      </c>
      <c r="B683" s="16">
        <v>906</v>
      </c>
      <c r="C683" s="20" t="s">
        <v>281</v>
      </c>
      <c r="D683" s="20" t="s">
        <v>236</v>
      </c>
      <c r="E683" s="20" t="s">
        <v>911</v>
      </c>
      <c r="F683" s="20" t="s">
        <v>147</v>
      </c>
      <c r="G683" s="26">
        <f>'Пр.6 ведом.20'!G683</f>
        <v>5450.718</v>
      </c>
      <c r="H683" s="26">
        <f t="shared" si="23"/>
        <v>5450.718</v>
      </c>
    </row>
    <row r="684" spans="1:8" ht="31.5">
      <c r="A684" s="25" t="s">
        <v>148</v>
      </c>
      <c r="B684" s="16">
        <v>906</v>
      </c>
      <c r="C684" s="20" t="s">
        <v>281</v>
      </c>
      <c r="D684" s="20" t="s">
        <v>236</v>
      </c>
      <c r="E684" s="20" t="s">
        <v>911</v>
      </c>
      <c r="F684" s="20" t="s">
        <v>149</v>
      </c>
      <c r="G684" s="26">
        <f>'Пр.6 ведом.20'!G684</f>
        <v>256</v>
      </c>
      <c r="H684" s="26">
        <f t="shared" si="23"/>
        <v>256</v>
      </c>
    </row>
    <row r="685" spans="1:8" ht="31.5">
      <c r="A685" s="25" t="s">
        <v>150</v>
      </c>
      <c r="B685" s="16">
        <v>906</v>
      </c>
      <c r="C685" s="20" t="s">
        <v>281</v>
      </c>
      <c r="D685" s="20" t="s">
        <v>236</v>
      </c>
      <c r="E685" s="20" t="s">
        <v>911</v>
      </c>
      <c r="F685" s="20" t="s">
        <v>151</v>
      </c>
      <c r="G685" s="26">
        <f>'Пр.6 ведом.20'!G685</f>
        <v>256</v>
      </c>
      <c r="H685" s="26">
        <f t="shared" si="23"/>
        <v>256</v>
      </c>
    </row>
    <row r="686" spans="1:8" ht="47.25">
      <c r="A686" s="25" t="s">
        <v>889</v>
      </c>
      <c r="B686" s="16">
        <v>906</v>
      </c>
      <c r="C686" s="20" t="s">
        <v>281</v>
      </c>
      <c r="D686" s="20" t="s">
        <v>236</v>
      </c>
      <c r="E686" s="20" t="s">
        <v>913</v>
      </c>
      <c r="F686" s="20"/>
      <c r="G686" s="26">
        <f>'Пр.6 ведом.20'!G686</f>
        <v>100</v>
      </c>
      <c r="H686" s="26">
        <f t="shared" si="23"/>
        <v>100</v>
      </c>
    </row>
    <row r="687" spans="1:8" ht="78.75">
      <c r="A687" s="25" t="s">
        <v>144</v>
      </c>
      <c r="B687" s="16">
        <v>906</v>
      </c>
      <c r="C687" s="20" t="s">
        <v>281</v>
      </c>
      <c r="D687" s="20" t="s">
        <v>236</v>
      </c>
      <c r="E687" s="20" t="s">
        <v>913</v>
      </c>
      <c r="F687" s="20" t="s">
        <v>145</v>
      </c>
      <c r="G687" s="26">
        <f>'Пр.6 ведом.20'!G687</f>
        <v>100</v>
      </c>
      <c r="H687" s="26">
        <f t="shared" si="23"/>
        <v>100</v>
      </c>
    </row>
    <row r="688" spans="1:8" ht="31.5">
      <c r="A688" s="25" t="s">
        <v>146</v>
      </c>
      <c r="B688" s="16">
        <v>906</v>
      </c>
      <c r="C688" s="20" t="s">
        <v>281</v>
      </c>
      <c r="D688" s="20" t="s">
        <v>236</v>
      </c>
      <c r="E688" s="20" t="s">
        <v>913</v>
      </c>
      <c r="F688" s="20" t="s">
        <v>147</v>
      </c>
      <c r="G688" s="26">
        <f>'Пр.6 ведом.20'!G688</f>
        <v>100</v>
      </c>
      <c r="H688" s="26">
        <f t="shared" si="23"/>
        <v>100</v>
      </c>
    </row>
    <row r="689" spans="1:8" ht="15.75">
      <c r="A689" s="23" t="s">
        <v>158</v>
      </c>
      <c r="B689" s="19">
        <v>906</v>
      </c>
      <c r="C689" s="24" t="s">
        <v>281</v>
      </c>
      <c r="D689" s="24" t="s">
        <v>236</v>
      </c>
      <c r="E689" s="24" t="s">
        <v>917</v>
      </c>
      <c r="F689" s="24"/>
      <c r="G689" s="21">
        <f>G690+G694</f>
        <v>14662.213</v>
      </c>
      <c r="H689" s="21">
        <f>H690+H694</f>
        <v>14662.213</v>
      </c>
    </row>
    <row r="690" spans="1:8" ht="31.5">
      <c r="A690" s="23" t="s">
        <v>921</v>
      </c>
      <c r="B690" s="19">
        <v>906</v>
      </c>
      <c r="C690" s="24" t="s">
        <v>281</v>
      </c>
      <c r="D690" s="24" t="s">
        <v>236</v>
      </c>
      <c r="E690" s="24" t="s">
        <v>916</v>
      </c>
      <c r="F690" s="24"/>
      <c r="G690" s="21">
        <f>G691</f>
        <v>300</v>
      </c>
      <c r="H690" s="21">
        <f>H691</f>
        <v>300</v>
      </c>
    </row>
    <row r="691" spans="1:8" ht="15.75">
      <c r="A691" s="25" t="s">
        <v>495</v>
      </c>
      <c r="B691" s="16">
        <v>906</v>
      </c>
      <c r="C691" s="20" t="s">
        <v>281</v>
      </c>
      <c r="D691" s="20" t="s">
        <v>236</v>
      </c>
      <c r="E691" s="20" t="s">
        <v>1068</v>
      </c>
      <c r="F691" s="20"/>
      <c r="G691" s="26">
        <f>'Пр.6 ведом.20'!G691</f>
        <v>300</v>
      </c>
      <c r="H691" s="26">
        <f t="shared" si="23"/>
        <v>300</v>
      </c>
    </row>
    <row r="692" spans="1:8" ht="31.5">
      <c r="A692" s="25" t="s">
        <v>148</v>
      </c>
      <c r="B692" s="16">
        <v>906</v>
      </c>
      <c r="C692" s="20" t="s">
        <v>281</v>
      </c>
      <c r="D692" s="20" t="s">
        <v>236</v>
      </c>
      <c r="E692" s="20" t="s">
        <v>1068</v>
      </c>
      <c r="F692" s="20" t="s">
        <v>149</v>
      </c>
      <c r="G692" s="26">
        <f>'Пр.6 ведом.20'!G692</f>
        <v>300</v>
      </c>
      <c r="H692" s="26">
        <f t="shared" si="23"/>
        <v>300</v>
      </c>
    </row>
    <row r="693" spans="1:8" ht="31.5">
      <c r="A693" s="25" t="s">
        <v>150</v>
      </c>
      <c r="B693" s="16">
        <v>906</v>
      </c>
      <c r="C693" s="20" t="s">
        <v>281</v>
      </c>
      <c r="D693" s="20" t="s">
        <v>236</v>
      </c>
      <c r="E693" s="20" t="s">
        <v>1068</v>
      </c>
      <c r="F693" s="20" t="s">
        <v>151</v>
      </c>
      <c r="G693" s="26">
        <f>'Пр.6 ведом.20'!G693</f>
        <v>300</v>
      </c>
      <c r="H693" s="26">
        <f t="shared" si="23"/>
        <v>300</v>
      </c>
    </row>
    <row r="694" spans="1:8" ht="31.5">
      <c r="A694" s="23" t="s">
        <v>1009</v>
      </c>
      <c r="B694" s="19">
        <v>906</v>
      </c>
      <c r="C694" s="24" t="s">
        <v>281</v>
      </c>
      <c r="D694" s="24" t="s">
        <v>236</v>
      </c>
      <c r="E694" s="24" t="s">
        <v>992</v>
      </c>
      <c r="F694" s="24"/>
      <c r="G694" s="21">
        <f>G695+G702</f>
        <v>14362.213</v>
      </c>
      <c r="H694" s="21">
        <f>H695+H702</f>
        <v>14362.213</v>
      </c>
    </row>
    <row r="695" spans="1:8" ht="31.5">
      <c r="A695" s="25" t="s">
        <v>1301</v>
      </c>
      <c r="B695" s="16">
        <v>906</v>
      </c>
      <c r="C695" s="20" t="s">
        <v>281</v>
      </c>
      <c r="D695" s="20" t="s">
        <v>236</v>
      </c>
      <c r="E695" s="20" t="s">
        <v>993</v>
      </c>
      <c r="F695" s="20"/>
      <c r="G695" s="26">
        <f>'Пр.6 ведом.20'!G695</f>
        <v>14032.213</v>
      </c>
      <c r="H695" s="26">
        <f t="shared" si="23"/>
        <v>14032.213</v>
      </c>
    </row>
    <row r="696" spans="1:8" ht="78.75">
      <c r="A696" s="25" t="s">
        <v>144</v>
      </c>
      <c r="B696" s="16">
        <v>906</v>
      </c>
      <c r="C696" s="20" t="s">
        <v>281</v>
      </c>
      <c r="D696" s="20" t="s">
        <v>236</v>
      </c>
      <c r="E696" s="20" t="s">
        <v>993</v>
      </c>
      <c r="F696" s="20" t="s">
        <v>145</v>
      </c>
      <c r="G696" s="26">
        <f>'Пр.6 ведом.20'!G696</f>
        <v>12715.213</v>
      </c>
      <c r="H696" s="26">
        <f t="shared" si="23"/>
        <v>12715.213</v>
      </c>
    </row>
    <row r="697" spans="1:8" ht="31.5">
      <c r="A697" s="25" t="s">
        <v>359</v>
      </c>
      <c r="B697" s="16">
        <v>906</v>
      </c>
      <c r="C697" s="20" t="s">
        <v>281</v>
      </c>
      <c r="D697" s="20" t="s">
        <v>236</v>
      </c>
      <c r="E697" s="20" t="s">
        <v>993</v>
      </c>
      <c r="F697" s="20" t="s">
        <v>226</v>
      </c>
      <c r="G697" s="26">
        <f>'Пр.6 ведом.20'!G697</f>
        <v>12715.213</v>
      </c>
      <c r="H697" s="26">
        <f t="shared" si="23"/>
        <v>12715.213</v>
      </c>
    </row>
    <row r="698" spans="1:8" ht="31.5">
      <c r="A698" s="25" t="s">
        <v>148</v>
      </c>
      <c r="B698" s="16">
        <v>906</v>
      </c>
      <c r="C698" s="20" t="s">
        <v>281</v>
      </c>
      <c r="D698" s="20" t="s">
        <v>236</v>
      </c>
      <c r="E698" s="20" t="s">
        <v>993</v>
      </c>
      <c r="F698" s="20" t="s">
        <v>149</v>
      </c>
      <c r="G698" s="26">
        <f>'Пр.6 ведом.20'!G698</f>
        <v>1302</v>
      </c>
      <c r="H698" s="26">
        <f t="shared" si="23"/>
        <v>1302</v>
      </c>
    </row>
    <row r="699" spans="1:8" ht="31.5">
      <c r="A699" s="25" t="s">
        <v>150</v>
      </c>
      <c r="B699" s="16">
        <v>906</v>
      </c>
      <c r="C699" s="20" t="s">
        <v>281</v>
      </c>
      <c r="D699" s="20" t="s">
        <v>236</v>
      </c>
      <c r="E699" s="20" t="s">
        <v>993</v>
      </c>
      <c r="F699" s="20" t="s">
        <v>151</v>
      </c>
      <c r="G699" s="26">
        <f>'Пр.6 ведом.20'!G699</f>
        <v>1302</v>
      </c>
      <c r="H699" s="26">
        <f t="shared" si="23"/>
        <v>1302</v>
      </c>
    </row>
    <row r="700" spans="1:8" ht="15.75">
      <c r="A700" s="25" t="s">
        <v>152</v>
      </c>
      <c r="B700" s="16">
        <v>906</v>
      </c>
      <c r="C700" s="20" t="s">
        <v>281</v>
      </c>
      <c r="D700" s="20" t="s">
        <v>236</v>
      </c>
      <c r="E700" s="20" t="s">
        <v>993</v>
      </c>
      <c r="F700" s="20" t="s">
        <v>162</v>
      </c>
      <c r="G700" s="26">
        <f>'Пр.6 ведом.20'!G700</f>
        <v>15</v>
      </c>
      <c r="H700" s="26">
        <f t="shared" si="23"/>
        <v>15</v>
      </c>
    </row>
    <row r="701" spans="1:8" ht="15.75">
      <c r="A701" s="25" t="s">
        <v>585</v>
      </c>
      <c r="B701" s="16">
        <v>906</v>
      </c>
      <c r="C701" s="20" t="s">
        <v>281</v>
      </c>
      <c r="D701" s="20" t="s">
        <v>236</v>
      </c>
      <c r="E701" s="20" t="s">
        <v>993</v>
      </c>
      <c r="F701" s="20" t="s">
        <v>155</v>
      </c>
      <c r="G701" s="26">
        <f>'Пр.6 ведом.20'!G701</f>
        <v>15</v>
      </c>
      <c r="H701" s="26">
        <f t="shared" si="23"/>
        <v>15</v>
      </c>
    </row>
    <row r="702" spans="1:8" ht="47.25">
      <c r="A702" s="25" t="s">
        <v>889</v>
      </c>
      <c r="B702" s="16">
        <v>906</v>
      </c>
      <c r="C702" s="20" t="s">
        <v>281</v>
      </c>
      <c r="D702" s="20" t="s">
        <v>236</v>
      </c>
      <c r="E702" s="20" t="s">
        <v>994</v>
      </c>
      <c r="F702" s="20"/>
      <c r="G702" s="26">
        <f>'Пр.6 ведом.20'!G702</f>
        <v>330</v>
      </c>
      <c r="H702" s="26">
        <f t="shared" si="23"/>
        <v>330</v>
      </c>
    </row>
    <row r="703" spans="1:8" ht="78.75">
      <c r="A703" s="25" t="s">
        <v>144</v>
      </c>
      <c r="B703" s="16">
        <v>906</v>
      </c>
      <c r="C703" s="20" t="s">
        <v>281</v>
      </c>
      <c r="D703" s="20" t="s">
        <v>236</v>
      </c>
      <c r="E703" s="20" t="s">
        <v>994</v>
      </c>
      <c r="F703" s="20" t="s">
        <v>145</v>
      </c>
      <c r="G703" s="26">
        <f>'Пр.6 ведом.20'!G703</f>
        <v>330</v>
      </c>
      <c r="H703" s="26">
        <f t="shared" si="23"/>
        <v>330</v>
      </c>
    </row>
    <row r="704" spans="1:8" ht="31.5">
      <c r="A704" s="25" t="s">
        <v>359</v>
      </c>
      <c r="B704" s="16">
        <v>906</v>
      </c>
      <c r="C704" s="20" t="s">
        <v>281</v>
      </c>
      <c r="D704" s="20" t="s">
        <v>236</v>
      </c>
      <c r="E704" s="20" t="s">
        <v>994</v>
      </c>
      <c r="F704" s="20" t="s">
        <v>226</v>
      </c>
      <c r="G704" s="26">
        <f>'Пр.6 ведом.20'!G704</f>
        <v>330</v>
      </c>
      <c r="H704" s="26">
        <f t="shared" si="23"/>
        <v>330</v>
      </c>
    </row>
    <row r="705" spans="1:8" ht="31.5">
      <c r="A705" s="19" t="s">
        <v>497</v>
      </c>
      <c r="B705" s="19">
        <v>907</v>
      </c>
      <c r="C705" s="20"/>
      <c r="D705" s="20"/>
      <c r="E705" s="20"/>
      <c r="F705" s="20"/>
      <c r="G705" s="21">
        <f>G713+G706</f>
        <v>61005.022999999994</v>
      </c>
      <c r="H705" s="21">
        <f>H713+H706</f>
        <v>61005.022999999994</v>
      </c>
    </row>
    <row r="706" spans="1:8" s="252" customFormat="1" ht="15.75">
      <c r="A706" s="23" t="s">
        <v>134</v>
      </c>
      <c r="B706" s="19">
        <v>907</v>
      </c>
      <c r="C706" s="24" t="s">
        <v>135</v>
      </c>
      <c r="D706" s="24"/>
      <c r="E706" s="24"/>
      <c r="F706" s="24"/>
      <c r="G706" s="21">
        <f aca="true" t="shared" si="25" ref="G706:H707">G707</f>
        <v>70</v>
      </c>
      <c r="H706" s="21">
        <f t="shared" si="25"/>
        <v>70</v>
      </c>
    </row>
    <row r="707" spans="1:8" s="252" customFormat="1" ht="15.75">
      <c r="A707" s="35" t="s">
        <v>156</v>
      </c>
      <c r="B707" s="19">
        <v>907</v>
      </c>
      <c r="C707" s="24" t="s">
        <v>135</v>
      </c>
      <c r="D707" s="24" t="s">
        <v>157</v>
      </c>
      <c r="E707" s="24"/>
      <c r="F707" s="24"/>
      <c r="G707" s="21">
        <f t="shared" si="25"/>
        <v>70</v>
      </c>
      <c r="H707" s="21">
        <f t="shared" si="25"/>
        <v>70</v>
      </c>
    </row>
    <row r="708" spans="1:8" s="252" customFormat="1" ht="47.25">
      <c r="A708" s="23" t="s">
        <v>351</v>
      </c>
      <c r="B708" s="19">
        <v>907</v>
      </c>
      <c r="C708" s="24" t="s">
        <v>135</v>
      </c>
      <c r="D708" s="24" t="s">
        <v>157</v>
      </c>
      <c r="E708" s="24" t="s">
        <v>352</v>
      </c>
      <c r="F708" s="24"/>
      <c r="G708" s="21">
        <f>G709</f>
        <v>70</v>
      </c>
      <c r="H708" s="21">
        <f>H709</f>
        <v>70</v>
      </c>
    </row>
    <row r="709" spans="1:8" s="252" customFormat="1" ht="31.5">
      <c r="A709" s="313" t="s">
        <v>1242</v>
      </c>
      <c r="B709" s="19">
        <v>907</v>
      </c>
      <c r="C709" s="24" t="s">
        <v>135</v>
      </c>
      <c r="D709" s="24" t="s">
        <v>157</v>
      </c>
      <c r="E709" s="24" t="s">
        <v>1243</v>
      </c>
      <c r="F709" s="24"/>
      <c r="G709" s="21">
        <f>G710</f>
        <v>70</v>
      </c>
      <c r="H709" s="21">
        <f>H710</f>
        <v>70</v>
      </c>
    </row>
    <row r="710" spans="1:8" s="252" customFormat="1" ht="31.5">
      <c r="A710" s="105" t="s">
        <v>353</v>
      </c>
      <c r="B710" s="16">
        <v>907</v>
      </c>
      <c r="C710" s="20" t="s">
        <v>135</v>
      </c>
      <c r="D710" s="20" t="s">
        <v>157</v>
      </c>
      <c r="E710" s="20" t="s">
        <v>1244</v>
      </c>
      <c r="F710" s="20"/>
      <c r="G710" s="26">
        <f>'Пр.6 ведом.20'!G710</f>
        <v>70</v>
      </c>
      <c r="H710" s="26">
        <f aca="true" t="shared" si="26" ref="H710:H712">G710</f>
        <v>70</v>
      </c>
    </row>
    <row r="711" spans="1:8" s="252" customFormat="1" ht="31.5">
      <c r="A711" s="25" t="s">
        <v>148</v>
      </c>
      <c r="B711" s="16">
        <v>907</v>
      </c>
      <c r="C711" s="20" t="s">
        <v>135</v>
      </c>
      <c r="D711" s="20" t="s">
        <v>157</v>
      </c>
      <c r="E711" s="20" t="s">
        <v>1244</v>
      </c>
      <c r="F711" s="20" t="s">
        <v>149</v>
      </c>
      <c r="G711" s="26">
        <f>'Пр.6 ведом.20'!G711</f>
        <v>70</v>
      </c>
      <c r="H711" s="26">
        <f t="shared" si="26"/>
        <v>70</v>
      </c>
    </row>
    <row r="712" spans="1:8" s="252" customFormat="1" ht="31.5">
      <c r="A712" s="25" t="s">
        <v>150</v>
      </c>
      <c r="B712" s="16">
        <v>907</v>
      </c>
      <c r="C712" s="20" t="s">
        <v>135</v>
      </c>
      <c r="D712" s="20" t="s">
        <v>157</v>
      </c>
      <c r="E712" s="20" t="s">
        <v>1244</v>
      </c>
      <c r="F712" s="20" t="s">
        <v>151</v>
      </c>
      <c r="G712" s="26">
        <f>'Пр.6 ведом.20'!G712</f>
        <v>70</v>
      </c>
      <c r="H712" s="26">
        <f t="shared" si="26"/>
        <v>70</v>
      </c>
    </row>
    <row r="713" spans="1:8" ht="15.75">
      <c r="A713" s="23" t="s">
        <v>507</v>
      </c>
      <c r="B713" s="19">
        <v>907</v>
      </c>
      <c r="C713" s="24" t="s">
        <v>508</v>
      </c>
      <c r="D713" s="20"/>
      <c r="E713" s="20"/>
      <c r="F713" s="20"/>
      <c r="G713" s="21">
        <f>G714+G753</f>
        <v>60935.022999999994</v>
      </c>
      <c r="H713" s="21">
        <f>H714+H753</f>
        <v>60935.022999999994</v>
      </c>
    </row>
    <row r="714" spans="1:8" ht="15.75">
      <c r="A714" s="23" t="s">
        <v>509</v>
      </c>
      <c r="B714" s="19">
        <v>907</v>
      </c>
      <c r="C714" s="24" t="s">
        <v>508</v>
      </c>
      <c r="D714" s="24" t="s">
        <v>135</v>
      </c>
      <c r="E714" s="20"/>
      <c r="F714" s="20"/>
      <c r="G714" s="21">
        <f>G715+G748</f>
        <v>48328.299999999996</v>
      </c>
      <c r="H714" s="21">
        <f>H715+H748</f>
        <v>48328.299999999996</v>
      </c>
    </row>
    <row r="715" spans="1:8" ht="47.25">
      <c r="A715" s="23" t="s">
        <v>498</v>
      </c>
      <c r="B715" s="19">
        <v>907</v>
      </c>
      <c r="C715" s="24" t="s">
        <v>508</v>
      </c>
      <c r="D715" s="24" t="s">
        <v>135</v>
      </c>
      <c r="E715" s="24" t="s">
        <v>499</v>
      </c>
      <c r="F715" s="24"/>
      <c r="G715" s="21">
        <f>G716</f>
        <v>47788.2</v>
      </c>
      <c r="H715" s="21">
        <f>H716</f>
        <v>47788.2</v>
      </c>
    </row>
    <row r="716" spans="1:8" ht="47.25">
      <c r="A716" s="23" t="s">
        <v>510</v>
      </c>
      <c r="B716" s="19">
        <v>907</v>
      </c>
      <c r="C716" s="24" t="s">
        <v>508</v>
      </c>
      <c r="D716" s="24" t="s">
        <v>135</v>
      </c>
      <c r="E716" s="24" t="s">
        <v>511</v>
      </c>
      <c r="F716" s="24"/>
      <c r="G716" s="21">
        <f>G717+G727+G737</f>
        <v>47788.2</v>
      </c>
      <c r="H716" s="21">
        <f>H717+H727+H737</f>
        <v>47788.2</v>
      </c>
    </row>
    <row r="717" spans="1:8" ht="31.5">
      <c r="A717" s="23" t="s">
        <v>1036</v>
      </c>
      <c r="B717" s="19">
        <v>907</v>
      </c>
      <c r="C717" s="24" t="s">
        <v>508</v>
      </c>
      <c r="D717" s="24" t="s">
        <v>135</v>
      </c>
      <c r="E717" s="24" t="s">
        <v>1069</v>
      </c>
      <c r="F717" s="24"/>
      <c r="G717" s="21">
        <f>G718+G721+G724+G744</f>
        <v>46952.2</v>
      </c>
      <c r="H717" s="21">
        <f>H718+H721+H724+H744</f>
        <v>46952.2</v>
      </c>
    </row>
    <row r="718" spans="1:8" ht="47.25">
      <c r="A718" s="25" t="s">
        <v>841</v>
      </c>
      <c r="B718" s="16">
        <v>907</v>
      </c>
      <c r="C718" s="20" t="s">
        <v>508</v>
      </c>
      <c r="D718" s="20" t="s">
        <v>135</v>
      </c>
      <c r="E718" s="20" t="s">
        <v>1079</v>
      </c>
      <c r="F718" s="20"/>
      <c r="G718" s="26">
        <f>'Пр.6 ведом.20'!G718</f>
        <v>13608</v>
      </c>
      <c r="H718" s="26">
        <f t="shared" si="23"/>
        <v>13608</v>
      </c>
    </row>
    <row r="719" spans="1:8" ht="31.5">
      <c r="A719" s="25" t="s">
        <v>289</v>
      </c>
      <c r="B719" s="16">
        <v>907</v>
      </c>
      <c r="C719" s="20" t="s">
        <v>508</v>
      </c>
      <c r="D719" s="20" t="s">
        <v>135</v>
      </c>
      <c r="E719" s="20" t="s">
        <v>1079</v>
      </c>
      <c r="F719" s="20" t="s">
        <v>290</v>
      </c>
      <c r="G719" s="26">
        <f>'Пр.6 ведом.20'!G719</f>
        <v>13608</v>
      </c>
      <c r="H719" s="26">
        <f t="shared" si="23"/>
        <v>13608</v>
      </c>
    </row>
    <row r="720" spans="1:8" ht="15.75">
      <c r="A720" s="25" t="s">
        <v>291</v>
      </c>
      <c r="B720" s="16">
        <v>907</v>
      </c>
      <c r="C720" s="20" t="s">
        <v>508</v>
      </c>
      <c r="D720" s="20" t="s">
        <v>135</v>
      </c>
      <c r="E720" s="20" t="s">
        <v>1079</v>
      </c>
      <c r="F720" s="20" t="s">
        <v>292</v>
      </c>
      <c r="G720" s="26">
        <f>'Пр.6 ведом.20'!G720</f>
        <v>13608</v>
      </c>
      <c r="H720" s="26">
        <f t="shared" si="23"/>
        <v>13608</v>
      </c>
    </row>
    <row r="721" spans="1:8" ht="47.25">
      <c r="A721" s="25" t="s">
        <v>862</v>
      </c>
      <c r="B721" s="16">
        <v>907</v>
      </c>
      <c r="C721" s="20" t="s">
        <v>508</v>
      </c>
      <c r="D721" s="20" t="s">
        <v>135</v>
      </c>
      <c r="E721" s="20" t="s">
        <v>1080</v>
      </c>
      <c r="F721" s="20"/>
      <c r="G721" s="26">
        <f>'Пр.6 ведом.20'!G721</f>
        <v>13397</v>
      </c>
      <c r="H721" s="26">
        <f t="shared" si="23"/>
        <v>13397</v>
      </c>
    </row>
    <row r="722" spans="1:8" ht="31.5">
      <c r="A722" s="25" t="s">
        <v>289</v>
      </c>
      <c r="B722" s="16">
        <v>907</v>
      </c>
      <c r="C722" s="20" t="s">
        <v>508</v>
      </c>
      <c r="D722" s="20" t="s">
        <v>135</v>
      </c>
      <c r="E722" s="20" t="s">
        <v>1080</v>
      </c>
      <c r="F722" s="20" t="s">
        <v>290</v>
      </c>
      <c r="G722" s="26">
        <f>'Пр.6 ведом.20'!G722</f>
        <v>13397</v>
      </c>
      <c r="H722" s="26">
        <f t="shared" si="23"/>
        <v>13397</v>
      </c>
    </row>
    <row r="723" spans="1:8" ht="15.75">
      <c r="A723" s="25" t="s">
        <v>291</v>
      </c>
      <c r="B723" s="16">
        <v>907</v>
      </c>
      <c r="C723" s="20" t="s">
        <v>508</v>
      </c>
      <c r="D723" s="20" t="s">
        <v>135</v>
      </c>
      <c r="E723" s="20" t="s">
        <v>1080</v>
      </c>
      <c r="F723" s="20" t="s">
        <v>292</v>
      </c>
      <c r="G723" s="26">
        <f>'Пр.6 ведом.20'!G723</f>
        <v>13397</v>
      </c>
      <c r="H723" s="26">
        <f aca="true" t="shared" si="27" ref="H723:H781">G723</f>
        <v>13397</v>
      </c>
    </row>
    <row r="724" spans="1:8" ht="47.25">
      <c r="A724" s="25" t="s">
        <v>863</v>
      </c>
      <c r="B724" s="16">
        <v>907</v>
      </c>
      <c r="C724" s="20" t="s">
        <v>508</v>
      </c>
      <c r="D724" s="20" t="s">
        <v>135</v>
      </c>
      <c r="E724" s="20" t="s">
        <v>1081</v>
      </c>
      <c r="F724" s="20"/>
      <c r="G724" s="26">
        <f>'Пр.6 ведом.20'!G724</f>
        <v>19077</v>
      </c>
      <c r="H724" s="26">
        <f t="shared" si="27"/>
        <v>19077</v>
      </c>
    </row>
    <row r="725" spans="1:8" ht="31.5">
      <c r="A725" s="25" t="s">
        <v>289</v>
      </c>
      <c r="B725" s="16">
        <v>907</v>
      </c>
      <c r="C725" s="20" t="s">
        <v>508</v>
      </c>
      <c r="D725" s="20" t="s">
        <v>135</v>
      </c>
      <c r="E725" s="20" t="s">
        <v>1081</v>
      </c>
      <c r="F725" s="20" t="s">
        <v>290</v>
      </c>
      <c r="G725" s="26">
        <f>'Пр.6 ведом.20'!G725</f>
        <v>19077</v>
      </c>
      <c r="H725" s="26">
        <f t="shared" si="27"/>
        <v>19077</v>
      </c>
    </row>
    <row r="726" spans="1:8" ht="15.75">
      <c r="A726" s="25" t="s">
        <v>291</v>
      </c>
      <c r="B726" s="16">
        <v>907</v>
      </c>
      <c r="C726" s="20" t="s">
        <v>508</v>
      </c>
      <c r="D726" s="20" t="s">
        <v>135</v>
      </c>
      <c r="E726" s="20" t="s">
        <v>1081</v>
      </c>
      <c r="F726" s="20" t="s">
        <v>292</v>
      </c>
      <c r="G726" s="26">
        <f>'Пр.6 ведом.20'!G726</f>
        <v>19077</v>
      </c>
      <c r="H726" s="26">
        <f t="shared" si="27"/>
        <v>19077</v>
      </c>
    </row>
    <row r="727" spans="1:8" ht="31.5" hidden="1">
      <c r="A727" s="23" t="s">
        <v>1082</v>
      </c>
      <c r="B727" s="19">
        <v>907</v>
      </c>
      <c r="C727" s="24" t="s">
        <v>508</v>
      </c>
      <c r="D727" s="24" t="s">
        <v>135</v>
      </c>
      <c r="E727" s="24" t="s">
        <v>1083</v>
      </c>
      <c r="F727" s="24"/>
      <c r="G727" s="45">
        <f>G728+G731+G734</f>
        <v>36</v>
      </c>
      <c r="H727" s="45">
        <f>H728+H731+H734</f>
        <v>36</v>
      </c>
    </row>
    <row r="728" spans="1:8" ht="31.5" hidden="1">
      <c r="A728" s="25" t="s">
        <v>295</v>
      </c>
      <c r="B728" s="16">
        <v>907</v>
      </c>
      <c r="C728" s="20" t="s">
        <v>508</v>
      </c>
      <c r="D728" s="20" t="s">
        <v>135</v>
      </c>
      <c r="E728" s="20" t="s">
        <v>1087</v>
      </c>
      <c r="F728" s="20"/>
      <c r="G728" s="26">
        <f>'Пр.6 ведом.20'!G728</f>
        <v>0</v>
      </c>
      <c r="H728" s="26">
        <f t="shared" si="27"/>
        <v>0</v>
      </c>
    </row>
    <row r="729" spans="1:8" ht="31.5" hidden="1">
      <c r="A729" s="25" t="s">
        <v>289</v>
      </c>
      <c r="B729" s="16">
        <v>907</v>
      </c>
      <c r="C729" s="20" t="s">
        <v>508</v>
      </c>
      <c r="D729" s="20" t="s">
        <v>135</v>
      </c>
      <c r="E729" s="20" t="s">
        <v>1087</v>
      </c>
      <c r="F729" s="20" t="s">
        <v>290</v>
      </c>
      <c r="G729" s="26">
        <f>'Пр.6 ведом.20'!G729</f>
        <v>0</v>
      </c>
      <c r="H729" s="26">
        <f t="shared" si="27"/>
        <v>0</v>
      </c>
    </row>
    <row r="730" spans="1:8" ht="15.75" hidden="1">
      <c r="A730" s="25" t="s">
        <v>291</v>
      </c>
      <c r="B730" s="16">
        <v>907</v>
      </c>
      <c r="C730" s="20" t="s">
        <v>508</v>
      </c>
      <c r="D730" s="20" t="s">
        <v>135</v>
      </c>
      <c r="E730" s="20" t="s">
        <v>1087</v>
      </c>
      <c r="F730" s="20" t="s">
        <v>292</v>
      </c>
      <c r="G730" s="26">
        <f>'Пр.6 ведом.20'!G730</f>
        <v>0</v>
      </c>
      <c r="H730" s="26">
        <f t="shared" si="27"/>
        <v>0</v>
      </c>
    </row>
    <row r="731" spans="1:8" ht="31.5" hidden="1">
      <c r="A731" s="25" t="s">
        <v>297</v>
      </c>
      <c r="B731" s="16">
        <v>907</v>
      </c>
      <c r="C731" s="20" t="s">
        <v>508</v>
      </c>
      <c r="D731" s="20" t="s">
        <v>135</v>
      </c>
      <c r="E731" s="20" t="s">
        <v>1088</v>
      </c>
      <c r="F731" s="20"/>
      <c r="G731" s="26">
        <f>'Пр.6 ведом.20'!G731</f>
        <v>0</v>
      </c>
      <c r="H731" s="26">
        <f t="shared" si="27"/>
        <v>0</v>
      </c>
    </row>
    <row r="732" spans="1:8" ht="31.5" hidden="1">
      <c r="A732" s="25" t="s">
        <v>289</v>
      </c>
      <c r="B732" s="16">
        <v>907</v>
      </c>
      <c r="C732" s="20" t="s">
        <v>508</v>
      </c>
      <c r="D732" s="20" t="s">
        <v>135</v>
      </c>
      <c r="E732" s="20" t="s">
        <v>1088</v>
      </c>
      <c r="F732" s="20" t="s">
        <v>290</v>
      </c>
      <c r="G732" s="26">
        <f>'Пр.6 ведом.20'!G732</f>
        <v>0</v>
      </c>
      <c r="H732" s="26">
        <f t="shared" si="27"/>
        <v>0</v>
      </c>
    </row>
    <row r="733" spans="1:8" ht="15.75" hidden="1">
      <c r="A733" s="25" t="s">
        <v>291</v>
      </c>
      <c r="B733" s="16">
        <v>907</v>
      </c>
      <c r="C733" s="20" t="s">
        <v>508</v>
      </c>
      <c r="D733" s="20" t="s">
        <v>135</v>
      </c>
      <c r="E733" s="20" t="s">
        <v>1088</v>
      </c>
      <c r="F733" s="20" t="s">
        <v>292</v>
      </c>
      <c r="G733" s="26">
        <f>'Пр.6 ведом.20'!G733</f>
        <v>0</v>
      </c>
      <c r="H733" s="26">
        <f t="shared" si="27"/>
        <v>0</v>
      </c>
    </row>
    <row r="734" spans="1:8" ht="15.75">
      <c r="A734" s="25" t="s">
        <v>880</v>
      </c>
      <c r="B734" s="16">
        <v>907</v>
      </c>
      <c r="C734" s="20" t="s">
        <v>508</v>
      </c>
      <c r="D734" s="20" t="s">
        <v>135</v>
      </c>
      <c r="E734" s="20" t="s">
        <v>1089</v>
      </c>
      <c r="F734" s="20"/>
      <c r="G734" s="26">
        <f>'Пр.6 ведом.20'!G734</f>
        <v>36</v>
      </c>
      <c r="H734" s="26">
        <f t="shared" si="27"/>
        <v>36</v>
      </c>
    </row>
    <row r="735" spans="1:8" ht="31.5">
      <c r="A735" s="25" t="s">
        <v>289</v>
      </c>
      <c r="B735" s="16">
        <v>907</v>
      </c>
      <c r="C735" s="20" t="s">
        <v>508</v>
      </c>
      <c r="D735" s="20" t="s">
        <v>135</v>
      </c>
      <c r="E735" s="20" t="s">
        <v>1089</v>
      </c>
      <c r="F735" s="20" t="s">
        <v>290</v>
      </c>
      <c r="G735" s="26">
        <f>'Пр.6 ведом.20'!G735</f>
        <v>36</v>
      </c>
      <c r="H735" s="26">
        <f t="shared" si="27"/>
        <v>36</v>
      </c>
    </row>
    <row r="736" spans="1:8" ht="15.75">
      <c r="A736" s="25" t="s">
        <v>291</v>
      </c>
      <c r="B736" s="16">
        <v>907</v>
      </c>
      <c r="C736" s="20" t="s">
        <v>508</v>
      </c>
      <c r="D736" s="20" t="s">
        <v>135</v>
      </c>
      <c r="E736" s="20" t="s">
        <v>1089</v>
      </c>
      <c r="F736" s="20" t="s">
        <v>292</v>
      </c>
      <c r="G736" s="26">
        <f>'Пр.6 ведом.20'!G736</f>
        <v>36</v>
      </c>
      <c r="H736" s="26">
        <f t="shared" si="27"/>
        <v>36</v>
      </c>
    </row>
    <row r="737" spans="1:8" ht="31.5">
      <c r="A737" s="23" t="s">
        <v>1084</v>
      </c>
      <c r="B737" s="19">
        <v>907</v>
      </c>
      <c r="C737" s="24" t="s">
        <v>508</v>
      </c>
      <c r="D737" s="24" t="s">
        <v>135</v>
      </c>
      <c r="E737" s="24" t="s">
        <v>1086</v>
      </c>
      <c r="F737" s="24"/>
      <c r="G737" s="21">
        <f>G738+G741</f>
        <v>800</v>
      </c>
      <c r="H737" s="21">
        <f>H738+H741</f>
        <v>800</v>
      </c>
    </row>
    <row r="738" spans="1:8" ht="31.5" hidden="1">
      <c r="A738" s="25" t="s">
        <v>819</v>
      </c>
      <c r="B738" s="16">
        <v>907</v>
      </c>
      <c r="C738" s="20" t="s">
        <v>508</v>
      </c>
      <c r="D738" s="20" t="s">
        <v>135</v>
      </c>
      <c r="E738" s="20" t="s">
        <v>1090</v>
      </c>
      <c r="F738" s="20"/>
      <c r="G738" s="26">
        <f>'Пр.6 ведом.20'!G738</f>
        <v>0</v>
      </c>
      <c r="H738" s="26">
        <f t="shared" si="27"/>
        <v>0</v>
      </c>
    </row>
    <row r="739" spans="1:8" ht="31.5" hidden="1">
      <c r="A739" s="25" t="s">
        <v>289</v>
      </c>
      <c r="B739" s="16">
        <v>907</v>
      </c>
      <c r="C739" s="20" t="s">
        <v>508</v>
      </c>
      <c r="D739" s="20" t="s">
        <v>135</v>
      </c>
      <c r="E739" s="20" t="s">
        <v>1090</v>
      </c>
      <c r="F739" s="20" t="s">
        <v>290</v>
      </c>
      <c r="G739" s="26">
        <f>'Пр.6 ведом.20'!G739</f>
        <v>0</v>
      </c>
      <c r="H739" s="26">
        <f t="shared" si="27"/>
        <v>0</v>
      </c>
    </row>
    <row r="740" spans="1:8" ht="15.75" hidden="1">
      <c r="A740" s="25" t="s">
        <v>291</v>
      </c>
      <c r="B740" s="16">
        <v>907</v>
      </c>
      <c r="C740" s="20" t="s">
        <v>508</v>
      </c>
      <c r="D740" s="20" t="s">
        <v>135</v>
      </c>
      <c r="E740" s="20" t="s">
        <v>1090</v>
      </c>
      <c r="F740" s="20" t="s">
        <v>292</v>
      </c>
      <c r="G740" s="26">
        <f>'Пр.6 ведом.20'!G740</f>
        <v>0</v>
      </c>
      <c r="H740" s="26">
        <f t="shared" si="27"/>
        <v>0</v>
      </c>
    </row>
    <row r="741" spans="1:8" ht="31.5">
      <c r="A741" s="46" t="s">
        <v>789</v>
      </c>
      <c r="B741" s="16">
        <v>907</v>
      </c>
      <c r="C741" s="20" t="s">
        <v>508</v>
      </c>
      <c r="D741" s="20" t="s">
        <v>135</v>
      </c>
      <c r="E741" s="20" t="s">
        <v>1091</v>
      </c>
      <c r="F741" s="20"/>
      <c r="G741" s="26">
        <f>'Пр.6 ведом.20'!G741</f>
        <v>800</v>
      </c>
      <c r="H741" s="26">
        <f t="shared" si="27"/>
        <v>800</v>
      </c>
    </row>
    <row r="742" spans="1:8" ht="31.5">
      <c r="A742" s="32" t="s">
        <v>289</v>
      </c>
      <c r="B742" s="16">
        <v>907</v>
      </c>
      <c r="C742" s="20" t="s">
        <v>508</v>
      </c>
      <c r="D742" s="20" t="s">
        <v>135</v>
      </c>
      <c r="E742" s="20" t="s">
        <v>1091</v>
      </c>
      <c r="F742" s="20" t="s">
        <v>290</v>
      </c>
      <c r="G742" s="26">
        <f>'Пр.6 ведом.20'!G742</f>
        <v>800</v>
      </c>
      <c r="H742" s="26">
        <f t="shared" si="27"/>
        <v>800</v>
      </c>
    </row>
    <row r="743" spans="1:8" ht="15.75">
      <c r="A743" s="32" t="s">
        <v>291</v>
      </c>
      <c r="B743" s="16">
        <v>907</v>
      </c>
      <c r="C743" s="20" t="s">
        <v>508</v>
      </c>
      <c r="D743" s="20" t="s">
        <v>135</v>
      </c>
      <c r="E743" s="20" t="s">
        <v>1091</v>
      </c>
      <c r="F743" s="20" t="s">
        <v>292</v>
      </c>
      <c r="G743" s="26">
        <f>'Пр.6 ведом.20'!G743</f>
        <v>800</v>
      </c>
      <c r="H743" s="26">
        <f t="shared" si="27"/>
        <v>800</v>
      </c>
    </row>
    <row r="744" spans="1:8" ht="47.25">
      <c r="A744" s="23" t="s">
        <v>976</v>
      </c>
      <c r="B744" s="19">
        <v>907</v>
      </c>
      <c r="C744" s="24" t="s">
        <v>508</v>
      </c>
      <c r="D744" s="24" t="s">
        <v>135</v>
      </c>
      <c r="E744" s="24" t="s">
        <v>1092</v>
      </c>
      <c r="F744" s="24"/>
      <c r="G744" s="21">
        <f>G745</f>
        <v>870.2</v>
      </c>
      <c r="H744" s="21">
        <f>H745</f>
        <v>870.2</v>
      </c>
    </row>
    <row r="745" spans="1:8" ht="94.5">
      <c r="A745" s="32" t="s">
        <v>481</v>
      </c>
      <c r="B745" s="16">
        <v>907</v>
      </c>
      <c r="C745" s="20" t="s">
        <v>508</v>
      </c>
      <c r="D745" s="20" t="s">
        <v>135</v>
      </c>
      <c r="E745" s="20" t="s">
        <v>1093</v>
      </c>
      <c r="F745" s="20"/>
      <c r="G745" s="26">
        <f>'Пр.6 ведом.20'!G745</f>
        <v>870.2</v>
      </c>
      <c r="H745" s="26">
        <f t="shared" si="27"/>
        <v>870.2</v>
      </c>
    </row>
    <row r="746" spans="1:8" ht="31.5">
      <c r="A746" s="25" t="s">
        <v>289</v>
      </c>
      <c r="B746" s="16">
        <v>907</v>
      </c>
      <c r="C746" s="20" t="s">
        <v>508</v>
      </c>
      <c r="D746" s="20" t="s">
        <v>135</v>
      </c>
      <c r="E746" s="20" t="s">
        <v>1093</v>
      </c>
      <c r="F746" s="20" t="s">
        <v>290</v>
      </c>
      <c r="G746" s="26">
        <f>'Пр.6 ведом.20'!G746</f>
        <v>870.2</v>
      </c>
      <c r="H746" s="26">
        <f t="shared" si="27"/>
        <v>870.2</v>
      </c>
    </row>
    <row r="747" spans="1:8" ht="15.75">
      <c r="A747" s="25" t="s">
        <v>291</v>
      </c>
      <c r="B747" s="16">
        <v>907</v>
      </c>
      <c r="C747" s="20" t="s">
        <v>508</v>
      </c>
      <c r="D747" s="20" t="s">
        <v>135</v>
      </c>
      <c r="E747" s="20" t="s">
        <v>1093</v>
      </c>
      <c r="F747" s="20" t="s">
        <v>292</v>
      </c>
      <c r="G747" s="26">
        <f>'Пр.6 ведом.20'!G747</f>
        <v>870.2</v>
      </c>
      <c r="H747" s="26">
        <f t="shared" si="27"/>
        <v>870.2</v>
      </c>
    </row>
    <row r="748" spans="1:8" ht="63">
      <c r="A748" s="42" t="s">
        <v>1188</v>
      </c>
      <c r="B748" s="19">
        <v>907</v>
      </c>
      <c r="C748" s="24" t="s">
        <v>508</v>
      </c>
      <c r="D748" s="24" t="s">
        <v>135</v>
      </c>
      <c r="E748" s="24" t="s">
        <v>730</v>
      </c>
      <c r="F748" s="324"/>
      <c r="G748" s="21">
        <f>G749</f>
        <v>540.1</v>
      </c>
      <c r="H748" s="21">
        <f>H749</f>
        <v>540.1</v>
      </c>
    </row>
    <row r="749" spans="1:8" ht="47.25">
      <c r="A749" s="42" t="s">
        <v>954</v>
      </c>
      <c r="B749" s="19">
        <v>907</v>
      </c>
      <c r="C749" s="24" t="s">
        <v>508</v>
      </c>
      <c r="D749" s="24" t="s">
        <v>135</v>
      </c>
      <c r="E749" s="24" t="s">
        <v>952</v>
      </c>
      <c r="F749" s="324"/>
      <c r="G749" s="21">
        <f>G750</f>
        <v>540.1</v>
      </c>
      <c r="H749" s="21">
        <f>H750</f>
        <v>540.1</v>
      </c>
    </row>
    <row r="750" spans="1:8" ht="47.25">
      <c r="A750" s="107" t="s">
        <v>805</v>
      </c>
      <c r="B750" s="16">
        <v>907</v>
      </c>
      <c r="C750" s="20" t="s">
        <v>508</v>
      </c>
      <c r="D750" s="20" t="s">
        <v>135</v>
      </c>
      <c r="E750" s="20" t="s">
        <v>1035</v>
      </c>
      <c r="F750" s="33"/>
      <c r="G750" s="26">
        <f>'Пр.6 ведом.20'!G750</f>
        <v>540.1</v>
      </c>
      <c r="H750" s="26">
        <f t="shared" si="27"/>
        <v>540.1</v>
      </c>
    </row>
    <row r="751" spans="1:8" ht="31.5">
      <c r="A751" s="30" t="s">
        <v>289</v>
      </c>
      <c r="B751" s="16">
        <v>907</v>
      </c>
      <c r="C751" s="20" t="s">
        <v>508</v>
      </c>
      <c r="D751" s="20" t="s">
        <v>135</v>
      </c>
      <c r="E751" s="20" t="s">
        <v>1035</v>
      </c>
      <c r="F751" s="33" t="s">
        <v>290</v>
      </c>
      <c r="G751" s="26">
        <f>'Пр.6 ведом.20'!G751</f>
        <v>540.1</v>
      </c>
      <c r="H751" s="26">
        <f t="shared" si="27"/>
        <v>540.1</v>
      </c>
    </row>
    <row r="752" spans="1:8" ht="15.75">
      <c r="A752" s="208" t="s">
        <v>291</v>
      </c>
      <c r="B752" s="16">
        <v>907</v>
      </c>
      <c r="C752" s="20" t="s">
        <v>508</v>
      </c>
      <c r="D752" s="20" t="s">
        <v>135</v>
      </c>
      <c r="E752" s="20" t="s">
        <v>1035</v>
      </c>
      <c r="F752" s="33" t="s">
        <v>292</v>
      </c>
      <c r="G752" s="26">
        <f>'Пр.6 ведом.20'!G752</f>
        <v>540.1</v>
      </c>
      <c r="H752" s="26">
        <f t="shared" si="27"/>
        <v>540.1</v>
      </c>
    </row>
    <row r="753" spans="1:8" ht="31.5">
      <c r="A753" s="23" t="s">
        <v>517</v>
      </c>
      <c r="B753" s="19">
        <v>907</v>
      </c>
      <c r="C753" s="24" t="s">
        <v>508</v>
      </c>
      <c r="D753" s="24" t="s">
        <v>251</v>
      </c>
      <c r="E753" s="24"/>
      <c r="F753" s="24"/>
      <c r="G753" s="21">
        <f>G754+G762+G774</f>
        <v>12606.723</v>
      </c>
      <c r="H753" s="21">
        <f>H754+H762+H774</f>
        <v>12606.723</v>
      </c>
    </row>
    <row r="754" spans="1:8" ht="31.5">
      <c r="A754" s="23" t="s">
        <v>995</v>
      </c>
      <c r="B754" s="19">
        <v>907</v>
      </c>
      <c r="C754" s="24" t="s">
        <v>508</v>
      </c>
      <c r="D754" s="24" t="s">
        <v>251</v>
      </c>
      <c r="E754" s="24" t="s">
        <v>909</v>
      </c>
      <c r="F754" s="24"/>
      <c r="G754" s="21">
        <f>G755</f>
        <v>4728.834</v>
      </c>
      <c r="H754" s="21">
        <f>H755</f>
        <v>4728.834</v>
      </c>
    </row>
    <row r="755" spans="1:8" ht="15.75">
      <c r="A755" s="23" t="s">
        <v>996</v>
      </c>
      <c r="B755" s="19">
        <v>907</v>
      </c>
      <c r="C755" s="24" t="s">
        <v>508</v>
      </c>
      <c r="D755" s="24" t="s">
        <v>251</v>
      </c>
      <c r="E755" s="24" t="s">
        <v>910</v>
      </c>
      <c r="F755" s="24"/>
      <c r="G755" s="21">
        <f>G756+G759</f>
        <v>4728.834</v>
      </c>
      <c r="H755" s="21">
        <f>H756+H759</f>
        <v>4728.834</v>
      </c>
    </row>
    <row r="756" spans="1:8" ht="31.5">
      <c r="A756" s="25" t="s">
        <v>972</v>
      </c>
      <c r="B756" s="16">
        <v>907</v>
      </c>
      <c r="C756" s="20" t="s">
        <v>508</v>
      </c>
      <c r="D756" s="20" t="s">
        <v>251</v>
      </c>
      <c r="E756" s="20" t="s">
        <v>911</v>
      </c>
      <c r="F756" s="20"/>
      <c r="G756" s="26">
        <f>'Пр.6 ведом.20'!G756</f>
        <v>4628.834</v>
      </c>
      <c r="H756" s="26">
        <f t="shared" si="27"/>
        <v>4628.834</v>
      </c>
    </row>
    <row r="757" spans="1:8" ht="78.75">
      <c r="A757" s="25" t="s">
        <v>144</v>
      </c>
      <c r="B757" s="16">
        <v>907</v>
      </c>
      <c r="C757" s="20" t="s">
        <v>508</v>
      </c>
      <c r="D757" s="20" t="s">
        <v>251</v>
      </c>
      <c r="E757" s="20" t="s">
        <v>911</v>
      </c>
      <c r="F757" s="20" t="s">
        <v>145</v>
      </c>
      <c r="G757" s="26">
        <f>'Пр.6 ведом.20'!G757</f>
        <v>4628.834</v>
      </c>
      <c r="H757" s="26">
        <f t="shared" si="27"/>
        <v>4628.834</v>
      </c>
    </row>
    <row r="758" spans="1:8" ht="31.5">
      <c r="A758" s="25" t="s">
        <v>146</v>
      </c>
      <c r="B758" s="16">
        <v>907</v>
      </c>
      <c r="C758" s="20" t="s">
        <v>508</v>
      </c>
      <c r="D758" s="20" t="s">
        <v>251</v>
      </c>
      <c r="E758" s="20" t="s">
        <v>911</v>
      </c>
      <c r="F758" s="20" t="s">
        <v>147</v>
      </c>
      <c r="G758" s="26">
        <f>'Пр.6 ведом.20'!G758</f>
        <v>4628.834</v>
      </c>
      <c r="H758" s="26">
        <f t="shared" si="27"/>
        <v>4628.834</v>
      </c>
    </row>
    <row r="759" spans="1:8" ht="47.25">
      <c r="A759" s="25" t="s">
        <v>889</v>
      </c>
      <c r="B759" s="16">
        <v>907</v>
      </c>
      <c r="C759" s="20" t="s">
        <v>508</v>
      </c>
      <c r="D759" s="20" t="s">
        <v>251</v>
      </c>
      <c r="E759" s="20" t="s">
        <v>913</v>
      </c>
      <c r="F759" s="20"/>
      <c r="G759" s="26">
        <f>'Пр.6 ведом.20'!G759</f>
        <v>100</v>
      </c>
      <c r="H759" s="26">
        <f t="shared" si="27"/>
        <v>100</v>
      </c>
    </row>
    <row r="760" spans="1:8" ht="78.75">
      <c r="A760" s="25" t="s">
        <v>144</v>
      </c>
      <c r="B760" s="16">
        <v>907</v>
      </c>
      <c r="C760" s="20" t="s">
        <v>508</v>
      </c>
      <c r="D760" s="20" t="s">
        <v>251</v>
      </c>
      <c r="E760" s="20" t="s">
        <v>913</v>
      </c>
      <c r="F760" s="20" t="s">
        <v>145</v>
      </c>
      <c r="G760" s="26">
        <f>'Пр.6 ведом.20'!G760</f>
        <v>100</v>
      </c>
      <c r="H760" s="26">
        <f t="shared" si="27"/>
        <v>100</v>
      </c>
    </row>
    <row r="761" spans="1:8" ht="31.5">
      <c r="A761" s="25" t="s">
        <v>146</v>
      </c>
      <c r="B761" s="16">
        <v>907</v>
      </c>
      <c r="C761" s="20" t="s">
        <v>508</v>
      </c>
      <c r="D761" s="20" t="s">
        <v>251</v>
      </c>
      <c r="E761" s="20" t="s">
        <v>913</v>
      </c>
      <c r="F761" s="20" t="s">
        <v>147</v>
      </c>
      <c r="G761" s="26">
        <f>'Пр.6 ведом.20'!G761</f>
        <v>100</v>
      </c>
      <c r="H761" s="26">
        <f t="shared" si="27"/>
        <v>100</v>
      </c>
    </row>
    <row r="762" spans="1:8" ht="15.75">
      <c r="A762" s="23" t="s">
        <v>158</v>
      </c>
      <c r="B762" s="19">
        <v>907</v>
      </c>
      <c r="C762" s="24" t="s">
        <v>508</v>
      </c>
      <c r="D762" s="24" t="s">
        <v>251</v>
      </c>
      <c r="E762" s="24" t="s">
        <v>917</v>
      </c>
      <c r="F762" s="24"/>
      <c r="G762" s="21">
        <f>G763</f>
        <v>5377.889</v>
      </c>
      <c r="H762" s="21">
        <f>H763</f>
        <v>5377.889</v>
      </c>
    </row>
    <row r="763" spans="1:8" ht="31.5">
      <c r="A763" s="23" t="s">
        <v>1009</v>
      </c>
      <c r="B763" s="19">
        <v>907</v>
      </c>
      <c r="C763" s="24" t="s">
        <v>508</v>
      </c>
      <c r="D763" s="24" t="s">
        <v>251</v>
      </c>
      <c r="E763" s="24" t="s">
        <v>992</v>
      </c>
      <c r="F763" s="24"/>
      <c r="G763" s="21">
        <f>G764+G771</f>
        <v>5377.889</v>
      </c>
      <c r="H763" s="21">
        <f>H764+H771</f>
        <v>5377.889</v>
      </c>
    </row>
    <row r="764" spans="1:8" ht="31.5">
      <c r="A764" s="25" t="s">
        <v>979</v>
      </c>
      <c r="B764" s="16">
        <v>907</v>
      </c>
      <c r="C764" s="20" t="s">
        <v>508</v>
      </c>
      <c r="D764" s="20" t="s">
        <v>251</v>
      </c>
      <c r="E764" s="20" t="s">
        <v>993</v>
      </c>
      <c r="F764" s="20"/>
      <c r="G764" s="26">
        <f>'Пр.6 ведом.20'!G764</f>
        <v>5157.889</v>
      </c>
      <c r="H764" s="26">
        <f t="shared" si="27"/>
        <v>5157.889</v>
      </c>
    </row>
    <row r="765" spans="1:8" ht="78.75">
      <c r="A765" s="25" t="s">
        <v>144</v>
      </c>
      <c r="B765" s="16">
        <v>907</v>
      </c>
      <c r="C765" s="20" t="s">
        <v>508</v>
      </c>
      <c r="D765" s="20" t="s">
        <v>251</v>
      </c>
      <c r="E765" s="20" t="s">
        <v>993</v>
      </c>
      <c r="F765" s="20" t="s">
        <v>145</v>
      </c>
      <c r="G765" s="26">
        <f>'Пр.6 ведом.20'!G765</f>
        <v>4508.889</v>
      </c>
      <c r="H765" s="26">
        <f t="shared" si="27"/>
        <v>4508.889</v>
      </c>
    </row>
    <row r="766" spans="1:8" ht="31.5">
      <c r="A766" s="25" t="s">
        <v>359</v>
      </c>
      <c r="B766" s="16">
        <v>907</v>
      </c>
      <c r="C766" s="20" t="s">
        <v>508</v>
      </c>
      <c r="D766" s="20" t="s">
        <v>251</v>
      </c>
      <c r="E766" s="20" t="s">
        <v>993</v>
      </c>
      <c r="F766" s="20" t="s">
        <v>226</v>
      </c>
      <c r="G766" s="26">
        <f>'Пр.6 ведом.20'!G766</f>
        <v>4508.889</v>
      </c>
      <c r="H766" s="26">
        <f t="shared" si="27"/>
        <v>4508.889</v>
      </c>
    </row>
    <row r="767" spans="1:8" ht="31.5">
      <c r="A767" s="25" t="s">
        <v>148</v>
      </c>
      <c r="B767" s="16">
        <v>907</v>
      </c>
      <c r="C767" s="20" t="s">
        <v>508</v>
      </c>
      <c r="D767" s="20" t="s">
        <v>251</v>
      </c>
      <c r="E767" s="20" t="s">
        <v>993</v>
      </c>
      <c r="F767" s="20" t="s">
        <v>149</v>
      </c>
      <c r="G767" s="26">
        <f>'Пр.6 ведом.20'!G767</f>
        <v>598.0000000000001</v>
      </c>
      <c r="H767" s="26">
        <f t="shared" si="27"/>
        <v>598.0000000000001</v>
      </c>
    </row>
    <row r="768" spans="1:8" ht="31.5">
      <c r="A768" s="25" t="s">
        <v>150</v>
      </c>
      <c r="B768" s="16">
        <v>907</v>
      </c>
      <c r="C768" s="20" t="s">
        <v>508</v>
      </c>
      <c r="D768" s="20" t="s">
        <v>251</v>
      </c>
      <c r="E768" s="20" t="s">
        <v>993</v>
      </c>
      <c r="F768" s="20" t="s">
        <v>151</v>
      </c>
      <c r="G768" s="26">
        <f>'Пр.6 ведом.20'!G768</f>
        <v>598.0000000000001</v>
      </c>
      <c r="H768" s="26">
        <f t="shared" si="27"/>
        <v>598.0000000000001</v>
      </c>
    </row>
    <row r="769" spans="1:8" ht="15.75">
      <c r="A769" s="25" t="s">
        <v>152</v>
      </c>
      <c r="B769" s="16">
        <v>907</v>
      </c>
      <c r="C769" s="20" t="s">
        <v>508</v>
      </c>
      <c r="D769" s="20" t="s">
        <v>251</v>
      </c>
      <c r="E769" s="20" t="s">
        <v>993</v>
      </c>
      <c r="F769" s="20" t="s">
        <v>162</v>
      </c>
      <c r="G769" s="26">
        <f>'Пр.6 ведом.20'!G769</f>
        <v>51</v>
      </c>
      <c r="H769" s="26">
        <f t="shared" si="27"/>
        <v>51</v>
      </c>
    </row>
    <row r="770" spans="1:8" ht="15.75">
      <c r="A770" s="25" t="s">
        <v>585</v>
      </c>
      <c r="B770" s="16">
        <v>907</v>
      </c>
      <c r="C770" s="20" t="s">
        <v>508</v>
      </c>
      <c r="D770" s="20" t="s">
        <v>251</v>
      </c>
      <c r="E770" s="20" t="s">
        <v>993</v>
      </c>
      <c r="F770" s="20" t="s">
        <v>155</v>
      </c>
      <c r="G770" s="26">
        <f>'Пр.6 ведом.20'!G770</f>
        <v>51</v>
      </c>
      <c r="H770" s="26">
        <f t="shared" si="27"/>
        <v>51</v>
      </c>
    </row>
    <row r="771" spans="1:8" ht="47.25">
      <c r="A771" s="25" t="s">
        <v>889</v>
      </c>
      <c r="B771" s="16">
        <v>907</v>
      </c>
      <c r="C771" s="20" t="s">
        <v>508</v>
      </c>
      <c r="D771" s="20" t="s">
        <v>251</v>
      </c>
      <c r="E771" s="20" t="s">
        <v>994</v>
      </c>
      <c r="F771" s="20"/>
      <c r="G771" s="26">
        <f>'Пр.6 ведом.20'!G771</f>
        <v>220</v>
      </c>
      <c r="H771" s="26">
        <f t="shared" si="27"/>
        <v>220</v>
      </c>
    </row>
    <row r="772" spans="1:8" ht="78.75">
      <c r="A772" s="25" t="s">
        <v>144</v>
      </c>
      <c r="B772" s="16">
        <v>907</v>
      </c>
      <c r="C772" s="20" t="s">
        <v>508</v>
      </c>
      <c r="D772" s="20" t="s">
        <v>251</v>
      </c>
      <c r="E772" s="20" t="s">
        <v>994</v>
      </c>
      <c r="F772" s="20" t="s">
        <v>145</v>
      </c>
      <c r="G772" s="26">
        <f>'Пр.6 ведом.20'!G772</f>
        <v>220</v>
      </c>
      <c r="H772" s="26">
        <f t="shared" si="27"/>
        <v>220</v>
      </c>
    </row>
    <row r="773" spans="1:8" ht="19.5" customHeight="1">
      <c r="A773" s="25" t="s">
        <v>359</v>
      </c>
      <c r="B773" s="16">
        <v>907</v>
      </c>
      <c r="C773" s="20" t="s">
        <v>508</v>
      </c>
      <c r="D773" s="20" t="s">
        <v>251</v>
      </c>
      <c r="E773" s="20" t="s">
        <v>994</v>
      </c>
      <c r="F773" s="20" t="s">
        <v>226</v>
      </c>
      <c r="G773" s="26">
        <f>'Пр.6 ведом.20'!G773</f>
        <v>220</v>
      </c>
      <c r="H773" s="26">
        <f t="shared" si="27"/>
        <v>220</v>
      </c>
    </row>
    <row r="774" spans="1:8" ht="47.25">
      <c r="A774" s="42" t="s">
        <v>498</v>
      </c>
      <c r="B774" s="19">
        <v>907</v>
      </c>
      <c r="C774" s="24" t="s">
        <v>508</v>
      </c>
      <c r="D774" s="24" t="s">
        <v>251</v>
      </c>
      <c r="E774" s="7" t="s">
        <v>499</v>
      </c>
      <c r="F774" s="24"/>
      <c r="G774" s="21">
        <f aca="true" t="shared" si="28" ref="G774:H776">G775</f>
        <v>2500</v>
      </c>
      <c r="H774" s="21">
        <f t="shared" si="28"/>
        <v>2500</v>
      </c>
    </row>
    <row r="775" spans="1:8" ht="47.25">
      <c r="A775" s="60" t="s">
        <v>518</v>
      </c>
      <c r="B775" s="19">
        <v>907</v>
      </c>
      <c r="C775" s="24" t="s">
        <v>508</v>
      </c>
      <c r="D775" s="24" t="s">
        <v>251</v>
      </c>
      <c r="E775" s="7" t="s">
        <v>519</v>
      </c>
      <c r="F775" s="24"/>
      <c r="G775" s="21">
        <f t="shared" si="28"/>
        <v>2500</v>
      </c>
      <c r="H775" s="21">
        <f t="shared" si="28"/>
        <v>2500</v>
      </c>
    </row>
    <row r="776" spans="1:8" ht="31.5">
      <c r="A776" s="60" t="s">
        <v>1094</v>
      </c>
      <c r="B776" s="19">
        <v>907</v>
      </c>
      <c r="C776" s="24" t="s">
        <v>508</v>
      </c>
      <c r="D776" s="24" t="s">
        <v>251</v>
      </c>
      <c r="E776" s="7" t="s">
        <v>1095</v>
      </c>
      <c r="F776" s="24"/>
      <c r="G776" s="21">
        <f t="shared" si="28"/>
        <v>2500</v>
      </c>
      <c r="H776" s="21">
        <f t="shared" si="28"/>
        <v>2500</v>
      </c>
    </row>
    <row r="777" spans="1:8" ht="15.75">
      <c r="A777" s="30" t="s">
        <v>1096</v>
      </c>
      <c r="B777" s="16">
        <v>907</v>
      </c>
      <c r="C777" s="20" t="s">
        <v>508</v>
      </c>
      <c r="D777" s="20" t="s">
        <v>251</v>
      </c>
      <c r="E777" s="41" t="s">
        <v>1253</v>
      </c>
      <c r="F777" s="20"/>
      <c r="G777" s="26">
        <f>'Пр.6 ведом.20'!G777</f>
        <v>2500</v>
      </c>
      <c r="H777" s="26">
        <f t="shared" si="27"/>
        <v>2500</v>
      </c>
    </row>
    <row r="778" spans="1:8" ht="78.75">
      <c r="A778" s="25" t="s">
        <v>144</v>
      </c>
      <c r="B778" s="16">
        <v>907</v>
      </c>
      <c r="C778" s="20" t="s">
        <v>508</v>
      </c>
      <c r="D778" s="20" t="s">
        <v>251</v>
      </c>
      <c r="E778" s="41" t="s">
        <v>1253</v>
      </c>
      <c r="F778" s="20" t="s">
        <v>145</v>
      </c>
      <c r="G778" s="26">
        <f>'Пр.6 ведом.20'!G778</f>
        <v>1611</v>
      </c>
      <c r="H778" s="26">
        <f t="shared" si="27"/>
        <v>1611</v>
      </c>
    </row>
    <row r="779" spans="1:8" ht="31.5">
      <c r="A779" s="25" t="s">
        <v>359</v>
      </c>
      <c r="B779" s="16">
        <v>907</v>
      </c>
      <c r="C779" s="20" t="s">
        <v>508</v>
      </c>
      <c r="D779" s="20" t="s">
        <v>251</v>
      </c>
      <c r="E779" s="41" t="s">
        <v>1253</v>
      </c>
      <c r="F779" s="20" t="s">
        <v>226</v>
      </c>
      <c r="G779" s="26">
        <f>'Пр.6 ведом.20'!G779</f>
        <v>1611</v>
      </c>
      <c r="H779" s="26">
        <f t="shared" si="27"/>
        <v>1611</v>
      </c>
    </row>
    <row r="780" spans="1:8" ht="31.5">
      <c r="A780" s="30" t="s">
        <v>148</v>
      </c>
      <c r="B780" s="16">
        <v>907</v>
      </c>
      <c r="C780" s="20" t="s">
        <v>508</v>
      </c>
      <c r="D780" s="20" t="s">
        <v>251</v>
      </c>
      <c r="E780" s="41" t="s">
        <v>1253</v>
      </c>
      <c r="F780" s="20" t="s">
        <v>149</v>
      </c>
      <c r="G780" s="26">
        <f>'Пр.6 ведом.20'!G780</f>
        <v>889</v>
      </c>
      <c r="H780" s="26">
        <f t="shared" si="27"/>
        <v>889</v>
      </c>
    </row>
    <row r="781" spans="1:8" ht="31.5">
      <c r="A781" s="30" t="s">
        <v>150</v>
      </c>
      <c r="B781" s="16">
        <v>907</v>
      </c>
      <c r="C781" s="20" t="s">
        <v>508</v>
      </c>
      <c r="D781" s="20" t="s">
        <v>251</v>
      </c>
      <c r="E781" s="41" t="s">
        <v>1253</v>
      </c>
      <c r="F781" s="20" t="s">
        <v>151</v>
      </c>
      <c r="G781" s="26">
        <f>'Пр.6 ведом.20'!G781</f>
        <v>889</v>
      </c>
      <c r="H781" s="26">
        <f t="shared" si="27"/>
        <v>889</v>
      </c>
    </row>
    <row r="782" spans="1:8" ht="31.5">
      <c r="A782" s="19" t="s">
        <v>521</v>
      </c>
      <c r="B782" s="19">
        <v>908</v>
      </c>
      <c r="C782" s="20"/>
      <c r="D782" s="20"/>
      <c r="E782" s="20"/>
      <c r="F782" s="20"/>
      <c r="G782" s="21">
        <f>G797+G804+G823+G981+G783</f>
        <v>93824.496</v>
      </c>
      <c r="H782" s="21">
        <f>H797+H804+H823+H981+H783</f>
        <v>93824.496</v>
      </c>
    </row>
    <row r="783" spans="1:8" ht="15.75">
      <c r="A783" s="35" t="s">
        <v>134</v>
      </c>
      <c r="B783" s="19">
        <v>908</v>
      </c>
      <c r="C783" s="24" t="s">
        <v>135</v>
      </c>
      <c r="D783" s="20"/>
      <c r="E783" s="20"/>
      <c r="F783" s="20"/>
      <c r="G783" s="21">
        <f aca="true" t="shared" si="29" ref="G783:H785">G784</f>
        <v>46570</v>
      </c>
      <c r="H783" s="21">
        <f t="shared" si="29"/>
        <v>46570</v>
      </c>
    </row>
    <row r="784" spans="1:8" ht="15.75">
      <c r="A784" s="35" t="s">
        <v>156</v>
      </c>
      <c r="B784" s="19">
        <v>908</v>
      </c>
      <c r="C784" s="24" t="s">
        <v>135</v>
      </c>
      <c r="D784" s="24" t="s">
        <v>157</v>
      </c>
      <c r="E784" s="20"/>
      <c r="F784" s="20"/>
      <c r="G784" s="21">
        <f t="shared" si="29"/>
        <v>46570</v>
      </c>
      <c r="H784" s="21">
        <f t="shared" si="29"/>
        <v>46570</v>
      </c>
    </row>
    <row r="785" spans="1:8" ht="15.75">
      <c r="A785" s="23" t="s">
        <v>158</v>
      </c>
      <c r="B785" s="19">
        <v>908</v>
      </c>
      <c r="C785" s="24" t="s">
        <v>135</v>
      </c>
      <c r="D785" s="24" t="s">
        <v>157</v>
      </c>
      <c r="E785" s="24" t="s">
        <v>917</v>
      </c>
      <c r="F785" s="24"/>
      <c r="G785" s="45">
        <f t="shared" si="29"/>
        <v>46570</v>
      </c>
      <c r="H785" s="45">
        <f t="shared" si="29"/>
        <v>46570</v>
      </c>
    </row>
    <row r="786" spans="1:8" ht="15.75">
      <c r="A786" s="23" t="s">
        <v>1098</v>
      </c>
      <c r="B786" s="19">
        <v>908</v>
      </c>
      <c r="C786" s="24" t="s">
        <v>135</v>
      </c>
      <c r="D786" s="24" t="s">
        <v>157</v>
      </c>
      <c r="E786" s="24" t="s">
        <v>1097</v>
      </c>
      <c r="F786" s="24"/>
      <c r="G786" s="45">
        <f>G790+G787</f>
        <v>46570</v>
      </c>
      <c r="H786" s="45">
        <f>H790+H787</f>
        <v>46570</v>
      </c>
    </row>
    <row r="787" spans="1:8" ht="47.25">
      <c r="A787" s="25" t="s">
        <v>889</v>
      </c>
      <c r="B787" s="16">
        <v>908</v>
      </c>
      <c r="C787" s="20" t="s">
        <v>135</v>
      </c>
      <c r="D787" s="20" t="s">
        <v>157</v>
      </c>
      <c r="E787" s="20" t="s">
        <v>1100</v>
      </c>
      <c r="F787" s="20"/>
      <c r="G787" s="26">
        <f>'Пр.6 ведом.20'!G787</f>
        <v>675</v>
      </c>
      <c r="H787" s="26">
        <f aca="true" t="shared" si="30" ref="H787:H850">G787</f>
        <v>675</v>
      </c>
    </row>
    <row r="788" spans="1:8" ht="78.75">
      <c r="A788" s="25" t="s">
        <v>144</v>
      </c>
      <c r="B788" s="16">
        <v>908</v>
      </c>
      <c r="C788" s="20" t="s">
        <v>135</v>
      </c>
      <c r="D788" s="20" t="s">
        <v>157</v>
      </c>
      <c r="E788" s="20" t="s">
        <v>1100</v>
      </c>
      <c r="F788" s="20" t="s">
        <v>145</v>
      </c>
      <c r="G788" s="26">
        <f>'Пр.6 ведом.20'!G788</f>
        <v>675</v>
      </c>
      <c r="H788" s="26">
        <f t="shared" si="30"/>
        <v>675</v>
      </c>
    </row>
    <row r="789" spans="1:8" ht="31.5">
      <c r="A789" s="25" t="s">
        <v>146</v>
      </c>
      <c r="B789" s="16">
        <v>908</v>
      </c>
      <c r="C789" s="20" t="s">
        <v>135</v>
      </c>
      <c r="D789" s="20" t="s">
        <v>157</v>
      </c>
      <c r="E789" s="20" t="s">
        <v>1100</v>
      </c>
      <c r="F789" s="20" t="s">
        <v>226</v>
      </c>
      <c r="G789" s="26">
        <f>'Пр.6 ведом.20'!G789</f>
        <v>675</v>
      </c>
      <c r="H789" s="26">
        <f t="shared" si="30"/>
        <v>675</v>
      </c>
    </row>
    <row r="790" spans="1:8" ht="15.75">
      <c r="A790" s="25" t="s">
        <v>837</v>
      </c>
      <c r="B790" s="16">
        <v>908</v>
      </c>
      <c r="C790" s="20" t="s">
        <v>135</v>
      </c>
      <c r="D790" s="20" t="s">
        <v>157</v>
      </c>
      <c r="E790" s="20" t="s">
        <v>1099</v>
      </c>
      <c r="F790" s="20"/>
      <c r="G790" s="26">
        <f>'Пр.6 ведом.20'!G790</f>
        <v>45895</v>
      </c>
      <c r="H790" s="26">
        <f t="shared" si="30"/>
        <v>45895</v>
      </c>
    </row>
    <row r="791" spans="1:8" ht="78.75">
      <c r="A791" s="25" t="s">
        <v>144</v>
      </c>
      <c r="B791" s="16">
        <v>908</v>
      </c>
      <c r="C791" s="20" t="s">
        <v>135</v>
      </c>
      <c r="D791" s="20" t="s">
        <v>157</v>
      </c>
      <c r="E791" s="20" t="s">
        <v>1099</v>
      </c>
      <c r="F791" s="20" t="s">
        <v>145</v>
      </c>
      <c r="G791" s="26">
        <f>'Пр.6 ведом.20'!G791</f>
        <v>34924</v>
      </c>
      <c r="H791" s="26">
        <f t="shared" si="30"/>
        <v>34924</v>
      </c>
    </row>
    <row r="792" spans="1:8" ht="31.5">
      <c r="A792" s="47" t="s">
        <v>359</v>
      </c>
      <c r="B792" s="16">
        <v>908</v>
      </c>
      <c r="C792" s="20" t="s">
        <v>135</v>
      </c>
      <c r="D792" s="20" t="s">
        <v>157</v>
      </c>
      <c r="E792" s="20" t="s">
        <v>1099</v>
      </c>
      <c r="F792" s="20" t="s">
        <v>226</v>
      </c>
      <c r="G792" s="26">
        <f>'Пр.6 ведом.20'!G792</f>
        <v>34924</v>
      </c>
      <c r="H792" s="26">
        <f t="shared" si="30"/>
        <v>34924</v>
      </c>
    </row>
    <row r="793" spans="1:8" ht="31.5">
      <c r="A793" s="25" t="s">
        <v>148</v>
      </c>
      <c r="B793" s="16">
        <v>908</v>
      </c>
      <c r="C793" s="20" t="s">
        <v>135</v>
      </c>
      <c r="D793" s="20" t="s">
        <v>157</v>
      </c>
      <c r="E793" s="20" t="s">
        <v>1099</v>
      </c>
      <c r="F793" s="20" t="s">
        <v>149</v>
      </c>
      <c r="G793" s="26">
        <f>'Пр.6 ведом.20'!G793</f>
        <v>10549.999999999998</v>
      </c>
      <c r="H793" s="26">
        <f t="shared" si="30"/>
        <v>10549.999999999998</v>
      </c>
    </row>
    <row r="794" spans="1:8" ht="31.5">
      <c r="A794" s="25" t="s">
        <v>150</v>
      </c>
      <c r="B794" s="16">
        <v>908</v>
      </c>
      <c r="C794" s="20" t="s">
        <v>135</v>
      </c>
      <c r="D794" s="20" t="s">
        <v>157</v>
      </c>
      <c r="E794" s="20" t="s">
        <v>1099</v>
      </c>
      <c r="F794" s="20" t="s">
        <v>151</v>
      </c>
      <c r="G794" s="26">
        <f>'Пр.6 ведом.20'!G794</f>
        <v>10549.999999999998</v>
      </c>
      <c r="H794" s="26">
        <f t="shared" si="30"/>
        <v>10549.999999999998</v>
      </c>
    </row>
    <row r="795" spans="1:8" ht="15.75">
      <c r="A795" s="25" t="s">
        <v>152</v>
      </c>
      <c r="B795" s="16">
        <v>908</v>
      </c>
      <c r="C795" s="20" t="s">
        <v>135</v>
      </c>
      <c r="D795" s="20" t="s">
        <v>157</v>
      </c>
      <c r="E795" s="20" t="s">
        <v>1099</v>
      </c>
      <c r="F795" s="20" t="s">
        <v>162</v>
      </c>
      <c r="G795" s="26">
        <f>'Пр.6 ведом.20'!G795</f>
        <v>421</v>
      </c>
      <c r="H795" s="26">
        <f t="shared" si="30"/>
        <v>421</v>
      </c>
    </row>
    <row r="796" spans="1:8" ht="15.75">
      <c r="A796" s="25" t="s">
        <v>729</v>
      </c>
      <c r="B796" s="16">
        <v>908</v>
      </c>
      <c r="C796" s="20" t="s">
        <v>135</v>
      </c>
      <c r="D796" s="20" t="s">
        <v>157</v>
      </c>
      <c r="E796" s="20" t="s">
        <v>1099</v>
      </c>
      <c r="F796" s="20" t="s">
        <v>155</v>
      </c>
      <c r="G796" s="26">
        <f>'Пр.6 ведом.20'!G796</f>
        <v>421</v>
      </c>
      <c r="H796" s="26">
        <f t="shared" si="30"/>
        <v>421</v>
      </c>
    </row>
    <row r="797" spans="1:8" ht="31.5">
      <c r="A797" s="23" t="s">
        <v>239</v>
      </c>
      <c r="B797" s="19">
        <v>908</v>
      </c>
      <c r="C797" s="24" t="s">
        <v>232</v>
      </c>
      <c r="D797" s="24"/>
      <c r="E797" s="24"/>
      <c r="F797" s="24"/>
      <c r="G797" s="21">
        <f aca="true" t="shared" si="31" ref="G797:H800">G798</f>
        <v>107</v>
      </c>
      <c r="H797" s="21">
        <f t="shared" si="31"/>
        <v>107</v>
      </c>
    </row>
    <row r="798" spans="1:8" ht="47.25">
      <c r="A798" s="23" t="s">
        <v>240</v>
      </c>
      <c r="B798" s="19">
        <v>908</v>
      </c>
      <c r="C798" s="24" t="s">
        <v>232</v>
      </c>
      <c r="D798" s="24" t="s">
        <v>236</v>
      </c>
      <c r="E798" s="24"/>
      <c r="F798" s="24"/>
      <c r="G798" s="21">
        <f t="shared" si="31"/>
        <v>107</v>
      </c>
      <c r="H798" s="21">
        <f t="shared" si="31"/>
        <v>107</v>
      </c>
    </row>
    <row r="799" spans="1:8" ht="15.75">
      <c r="A799" s="23" t="s">
        <v>158</v>
      </c>
      <c r="B799" s="19">
        <v>908</v>
      </c>
      <c r="C799" s="24" t="s">
        <v>232</v>
      </c>
      <c r="D799" s="24" t="s">
        <v>236</v>
      </c>
      <c r="E799" s="24" t="s">
        <v>917</v>
      </c>
      <c r="F799" s="24"/>
      <c r="G799" s="21">
        <f t="shared" si="31"/>
        <v>107</v>
      </c>
      <c r="H799" s="21">
        <f t="shared" si="31"/>
        <v>107</v>
      </c>
    </row>
    <row r="800" spans="1:8" ht="31.5">
      <c r="A800" s="23" t="s">
        <v>921</v>
      </c>
      <c r="B800" s="19">
        <v>908</v>
      </c>
      <c r="C800" s="24" t="s">
        <v>232</v>
      </c>
      <c r="D800" s="24" t="s">
        <v>236</v>
      </c>
      <c r="E800" s="24" t="s">
        <v>916</v>
      </c>
      <c r="F800" s="24"/>
      <c r="G800" s="21">
        <f t="shared" si="31"/>
        <v>107</v>
      </c>
      <c r="H800" s="21">
        <f t="shared" si="31"/>
        <v>107</v>
      </c>
    </row>
    <row r="801" spans="1:8" ht="15.75">
      <c r="A801" s="25" t="s">
        <v>247</v>
      </c>
      <c r="B801" s="16">
        <v>908</v>
      </c>
      <c r="C801" s="20" t="s">
        <v>232</v>
      </c>
      <c r="D801" s="20" t="s">
        <v>236</v>
      </c>
      <c r="E801" s="20" t="s">
        <v>927</v>
      </c>
      <c r="F801" s="20"/>
      <c r="G801" s="26">
        <f>'Пр.6 ведом.20'!G801</f>
        <v>107</v>
      </c>
      <c r="H801" s="26">
        <f t="shared" si="30"/>
        <v>107</v>
      </c>
    </row>
    <row r="802" spans="1:8" ht="31.5">
      <c r="A802" s="25" t="s">
        <v>148</v>
      </c>
      <c r="B802" s="16">
        <v>908</v>
      </c>
      <c r="C802" s="20" t="s">
        <v>232</v>
      </c>
      <c r="D802" s="20" t="s">
        <v>236</v>
      </c>
      <c r="E802" s="20" t="s">
        <v>927</v>
      </c>
      <c r="F802" s="20" t="s">
        <v>149</v>
      </c>
      <c r="G802" s="26">
        <f>'Пр.6 ведом.20'!G802</f>
        <v>107</v>
      </c>
      <c r="H802" s="26">
        <f t="shared" si="30"/>
        <v>107</v>
      </c>
    </row>
    <row r="803" spans="1:8" ht="31.5">
      <c r="A803" s="25" t="s">
        <v>150</v>
      </c>
      <c r="B803" s="16">
        <v>908</v>
      </c>
      <c r="C803" s="20" t="s">
        <v>232</v>
      </c>
      <c r="D803" s="20" t="s">
        <v>236</v>
      </c>
      <c r="E803" s="20" t="s">
        <v>927</v>
      </c>
      <c r="F803" s="20" t="s">
        <v>151</v>
      </c>
      <c r="G803" s="26">
        <f>'Пр.6 ведом.20'!G803</f>
        <v>107</v>
      </c>
      <c r="H803" s="26">
        <f t="shared" si="30"/>
        <v>107</v>
      </c>
    </row>
    <row r="804" spans="1:8" ht="15.75">
      <c r="A804" s="23" t="s">
        <v>249</v>
      </c>
      <c r="B804" s="19">
        <v>908</v>
      </c>
      <c r="C804" s="24" t="s">
        <v>167</v>
      </c>
      <c r="D804" s="24"/>
      <c r="E804" s="24"/>
      <c r="F804" s="24"/>
      <c r="G804" s="21">
        <f>G805+G811</f>
        <v>7804.2</v>
      </c>
      <c r="H804" s="21">
        <f>H805+H811</f>
        <v>7804.2</v>
      </c>
    </row>
    <row r="805" spans="1:8" ht="15.75">
      <c r="A805" s="23" t="s">
        <v>522</v>
      </c>
      <c r="B805" s="19">
        <v>908</v>
      </c>
      <c r="C805" s="24" t="s">
        <v>167</v>
      </c>
      <c r="D805" s="24" t="s">
        <v>316</v>
      </c>
      <c r="E805" s="24"/>
      <c r="F805" s="24"/>
      <c r="G805" s="21">
        <f aca="true" t="shared" si="32" ref="G805:H807">G806</f>
        <v>3258</v>
      </c>
      <c r="H805" s="21">
        <f t="shared" si="32"/>
        <v>3258</v>
      </c>
    </row>
    <row r="806" spans="1:8" ht="15.75">
      <c r="A806" s="23" t="s">
        <v>158</v>
      </c>
      <c r="B806" s="19">
        <v>908</v>
      </c>
      <c r="C806" s="24" t="s">
        <v>167</v>
      </c>
      <c r="D806" s="24" t="s">
        <v>316</v>
      </c>
      <c r="E806" s="24" t="s">
        <v>917</v>
      </c>
      <c r="F806" s="24"/>
      <c r="G806" s="21">
        <f t="shared" si="32"/>
        <v>3258</v>
      </c>
      <c r="H806" s="21">
        <f t="shared" si="32"/>
        <v>3258</v>
      </c>
    </row>
    <row r="807" spans="1:8" ht="31.5">
      <c r="A807" s="23" t="s">
        <v>921</v>
      </c>
      <c r="B807" s="19">
        <v>908</v>
      </c>
      <c r="C807" s="24" t="s">
        <v>167</v>
      </c>
      <c r="D807" s="24" t="s">
        <v>316</v>
      </c>
      <c r="E807" s="24" t="s">
        <v>916</v>
      </c>
      <c r="F807" s="24"/>
      <c r="G807" s="21">
        <f t="shared" si="32"/>
        <v>3258</v>
      </c>
      <c r="H807" s="21">
        <f t="shared" si="32"/>
        <v>3258</v>
      </c>
    </row>
    <row r="808" spans="1:8" ht="15.75">
      <c r="A808" s="25" t="s">
        <v>523</v>
      </c>
      <c r="B808" s="16">
        <v>908</v>
      </c>
      <c r="C808" s="20" t="s">
        <v>167</v>
      </c>
      <c r="D808" s="20" t="s">
        <v>316</v>
      </c>
      <c r="E808" s="20" t="s">
        <v>1101</v>
      </c>
      <c r="F808" s="20"/>
      <c r="G808" s="26">
        <f>'Пр.6 ведом.20'!G808</f>
        <v>3258</v>
      </c>
      <c r="H808" s="26">
        <f t="shared" si="30"/>
        <v>3258</v>
      </c>
    </row>
    <row r="809" spans="1:8" ht="31.5">
      <c r="A809" s="25" t="s">
        <v>148</v>
      </c>
      <c r="B809" s="16">
        <v>908</v>
      </c>
      <c r="C809" s="20" t="s">
        <v>167</v>
      </c>
      <c r="D809" s="20" t="s">
        <v>316</v>
      </c>
      <c r="E809" s="20" t="s">
        <v>1101</v>
      </c>
      <c r="F809" s="20" t="s">
        <v>149</v>
      </c>
      <c r="G809" s="26">
        <f>'Пр.6 ведом.20'!G809</f>
        <v>3258</v>
      </c>
      <c r="H809" s="26">
        <f t="shared" si="30"/>
        <v>3258</v>
      </c>
    </row>
    <row r="810" spans="1:8" ht="31.5">
      <c r="A810" s="25" t="s">
        <v>150</v>
      </c>
      <c r="B810" s="16">
        <v>908</v>
      </c>
      <c r="C810" s="20" t="s">
        <v>167</v>
      </c>
      <c r="D810" s="20" t="s">
        <v>316</v>
      </c>
      <c r="E810" s="20" t="s">
        <v>1101</v>
      </c>
      <c r="F810" s="20" t="s">
        <v>151</v>
      </c>
      <c r="G810" s="26">
        <f>'Пр.6 ведом.20'!G810</f>
        <v>3258</v>
      </c>
      <c r="H810" s="26">
        <f t="shared" si="30"/>
        <v>3258</v>
      </c>
    </row>
    <row r="811" spans="1:8" ht="15.75">
      <c r="A811" s="23" t="s">
        <v>525</v>
      </c>
      <c r="B811" s="19">
        <v>908</v>
      </c>
      <c r="C811" s="24" t="s">
        <v>167</v>
      </c>
      <c r="D811" s="24" t="s">
        <v>236</v>
      </c>
      <c r="E811" s="20"/>
      <c r="F811" s="24"/>
      <c r="G811" s="21">
        <f>G812</f>
        <v>4546.2</v>
      </c>
      <c r="H811" s="21">
        <f>H812</f>
        <v>4546.2</v>
      </c>
    </row>
    <row r="812" spans="1:8" ht="47.25">
      <c r="A812" s="35" t="s">
        <v>1190</v>
      </c>
      <c r="B812" s="19">
        <v>908</v>
      </c>
      <c r="C812" s="24" t="s">
        <v>167</v>
      </c>
      <c r="D812" s="24" t="s">
        <v>236</v>
      </c>
      <c r="E812" s="24" t="s">
        <v>527</v>
      </c>
      <c r="F812" s="24"/>
      <c r="G812" s="21">
        <f>G818+G813</f>
        <v>4546.2</v>
      </c>
      <c r="H812" s="21">
        <f>H818+H813</f>
        <v>4546.2</v>
      </c>
    </row>
    <row r="813" spans="1:8" ht="31.5" hidden="1">
      <c r="A813" s="35" t="s">
        <v>1159</v>
      </c>
      <c r="B813" s="19">
        <v>908</v>
      </c>
      <c r="C813" s="24" t="s">
        <v>167</v>
      </c>
      <c r="D813" s="24" t="s">
        <v>236</v>
      </c>
      <c r="E813" s="7" t="s">
        <v>1102</v>
      </c>
      <c r="F813" s="24"/>
      <c r="G813" s="21">
        <f>G814</f>
        <v>0</v>
      </c>
      <c r="H813" s="21">
        <f>H814</f>
        <v>0</v>
      </c>
    </row>
    <row r="814" spans="1:8" ht="15.75" hidden="1">
      <c r="A814" s="30" t="s">
        <v>1161</v>
      </c>
      <c r="B814" s="16">
        <v>908</v>
      </c>
      <c r="C814" s="20" t="s">
        <v>167</v>
      </c>
      <c r="D814" s="20" t="s">
        <v>236</v>
      </c>
      <c r="E814" s="41" t="s">
        <v>1160</v>
      </c>
      <c r="F814" s="20"/>
      <c r="G814" s="26">
        <f>'Пр.6 ведом.20'!G814</f>
        <v>0</v>
      </c>
      <c r="H814" s="26">
        <f t="shared" si="30"/>
        <v>0</v>
      </c>
    </row>
    <row r="815" spans="1:8" ht="31.5" hidden="1">
      <c r="A815" s="25" t="s">
        <v>148</v>
      </c>
      <c r="B815" s="16">
        <v>908</v>
      </c>
      <c r="C815" s="20" t="s">
        <v>167</v>
      </c>
      <c r="D815" s="20" t="s">
        <v>236</v>
      </c>
      <c r="E815" s="41" t="s">
        <v>1160</v>
      </c>
      <c r="F815" s="20" t="s">
        <v>149</v>
      </c>
      <c r="G815" s="26">
        <f>'Пр.6 ведом.20'!G815</f>
        <v>0</v>
      </c>
      <c r="H815" s="26">
        <f t="shared" si="30"/>
        <v>0</v>
      </c>
    </row>
    <row r="816" spans="1:8" ht="31.5" hidden="1">
      <c r="A816" s="25" t="s">
        <v>150</v>
      </c>
      <c r="B816" s="16">
        <v>908</v>
      </c>
      <c r="C816" s="20" t="s">
        <v>167</v>
      </c>
      <c r="D816" s="20" t="s">
        <v>236</v>
      </c>
      <c r="E816" s="41" t="s">
        <v>1160</v>
      </c>
      <c r="F816" s="20" t="s">
        <v>151</v>
      </c>
      <c r="G816" s="26">
        <f>'Пр.6 ведом.20'!G816</f>
        <v>0</v>
      </c>
      <c r="H816" s="26">
        <f t="shared" si="30"/>
        <v>0</v>
      </c>
    </row>
    <row r="817" spans="1:8" ht="31.5">
      <c r="A817" s="35" t="s">
        <v>1254</v>
      </c>
      <c r="B817" s="19">
        <v>908</v>
      </c>
      <c r="C817" s="24" t="s">
        <v>167</v>
      </c>
      <c r="D817" s="24" t="s">
        <v>236</v>
      </c>
      <c r="E817" s="24" t="s">
        <v>1103</v>
      </c>
      <c r="F817" s="24"/>
      <c r="G817" s="21">
        <f>G818</f>
        <v>4546.2</v>
      </c>
      <c r="H817" s="21">
        <f>H818</f>
        <v>4546.2</v>
      </c>
    </row>
    <row r="818" spans="1:8" ht="15.75">
      <c r="A818" s="30" t="s">
        <v>528</v>
      </c>
      <c r="B818" s="16">
        <v>908</v>
      </c>
      <c r="C818" s="20" t="s">
        <v>167</v>
      </c>
      <c r="D818" s="20" t="s">
        <v>236</v>
      </c>
      <c r="E818" s="41" t="s">
        <v>1162</v>
      </c>
      <c r="F818" s="20"/>
      <c r="G818" s="26">
        <f>G819+G821</f>
        <v>4546.2</v>
      </c>
      <c r="H818" s="26">
        <f>H819+H821</f>
        <v>4546.2</v>
      </c>
    </row>
    <row r="819" spans="1:8" ht="31.5">
      <c r="A819" s="25" t="s">
        <v>148</v>
      </c>
      <c r="B819" s="16">
        <v>908</v>
      </c>
      <c r="C819" s="20" t="s">
        <v>167</v>
      </c>
      <c r="D819" s="20" t="s">
        <v>236</v>
      </c>
      <c r="E819" s="41" t="s">
        <v>1162</v>
      </c>
      <c r="F819" s="20" t="s">
        <v>149</v>
      </c>
      <c r="G819" s="26">
        <f>G820</f>
        <v>4546.2</v>
      </c>
      <c r="H819" s="26">
        <f>H820</f>
        <v>4546.2</v>
      </c>
    </row>
    <row r="820" spans="1:8" ht="31.5">
      <c r="A820" s="25" t="s">
        <v>150</v>
      </c>
      <c r="B820" s="16">
        <v>908</v>
      </c>
      <c r="C820" s="20" t="s">
        <v>167</v>
      </c>
      <c r="D820" s="20" t="s">
        <v>236</v>
      </c>
      <c r="E820" s="41" t="s">
        <v>1162</v>
      </c>
      <c r="F820" s="20" t="s">
        <v>151</v>
      </c>
      <c r="G820" s="26">
        <v>4546.2</v>
      </c>
      <c r="H820" s="26">
        <f t="shared" si="30"/>
        <v>4546.2</v>
      </c>
    </row>
    <row r="821" spans="1:8" ht="15.75" hidden="1">
      <c r="A821" s="25" t="s">
        <v>152</v>
      </c>
      <c r="B821" s="16">
        <v>908</v>
      </c>
      <c r="C821" s="20" t="s">
        <v>167</v>
      </c>
      <c r="D821" s="20" t="s">
        <v>236</v>
      </c>
      <c r="E821" s="41" t="s">
        <v>1162</v>
      </c>
      <c r="F821" s="20" t="s">
        <v>162</v>
      </c>
      <c r="G821" s="26">
        <f>'Пр.6 ведом.20'!G821</f>
        <v>0</v>
      </c>
      <c r="H821" s="26">
        <f t="shared" si="30"/>
        <v>0</v>
      </c>
    </row>
    <row r="822" spans="1:8" ht="15.75" hidden="1">
      <c r="A822" s="25" t="s">
        <v>585</v>
      </c>
      <c r="B822" s="16">
        <v>908</v>
      </c>
      <c r="C822" s="20" t="s">
        <v>167</v>
      </c>
      <c r="D822" s="20" t="s">
        <v>236</v>
      </c>
      <c r="E822" s="41" t="s">
        <v>1162</v>
      </c>
      <c r="F822" s="20" t="s">
        <v>155</v>
      </c>
      <c r="G822" s="26">
        <f>'Пр.6 ведом.20'!G822</f>
        <v>0</v>
      </c>
      <c r="H822" s="26">
        <f t="shared" si="30"/>
        <v>0</v>
      </c>
    </row>
    <row r="823" spans="1:8" ht="15.75">
      <c r="A823" s="23" t="s">
        <v>407</v>
      </c>
      <c r="B823" s="19">
        <v>908</v>
      </c>
      <c r="C823" s="24" t="s">
        <v>251</v>
      </c>
      <c r="D823" s="24"/>
      <c r="E823" s="24"/>
      <c r="F823" s="24"/>
      <c r="G823" s="21">
        <f>G824+G838+G897+G946</f>
        <v>39256.296</v>
      </c>
      <c r="H823" s="21">
        <f>H824+H838+H897+H946</f>
        <v>39256.296</v>
      </c>
    </row>
    <row r="824" spans="1:8" ht="15.75">
      <c r="A824" s="23" t="s">
        <v>408</v>
      </c>
      <c r="B824" s="19">
        <v>908</v>
      </c>
      <c r="C824" s="24" t="s">
        <v>251</v>
      </c>
      <c r="D824" s="24" t="s">
        <v>135</v>
      </c>
      <c r="E824" s="24"/>
      <c r="F824" s="24"/>
      <c r="G824" s="21">
        <f>G825</f>
        <v>5160</v>
      </c>
      <c r="H824" s="21">
        <f>H825</f>
        <v>5160</v>
      </c>
    </row>
    <row r="825" spans="1:8" ht="15.75">
      <c r="A825" s="23" t="s">
        <v>158</v>
      </c>
      <c r="B825" s="19">
        <v>908</v>
      </c>
      <c r="C825" s="24" t="s">
        <v>251</v>
      </c>
      <c r="D825" s="24" t="s">
        <v>135</v>
      </c>
      <c r="E825" s="24" t="s">
        <v>917</v>
      </c>
      <c r="F825" s="24"/>
      <c r="G825" s="21">
        <f>G826</f>
        <v>5160</v>
      </c>
      <c r="H825" s="21">
        <f>H826</f>
        <v>5160</v>
      </c>
    </row>
    <row r="826" spans="1:8" ht="31.5">
      <c r="A826" s="23" t="s">
        <v>921</v>
      </c>
      <c r="B826" s="19">
        <v>908</v>
      </c>
      <c r="C826" s="24" t="s">
        <v>251</v>
      </c>
      <c r="D826" s="24" t="s">
        <v>135</v>
      </c>
      <c r="E826" s="24" t="s">
        <v>916</v>
      </c>
      <c r="F826" s="24"/>
      <c r="G826" s="21">
        <f>G835+G832+G827</f>
        <v>5160</v>
      </c>
      <c r="H826" s="21">
        <f>H835+H832+H827</f>
        <v>5160</v>
      </c>
    </row>
    <row r="827" spans="1:8" ht="15.75" hidden="1">
      <c r="A827" s="25" t="s">
        <v>532</v>
      </c>
      <c r="B827" s="16">
        <v>908</v>
      </c>
      <c r="C827" s="20" t="s">
        <v>799</v>
      </c>
      <c r="D827" s="20" t="s">
        <v>135</v>
      </c>
      <c r="E827" s="20" t="s">
        <v>1104</v>
      </c>
      <c r="F827" s="24"/>
      <c r="G827" s="26">
        <f>'Пр.6 ведом.20'!G827</f>
        <v>0</v>
      </c>
      <c r="H827" s="26">
        <f t="shared" si="30"/>
        <v>0</v>
      </c>
    </row>
    <row r="828" spans="1:8" ht="31.5" hidden="1">
      <c r="A828" s="25" t="s">
        <v>148</v>
      </c>
      <c r="B828" s="16">
        <v>908</v>
      </c>
      <c r="C828" s="20" t="s">
        <v>251</v>
      </c>
      <c r="D828" s="20" t="s">
        <v>135</v>
      </c>
      <c r="E828" s="20" t="s">
        <v>1104</v>
      </c>
      <c r="F828" s="20" t="s">
        <v>149</v>
      </c>
      <c r="G828" s="26">
        <f>'Пр.6 ведом.20'!G828</f>
        <v>0</v>
      </c>
      <c r="H828" s="26">
        <f t="shared" si="30"/>
        <v>0</v>
      </c>
    </row>
    <row r="829" spans="1:8" ht="31.5" hidden="1">
      <c r="A829" s="25" t="s">
        <v>150</v>
      </c>
      <c r="B829" s="16">
        <v>908</v>
      </c>
      <c r="C829" s="20" t="s">
        <v>251</v>
      </c>
      <c r="D829" s="20" t="s">
        <v>135</v>
      </c>
      <c r="E829" s="20" t="s">
        <v>1104</v>
      </c>
      <c r="F829" s="20" t="s">
        <v>151</v>
      </c>
      <c r="G829" s="26">
        <f>'Пр.6 ведом.20'!G829</f>
        <v>0</v>
      </c>
      <c r="H829" s="26">
        <f t="shared" si="30"/>
        <v>0</v>
      </c>
    </row>
    <row r="830" spans="1:8" ht="15.75" hidden="1">
      <c r="A830" s="25" t="s">
        <v>152</v>
      </c>
      <c r="B830" s="16">
        <v>908</v>
      </c>
      <c r="C830" s="20" t="s">
        <v>251</v>
      </c>
      <c r="D830" s="20" t="s">
        <v>135</v>
      </c>
      <c r="E830" s="20" t="s">
        <v>1104</v>
      </c>
      <c r="F830" s="20" t="s">
        <v>162</v>
      </c>
      <c r="G830" s="26">
        <f>'Пр.6 ведом.20'!G830</f>
        <v>0</v>
      </c>
      <c r="H830" s="26">
        <f t="shared" si="30"/>
        <v>0</v>
      </c>
    </row>
    <row r="831" spans="1:8" ht="47.25" hidden="1">
      <c r="A831" s="25" t="s">
        <v>201</v>
      </c>
      <c r="B831" s="16">
        <v>908</v>
      </c>
      <c r="C831" s="20" t="s">
        <v>251</v>
      </c>
      <c r="D831" s="20" t="s">
        <v>135</v>
      </c>
      <c r="E831" s="20" t="s">
        <v>1104</v>
      </c>
      <c r="F831" s="20" t="s">
        <v>177</v>
      </c>
      <c r="G831" s="26">
        <f>'Пр.6 ведом.20'!G831</f>
        <v>0</v>
      </c>
      <c r="H831" s="26">
        <f t="shared" si="30"/>
        <v>0</v>
      </c>
    </row>
    <row r="832" spans="1:8" ht="31.5">
      <c r="A832" s="30" t="s">
        <v>415</v>
      </c>
      <c r="B832" s="16">
        <v>908</v>
      </c>
      <c r="C832" s="20" t="s">
        <v>251</v>
      </c>
      <c r="D832" s="20" t="s">
        <v>135</v>
      </c>
      <c r="E832" s="20" t="s">
        <v>1105</v>
      </c>
      <c r="F832" s="24"/>
      <c r="G832" s="26">
        <f>'Пр.6 ведом.20'!G832</f>
        <v>4020</v>
      </c>
      <c r="H832" s="26">
        <f t="shared" si="30"/>
        <v>4020</v>
      </c>
    </row>
    <row r="833" spans="1:8" ht="31.5">
      <c r="A833" s="25" t="s">
        <v>148</v>
      </c>
      <c r="B833" s="16">
        <v>908</v>
      </c>
      <c r="C833" s="20" t="s">
        <v>251</v>
      </c>
      <c r="D833" s="20" t="s">
        <v>135</v>
      </c>
      <c r="E833" s="20" t="s">
        <v>1105</v>
      </c>
      <c r="F833" s="20" t="s">
        <v>149</v>
      </c>
      <c r="G833" s="26">
        <f>'Пр.6 ведом.20'!G833</f>
        <v>4020</v>
      </c>
      <c r="H833" s="26">
        <f t="shared" si="30"/>
        <v>4020</v>
      </c>
    </row>
    <row r="834" spans="1:8" ht="31.5">
      <c r="A834" s="25" t="s">
        <v>150</v>
      </c>
      <c r="B834" s="16">
        <v>908</v>
      </c>
      <c r="C834" s="20" t="s">
        <v>251</v>
      </c>
      <c r="D834" s="20" t="s">
        <v>135</v>
      </c>
      <c r="E834" s="20" t="s">
        <v>1105</v>
      </c>
      <c r="F834" s="20" t="s">
        <v>151</v>
      </c>
      <c r="G834" s="26">
        <f>'Пр.6 ведом.20'!G834</f>
        <v>4020</v>
      </c>
      <c r="H834" s="26">
        <f t="shared" si="30"/>
        <v>4020</v>
      </c>
    </row>
    <row r="835" spans="1:8" ht="31.5">
      <c r="A835" s="30" t="s">
        <v>1012</v>
      </c>
      <c r="B835" s="16">
        <v>908</v>
      </c>
      <c r="C835" s="20" t="s">
        <v>251</v>
      </c>
      <c r="D835" s="20" t="s">
        <v>135</v>
      </c>
      <c r="E835" s="20" t="s">
        <v>1106</v>
      </c>
      <c r="F835" s="24"/>
      <c r="G835" s="26">
        <f>'Пр.6 ведом.20'!G835</f>
        <v>1140</v>
      </c>
      <c r="H835" s="26">
        <f t="shared" si="30"/>
        <v>1140</v>
      </c>
    </row>
    <row r="836" spans="1:8" ht="31.5">
      <c r="A836" s="25" t="s">
        <v>148</v>
      </c>
      <c r="B836" s="16">
        <v>908</v>
      </c>
      <c r="C836" s="20" t="s">
        <v>251</v>
      </c>
      <c r="D836" s="20" t="s">
        <v>135</v>
      </c>
      <c r="E836" s="20" t="s">
        <v>1106</v>
      </c>
      <c r="F836" s="20" t="s">
        <v>149</v>
      </c>
      <c r="G836" s="26">
        <f>'Пр.6 ведом.20'!G836</f>
        <v>1140</v>
      </c>
      <c r="H836" s="26">
        <f t="shared" si="30"/>
        <v>1140</v>
      </c>
    </row>
    <row r="837" spans="1:8" ht="31.5">
      <c r="A837" s="25" t="s">
        <v>150</v>
      </c>
      <c r="B837" s="16">
        <v>908</v>
      </c>
      <c r="C837" s="20" t="s">
        <v>251</v>
      </c>
      <c r="D837" s="20" t="s">
        <v>135</v>
      </c>
      <c r="E837" s="20" t="s">
        <v>1106</v>
      </c>
      <c r="F837" s="20" t="s">
        <v>151</v>
      </c>
      <c r="G837" s="26">
        <f>'Пр.6 ведом.20'!G837</f>
        <v>1140</v>
      </c>
      <c r="H837" s="26">
        <f t="shared" si="30"/>
        <v>1140</v>
      </c>
    </row>
    <row r="838" spans="1:8" ht="15.75">
      <c r="A838" s="23" t="s">
        <v>534</v>
      </c>
      <c r="B838" s="19">
        <v>908</v>
      </c>
      <c r="C838" s="24" t="s">
        <v>251</v>
      </c>
      <c r="D838" s="24" t="s">
        <v>230</v>
      </c>
      <c r="E838" s="24"/>
      <c r="F838" s="24"/>
      <c r="G838" s="21">
        <f>G839+G868</f>
        <v>5700</v>
      </c>
      <c r="H838" s="21">
        <f>H839+H868</f>
        <v>5700</v>
      </c>
    </row>
    <row r="839" spans="1:8" ht="15.75">
      <c r="A839" s="23" t="s">
        <v>158</v>
      </c>
      <c r="B839" s="19">
        <v>908</v>
      </c>
      <c r="C839" s="24" t="s">
        <v>251</v>
      </c>
      <c r="D839" s="24" t="s">
        <v>230</v>
      </c>
      <c r="E839" s="24" t="s">
        <v>917</v>
      </c>
      <c r="F839" s="24"/>
      <c r="G839" s="21">
        <f>G840+G851</f>
        <v>5000</v>
      </c>
      <c r="H839" s="21">
        <f>H840+H851</f>
        <v>5000</v>
      </c>
    </row>
    <row r="840" spans="1:8" ht="31.5">
      <c r="A840" s="23" t="s">
        <v>921</v>
      </c>
      <c r="B840" s="19">
        <v>908</v>
      </c>
      <c r="C840" s="24" t="s">
        <v>251</v>
      </c>
      <c r="D840" s="24" t="s">
        <v>230</v>
      </c>
      <c r="E840" s="24" t="s">
        <v>916</v>
      </c>
      <c r="F840" s="24"/>
      <c r="G840" s="21">
        <f>G841+G846</f>
        <v>5000</v>
      </c>
      <c r="H840" s="21">
        <f>H841+H846</f>
        <v>5000</v>
      </c>
    </row>
    <row r="841" spans="1:8" ht="15.75" hidden="1">
      <c r="A841" s="36" t="s">
        <v>554</v>
      </c>
      <c r="B841" s="16">
        <v>908</v>
      </c>
      <c r="C841" s="20" t="s">
        <v>251</v>
      </c>
      <c r="D841" s="20" t="s">
        <v>230</v>
      </c>
      <c r="E841" s="20" t="s">
        <v>1123</v>
      </c>
      <c r="F841" s="20"/>
      <c r="G841" s="26">
        <f>'Пр.6 ведом.20'!G841</f>
        <v>0</v>
      </c>
      <c r="H841" s="26">
        <f t="shared" si="30"/>
        <v>0</v>
      </c>
    </row>
    <row r="842" spans="1:8" ht="31.5" hidden="1">
      <c r="A842" s="25" t="s">
        <v>148</v>
      </c>
      <c r="B842" s="16">
        <v>908</v>
      </c>
      <c r="C842" s="20" t="s">
        <v>251</v>
      </c>
      <c r="D842" s="20" t="s">
        <v>230</v>
      </c>
      <c r="E842" s="20" t="s">
        <v>1123</v>
      </c>
      <c r="F842" s="20" t="s">
        <v>149</v>
      </c>
      <c r="G842" s="26">
        <f>'Пр.6 ведом.20'!G842</f>
        <v>0</v>
      </c>
      <c r="H842" s="26">
        <f t="shared" si="30"/>
        <v>0</v>
      </c>
    </row>
    <row r="843" spans="1:8" ht="31.5" hidden="1">
      <c r="A843" s="25" t="s">
        <v>150</v>
      </c>
      <c r="B843" s="16">
        <v>908</v>
      </c>
      <c r="C843" s="20" t="s">
        <v>251</v>
      </c>
      <c r="D843" s="20" t="s">
        <v>230</v>
      </c>
      <c r="E843" s="20" t="s">
        <v>1123</v>
      </c>
      <c r="F843" s="20" t="s">
        <v>151</v>
      </c>
      <c r="G843" s="26">
        <f>'Пр.6 ведом.20'!G843</f>
        <v>0</v>
      </c>
      <c r="H843" s="26">
        <f t="shared" si="30"/>
        <v>0</v>
      </c>
    </row>
    <row r="844" spans="1:8" ht="15.75" hidden="1">
      <c r="A844" s="25" t="s">
        <v>152</v>
      </c>
      <c r="B844" s="16">
        <v>908</v>
      </c>
      <c r="C844" s="20" t="s">
        <v>251</v>
      </c>
      <c r="D844" s="20" t="s">
        <v>230</v>
      </c>
      <c r="E844" s="20" t="s">
        <v>1123</v>
      </c>
      <c r="F844" s="20" t="s">
        <v>162</v>
      </c>
      <c r="G844" s="26">
        <f>'Пр.6 ведом.20'!G844</f>
        <v>0</v>
      </c>
      <c r="H844" s="26">
        <f t="shared" si="30"/>
        <v>0</v>
      </c>
    </row>
    <row r="845" spans="1:8" ht="47.25" hidden="1">
      <c r="A845" s="25" t="s">
        <v>201</v>
      </c>
      <c r="B845" s="16">
        <v>908</v>
      </c>
      <c r="C845" s="20" t="s">
        <v>251</v>
      </c>
      <c r="D845" s="20" t="s">
        <v>230</v>
      </c>
      <c r="E845" s="20" t="s">
        <v>1123</v>
      </c>
      <c r="F845" s="20" t="s">
        <v>177</v>
      </c>
      <c r="G845" s="26">
        <f>'Пр.6 ведом.20'!G845</f>
        <v>0</v>
      </c>
      <c r="H845" s="26">
        <f t="shared" si="30"/>
        <v>0</v>
      </c>
    </row>
    <row r="846" spans="1:8" ht="31.5">
      <c r="A846" s="30" t="s">
        <v>1012</v>
      </c>
      <c r="B846" s="16">
        <v>908</v>
      </c>
      <c r="C846" s="20" t="s">
        <v>251</v>
      </c>
      <c r="D846" s="20" t="s">
        <v>230</v>
      </c>
      <c r="E846" s="20" t="s">
        <v>1106</v>
      </c>
      <c r="F846" s="20"/>
      <c r="G846" s="26">
        <f>'Пр.6 ведом.20'!G846</f>
        <v>5000</v>
      </c>
      <c r="H846" s="26">
        <f t="shared" si="30"/>
        <v>5000</v>
      </c>
    </row>
    <row r="847" spans="1:8" ht="31.5">
      <c r="A847" s="25" t="s">
        <v>148</v>
      </c>
      <c r="B847" s="16">
        <v>908</v>
      </c>
      <c r="C847" s="20" t="s">
        <v>251</v>
      </c>
      <c r="D847" s="20" t="s">
        <v>230</v>
      </c>
      <c r="E847" s="20" t="s">
        <v>1106</v>
      </c>
      <c r="F847" s="20" t="s">
        <v>149</v>
      </c>
      <c r="G847" s="26">
        <f>'Пр.6 ведом.20'!G847</f>
        <v>5000</v>
      </c>
      <c r="H847" s="26">
        <f t="shared" si="30"/>
        <v>5000</v>
      </c>
    </row>
    <row r="848" spans="1:8" ht="31.5">
      <c r="A848" s="25" t="s">
        <v>150</v>
      </c>
      <c r="B848" s="16">
        <v>908</v>
      </c>
      <c r="C848" s="20" t="s">
        <v>251</v>
      </c>
      <c r="D848" s="20" t="s">
        <v>230</v>
      </c>
      <c r="E848" s="20" t="s">
        <v>1106</v>
      </c>
      <c r="F848" s="20" t="s">
        <v>151</v>
      </c>
      <c r="G848" s="26">
        <f>'Пр.6 ведом.20'!G848</f>
        <v>5000</v>
      </c>
      <c r="H848" s="26">
        <f t="shared" si="30"/>
        <v>5000</v>
      </c>
    </row>
    <row r="849" spans="1:8" ht="15.75" hidden="1">
      <c r="A849" s="25" t="s">
        <v>152</v>
      </c>
      <c r="B849" s="16">
        <v>908</v>
      </c>
      <c r="C849" s="20" t="s">
        <v>251</v>
      </c>
      <c r="D849" s="20" t="s">
        <v>230</v>
      </c>
      <c r="E849" s="20" t="s">
        <v>1106</v>
      </c>
      <c r="F849" s="20" t="s">
        <v>162</v>
      </c>
      <c r="G849" s="26">
        <f>'Пр.6 ведом.20'!G849</f>
        <v>0</v>
      </c>
      <c r="H849" s="26">
        <f t="shared" si="30"/>
        <v>0</v>
      </c>
    </row>
    <row r="850" spans="1:8" ht="15.75" hidden="1">
      <c r="A850" s="25" t="s">
        <v>163</v>
      </c>
      <c r="B850" s="16">
        <v>908</v>
      </c>
      <c r="C850" s="20" t="s">
        <v>251</v>
      </c>
      <c r="D850" s="20" t="s">
        <v>230</v>
      </c>
      <c r="E850" s="20" t="s">
        <v>1106</v>
      </c>
      <c r="F850" s="20" t="s">
        <v>164</v>
      </c>
      <c r="G850" s="26">
        <f>'Пр.6 ведом.20'!G850</f>
        <v>0</v>
      </c>
      <c r="H850" s="26">
        <f t="shared" si="30"/>
        <v>0</v>
      </c>
    </row>
    <row r="851" spans="1:8" ht="47.25" hidden="1">
      <c r="A851" s="23" t="s">
        <v>1180</v>
      </c>
      <c r="B851" s="19">
        <v>908</v>
      </c>
      <c r="C851" s="24" t="s">
        <v>251</v>
      </c>
      <c r="D851" s="24" t="s">
        <v>230</v>
      </c>
      <c r="E851" s="24" t="s">
        <v>1124</v>
      </c>
      <c r="F851" s="24"/>
      <c r="G851" s="21">
        <f>G852+G860+G857+G865</f>
        <v>0</v>
      </c>
      <c r="H851" s="21">
        <f>H852+H860+H857+H865</f>
        <v>0</v>
      </c>
    </row>
    <row r="852" spans="1:8" ht="47.25" hidden="1">
      <c r="A852" s="25" t="s">
        <v>877</v>
      </c>
      <c r="B852" s="16">
        <v>908</v>
      </c>
      <c r="C852" s="20" t="s">
        <v>251</v>
      </c>
      <c r="D852" s="20" t="s">
        <v>230</v>
      </c>
      <c r="E852" s="20" t="s">
        <v>1125</v>
      </c>
      <c r="F852" s="20"/>
      <c r="G852" s="26">
        <f>'Пр.6 ведом.20'!G852</f>
        <v>0</v>
      </c>
      <c r="H852" s="26">
        <f aca="true" t="shared" si="33" ref="H852:H914">G852</f>
        <v>0</v>
      </c>
    </row>
    <row r="853" spans="1:8" ht="31.5" hidden="1">
      <c r="A853" s="25" t="s">
        <v>148</v>
      </c>
      <c r="B853" s="16">
        <v>908</v>
      </c>
      <c r="C853" s="20" t="s">
        <v>251</v>
      </c>
      <c r="D853" s="20" t="s">
        <v>230</v>
      </c>
      <c r="E853" s="20" t="s">
        <v>1125</v>
      </c>
      <c r="F853" s="20" t="s">
        <v>149</v>
      </c>
      <c r="G853" s="26">
        <f>'Пр.6 ведом.20'!G853</f>
        <v>0</v>
      </c>
      <c r="H853" s="26">
        <f t="shared" si="33"/>
        <v>0</v>
      </c>
    </row>
    <row r="854" spans="1:8" ht="31.5" hidden="1">
      <c r="A854" s="25" t="s">
        <v>150</v>
      </c>
      <c r="B854" s="16">
        <v>908</v>
      </c>
      <c r="C854" s="20" t="s">
        <v>251</v>
      </c>
      <c r="D854" s="20" t="s">
        <v>230</v>
      </c>
      <c r="E854" s="20" t="s">
        <v>1125</v>
      </c>
      <c r="F854" s="20" t="s">
        <v>151</v>
      </c>
      <c r="G854" s="26">
        <f>'Пр.6 ведом.20'!G854</f>
        <v>0</v>
      </c>
      <c r="H854" s="26">
        <f t="shared" si="33"/>
        <v>0</v>
      </c>
    </row>
    <row r="855" spans="1:8" ht="15.75" hidden="1">
      <c r="A855" s="25" t="s">
        <v>152</v>
      </c>
      <c r="B855" s="16">
        <v>908</v>
      </c>
      <c r="C855" s="20" t="s">
        <v>251</v>
      </c>
      <c r="D855" s="20" t="s">
        <v>230</v>
      </c>
      <c r="E855" s="20" t="s">
        <v>1125</v>
      </c>
      <c r="F855" s="20" t="s">
        <v>887</v>
      </c>
      <c r="G855" s="26">
        <f>'Пр.6 ведом.20'!G855</f>
        <v>0</v>
      </c>
      <c r="H855" s="26">
        <f t="shared" si="33"/>
        <v>0</v>
      </c>
    </row>
    <row r="856" spans="1:8" ht="15.75" hidden="1">
      <c r="A856" s="25" t="s">
        <v>585</v>
      </c>
      <c r="B856" s="16">
        <v>908</v>
      </c>
      <c r="C856" s="20" t="s">
        <v>251</v>
      </c>
      <c r="D856" s="20" t="s">
        <v>230</v>
      </c>
      <c r="E856" s="20" t="s">
        <v>1125</v>
      </c>
      <c r="F856" s="20" t="s">
        <v>1263</v>
      </c>
      <c r="G856" s="26">
        <f>'Пр.6 ведом.20'!G856</f>
        <v>0</v>
      </c>
      <c r="H856" s="26">
        <f t="shared" si="33"/>
        <v>0</v>
      </c>
    </row>
    <row r="857" spans="1:8" ht="63" hidden="1">
      <c r="A857" s="25" t="s">
        <v>826</v>
      </c>
      <c r="B857" s="16">
        <v>908</v>
      </c>
      <c r="C857" s="20" t="s">
        <v>251</v>
      </c>
      <c r="D857" s="20" t="s">
        <v>230</v>
      </c>
      <c r="E857" s="20" t="s">
        <v>1126</v>
      </c>
      <c r="F857" s="20"/>
      <c r="G857" s="26">
        <f>'Пр.6 ведом.20'!G857</f>
        <v>0</v>
      </c>
      <c r="H857" s="26">
        <f t="shared" si="33"/>
        <v>0</v>
      </c>
    </row>
    <row r="858" spans="1:8" ht="31.5" hidden="1">
      <c r="A858" s="25" t="s">
        <v>148</v>
      </c>
      <c r="B858" s="16">
        <v>908</v>
      </c>
      <c r="C858" s="20" t="s">
        <v>251</v>
      </c>
      <c r="D858" s="20" t="s">
        <v>230</v>
      </c>
      <c r="E858" s="20" t="s">
        <v>1126</v>
      </c>
      <c r="F858" s="20" t="s">
        <v>149</v>
      </c>
      <c r="G858" s="26">
        <f>'Пр.6 ведом.20'!G858</f>
        <v>0</v>
      </c>
      <c r="H858" s="26">
        <f t="shared" si="33"/>
        <v>0</v>
      </c>
    </row>
    <row r="859" spans="1:8" ht="31.5" hidden="1">
      <c r="A859" s="25" t="s">
        <v>150</v>
      </c>
      <c r="B859" s="16">
        <v>908</v>
      </c>
      <c r="C859" s="20" t="s">
        <v>251</v>
      </c>
      <c r="D859" s="20" t="s">
        <v>230</v>
      </c>
      <c r="E859" s="20" t="s">
        <v>1126</v>
      </c>
      <c r="F859" s="20" t="s">
        <v>151</v>
      </c>
      <c r="G859" s="26">
        <f>'Пр.6 ведом.20'!G859</f>
        <v>0</v>
      </c>
      <c r="H859" s="26">
        <f t="shared" si="33"/>
        <v>0</v>
      </c>
    </row>
    <row r="860" spans="1:8" ht="47.25" hidden="1">
      <c r="A860" s="105" t="s">
        <v>883</v>
      </c>
      <c r="B860" s="16">
        <v>908</v>
      </c>
      <c r="C860" s="20" t="s">
        <v>251</v>
      </c>
      <c r="D860" s="20" t="s">
        <v>230</v>
      </c>
      <c r="E860" s="20" t="s">
        <v>1127</v>
      </c>
      <c r="F860" s="20"/>
      <c r="G860" s="26">
        <f>'Пр.6 ведом.20'!G860</f>
        <v>0</v>
      </c>
      <c r="H860" s="26">
        <f t="shared" si="33"/>
        <v>0</v>
      </c>
    </row>
    <row r="861" spans="1:8" ht="31.5" hidden="1">
      <c r="A861" s="25" t="s">
        <v>888</v>
      </c>
      <c r="B861" s="16">
        <v>908</v>
      </c>
      <c r="C861" s="20" t="s">
        <v>251</v>
      </c>
      <c r="D861" s="20" t="s">
        <v>230</v>
      </c>
      <c r="E861" s="20" t="s">
        <v>1127</v>
      </c>
      <c r="F861" s="20" t="s">
        <v>887</v>
      </c>
      <c r="G861" s="26">
        <f>'Пр.6 ведом.20'!G861</f>
        <v>0</v>
      </c>
      <c r="H861" s="26">
        <f t="shared" si="33"/>
        <v>0</v>
      </c>
    </row>
    <row r="862" spans="1:8" ht="63" hidden="1">
      <c r="A862" s="25" t="s">
        <v>1241</v>
      </c>
      <c r="B862" s="16">
        <v>908</v>
      </c>
      <c r="C862" s="20" t="s">
        <v>251</v>
      </c>
      <c r="D862" s="20" t="s">
        <v>230</v>
      </c>
      <c r="E862" s="20" t="s">
        <v>1127</v>
      </c>
      <c r="F862" s="20" t="s">
        <v>1263</v>
      </c>
      <c r="G862" s="26">
        <f>'Пр.6 ведом.20'!G862</f>
        <v>0</v>
      </c>
      <c r="H862" s="26">
        <f t="shared" si="33"/>
        <v>0</v>
      </c>
    </row>
    <row r="863" spans="1:8" ht="15.75" hidden="1">
      <c r="A863" s="25" t="s">
        <v>152</v>
      </c>
      <c r="B863" s="16">
        <v>908</v>
      </c>
      <c r="C863" s="20" t="s">
        <v>251</v>
      </c>
      <c r="D863" s="20" t="s">
        <v>230</v>
      </c>
      <c r="E863" s="20" t="s">
        <v>1127</v>
      </c>
      <c r="F863" s="20" t="s">
        <v>162</v>
      </c>
      <c r="G863" s="26">
        <f>'Пр.6 ведом.20'!G863</f>
        <v>0</v>
      </c>
      <c r="H863" s="26">
        <f t="shared" si="33"/>
        <v>0</v>
      </c>
    </row>
    <row r="864" spans="1:8" ht="15.75" hidden="1">
      <c r="A864" s="25" t="s">
        <v>729</v>
      </c>
      <c r="B864" s="16">
        <v>908</v>
      </c>
      <c r="C864" s="20" t="s">
        <v>251</v>
      </c>
      <c r="D864" s="20" t="s">
        <v>230</v>
      </c>
      <c r="E864" s="20" t="s">
        <v>1127</v>
      </c>
      <c r="F864" s="20" t="s">
        <v>155</v>
      </c>
      <c r="G864" s="26">
        <f>'Пр.6 ведом.20'!G864</f>
        <v>0</v>
      </c>
      <c r="H864" s="26">
        <f t="shared" si="33"/>
        <v>0</v>
      </c>
    </row>
    <row r="865" spans="1:8" ht="31.5" hidden="1">
      <c r="A865" s="25" t="s">
        <v>1264</v>
      </c>
      <c r="B865" s="16">
        <v>908</v>
      </c>
      <c r="C865" s="20" t="s">
        <v>251</v>
      </c>
      <c r="D865" s="20" t="s">
        <v>230</v>
      </c>
      <c r="E865" s="20" t="s">
        <v>1265</v>
      </c>
      <c r="F865" s="20"/>
      <c r="G865" s="26">
        <f>'Пр.6 ведом.20'!G865</f>
        <v>0</v>
      </c>
      <c r="H865" s="26">
        <f t="shared" si="33"/>
        <v>0</v>
      </c>
    </row>
    <row r="866" spans="1:8" ht="31.5" hidden="1">
      <c r="A866" s="25" t="s">
        <v>148</v>
      </c>
      <c r="B866" s="16">
        <v>908</v>
      </c>
      <c r="C866" s="20" t="s">
        <v>251</v>
      </c>
      <c r="D866" s="20" t="s">
        <v>230</v>
      </c>
      <c r="E866" s="20" t="s">
        <v>1265</v>
      </c>
      <c r="F866" s="20" t="s">
        <v>149</v>
      </c>
      <c r="G866" s="26">
        <f>'Пр.6 ведом.20'!G866</f>
        <v>0</v>
      </c>
      <c r="H866" s="26">
        <f t="shared" si="33"/>
        <v>0</v>
      </c>
    </row>
    <row r="867" spans="1:8" ht="31.5" hidden="1">
      <c r="A867" s="25" t="s">
        <v>150</v>
      </c>
      <c r="B867" s="16">
        <v>908</v>
      </c>
      <c r="C867" s="20" t="s">
        <v>251</v>
      </c>
      <c r="D867" s="20" t="s">
        <v>230</v>
      </c>
      <c r="E867" s="20" t="s">
        <v>1265</v>
      </c>
      <c r="F867" s="20" t="s">
        <v>151</v>
      </c>
      <c r="G867" s="26">
        <f>'Пр.6 ведом.20'!G867</f>
        <v>0</v>
      </c>
      <c r="H867" s="26">
        <f t="shared" si="33"/>
        <v>0</v>
      </c>
    </row>
    <row r="868" spans="1:8" ht="63">
      <c r="A868" s="23" t="s">
        <v>1394</v>
      </c>
      <c r="B868" s="19">
        <v>908</v>
      </c>
      <c r="C868" s="24" t="s">
        <v>251</v>
      </c>
      <c r="D868" s="24" t="s">
        <v>230</v>
      </c>
      <c r="E868" s="24" t="s">
        <v>535</v>
      </c>
      <c r="F868" s="24"/>
      <c r="G868" s="21">
        <f>G869+G873+G877+G881+G893+G889</f>
        <v>700</v>
      </c>
      <c r="H868" s="21">
        <f>H869+H873+H877+H881+H893+H889</f>
        <v>700</v>
      </c>
    </row>
    <row r="869" spans="1:8" ht="31.5">
      <c r="A869" s="23" t="s">
        <v>1107</v>
      </c>
      <c r="B869" s="19">
        <v>908</v>
      </c>
      <c r="C869" s="24" t="s">
        <v>251</v>
      </c>
      <c r="D869" s="24" t="s">
        <v>230</v>
      </c>
      <c r="E869" s="24" t="s">
        <v>1109</v>
      </c>
      <c r="F869" s="24"/>
      <c r="G869" s="21">
        <f>G870</f>
        <v>700</v>
      </c>
      <c r="H869" s="21">
        <f>H870</f>
        <v>700</v>
      </c>
    </row>
    <row r="870" spans="1:8" ht="15.75">
      <c r="A870" s="46" t="s">
        <v>1108</v>
      </c>
      <c r="B870" s="16">
        <v>908</v>
      </c>
      <c r="C870" s="41" t="s">
        <v>251</v>
      </c>
      <c r="D870" s="41" t="s">
        <v>230</v>
      </c>
      <c r="E870" s="20" t="s">
        <v>1110</v>
      </c>
      <c r="F870" s="41"/>
      <c r="G870" s="26">
        <f>G871</f>
        <v>700</v>
      </c>
      <c r="H870" s="26">
        <f t="shared" si="33"/>
        <v>700</v>
      </c>
    </row>
    <row r="871" spans="1:8" ht="31.5">
      <c r="A871" s="32" t="s">
        <v>148</v>
      </c>
      <c r="B871" s="16">
        <v>908</v>
      </c>
      <c r="C871" s="41" t="s">
        <v>251</v>
      </c>
      <c r="D871" s="41" t="s">
        <v>230</v>
      </c>
      <c r="E871" s="20" t="s">
        <v>1110</v>
      </c>
      <c r="F871" s="41" t="s">
        <v>149</v>
      </c>
      <c r="G871" s="26">
        <f>G872</f>
        <v>700</v>
      </c>
      <c r="H871" s="26">
        <f t="shared" si="33"/>
        <v>700</v>
      </c>
    </row>
    <row r="872" spans="1:8" ht="31.5">
      <c r="A872" s="32" t="s">
        <v>150</v>
      </c>
      <c r="B872" s="16">
        <v>908</v>
      </c>
      <c r="C872" s="41" t="s">
        <v>251</v>
      </c>
      <c r="D872" s="41" t="s">
        <v>230</v>
      </c>
      <c r="E872" s="20" t="s">
        <v>1110</v>
      </c>
      <c r="F872" s="41" t="s">
        <v>151</v>
      </c>
      <c r="G872" s="26">
        <v>700</v>
      </c>
      <c r="H872" s="26">
        <v>700</v>
      </c>
    </row>
    <row r="873" spans="1:8" ht="31.5" hidden="1">
      <c r="A873" s="35" t="s">
        <v>1111</v>
      </c>
      <c r="B873" s="19">
        <v>908</v>
      </c>
      <c r="C873" s="7" t="s">
        <v>251</v>
      </c>
      <c r="D873" s="7" t="s">
        <v>230</v>
      </c>
      <c r="E873" s="24" t="s">
        <v>1112</v>
      </c>
      <c r="F873" s="7"/>
      <c r="G873" s="21">
        <f>G874</f>
        <v>0</v>
      </c>
      <c r="H873" s="21">
        <f>H874</f>
        <v>0</v>
      </c>
    </row>
    <row r="874" spans="1:8" ht="15.75" hidden="1">
      <c r="A874" s="46" t="s">
        <v>540</v>
      </c>
      <c r="B874" s="16">
        <v>908</v>
      </c>
      <c r="C874" s="41" t="s">
        <v>251</v>
      </c>
      <c r="D874" s="41" t="s">
        <v>230</v>
      </c>
      <c r="E874" s="20" t="s">
        <v>1115</v>
      </c>
      <c r="F874" s="41"/>
      <c r="G874" s="26">
        <f>'Пр.6 ведом.20'!G874</f>
        <v>0</v>
      </c>
      <c r="H874" s="26">
        <f t="shared" si="33"/>
        <v>0</v>
      </c>
    </row>
    <row r="875" spans="1:8" ht="31.5" hidden="1">
      <c r="A875" s="32" t="s">
        <v>148</v>
      </c>
      <c r="B875" s="16">
        <v>908</v>
      </c>
      <c r="C875" s="41" t="s">
        <v>251</v>
      </c>
      <c r="D875" s="41" t="s">
        <v>230</v>
      </c>
      <c r="E875" s="20" t="s">
        <v>1115</v>
      </c>
      <c r="F875" s="41" t="s">
        <v>149</v>
      </c>
      <c r="G875" s="26">
        <f>'Пр.6 ведом.20'!G875</f>
        <v>0</v>
      </c>
      <c r="H875" s="26">
        <f t="shared" si="33"/>
        <v>0</v>
      </c>
    </row>
    <row r="876" spans="1:8" ht="31.5" hidden="1">
      <c r="A876" s="32" t="s">
        <v>150</v>
      </c>
      <c r="B876" s="16">
        <v>908</v>
      </c>
      <c r="C876" s="41" t="s">
        <v>251</v>
      </c>
      <c r="D876" s="41" t="s">
        <v>230</v>
      </c>
      <c r="E876" s="20" t="s">
        <v>1115</v>
      </c>
      <c r="F876" s="41" t="s">
        <v>151</v>
      </c>
      <c r="G876" s="26">
        <f>'Пр.6 ведом.20'!G876</f>
        <v>0</v>
      </c>
      <c r="H876" s="26">
        <f t="shared" si="33"/>
        <v>0</v>
      </c>
    </row>
    <row r="877" spans="1:8" ht="31.5" hidden="1">
      <c r="A877" s="60" t="s">
        <v>1113</v>
      </c>
      <c r="B877" s="19">
        <v>908</v>
      </c>
      <c r="C877" s="7" t="s">
        <v>251</v>
      </c>
      <c r="D877" s="7" t="s">
        <v>230</v>
      </c>
      <c r="E877" s="24" t="s">
        <v>1114</v>
      </c>
      <c r="F877" s="7"/>
      <c r="G877" s="4">
        <f>G878</f>
        <v>0</v>
      </c>
      <c r="H877" s="4">
        <f>H878</f>
        <v>0</v>
      </c>
    </row>
    <row r="878" spans="1:8" ht="15.75" hidden="1">
      <c r="A878" s="46" t="s">
        <v>542</v>
      </c>
      <c r="B878" s="16">
        <v>908</v>
      </c>
      <c r="C878" s="41" t="s">
        <v>251</v>
      </c>
      <c r="D878" s="41" t="s">
        <v>230</v>
      </c>
      <c r="E878" s="20" t="s">
        <v>1116</v>
      </c>
      <c r="F878" s="41"/>
      <c r="G878" s="26">
        <f>'Пр.6 ведом.20'!G878</f>
        <v>0</v>
      </c>
      <c r="H878" s="26">
        <f t="shared" si="33"/>
        <v>0</v>
      </c>
    </row>
    <row r="879" spans="1:8" ht="31.5" hidden="1">
      <c r="A879" s="32" t="s">
        <v>148</v>
      </c>
      <c r="B879" s="16">
        <v>908</v>
      </c>
      <c r="C879" s="41" t="s">
        <v>251</v>
      </c>
      <c r="D879" s="41" t="s">
        <v>230</v>
      </c>
      <c r="E879" s="20" t="s">
        <v>1116</v>
      </c>
      <c r="F879" s="41" t="s">
        <v>149</v>
      </c>
      <c r="G879" s="26">
        <f>'Пр.6 ведом.20'!G879</f>
        <v>0</v>
      </c>
      <c r="H879" s="26">
        <f t="shared" si="33"/>
        <v>0</v>
      </c>
    </row>
    <row r="880" spans="1:8" ht="31.5" hidden="1">
      <c r="A880" s="32" t="s">
        <v>150</v>
      </c>
      <c r="B880" s="16">
        <v>908</v>
      </c>
      <c r="C880" s="41" t="s">
        <v>251</v>
      </c>
      <c r="D880" s="41" t="s">
        <v>230</v>
      </c>
      <c r="E880" s="20" t="s">
        <v>1116</v>
      </c>
      <c r="F880" s="41" t="s">
        <v>151</v>
      </c>
      <c r="G880" s="26">
        <f>'Пр.6 ведом.20'!G880</f>
        <v>0</v>
      </c>
      <c r="H880" s="26">
        <f t="shared" si="33"/>
        <v>0</v>
      </c>
    </row>
    <row r="881" spans="1:8" ht="31.5" hidden="1">
      <c r="A881" s="60" t="s">
        <v>1117</v>
      </c>
      <c r="B881" s="19">
        <v>908</v>
      </c>
      <c r="C881" s="7" t="s">
        <v>251</v>
      </c>
      <c r="D881" s="7" t="s">
        <v>230</v>
      </c>
      <c r="E881" s="24" t="s">
        <v>1118</v>
      </c>
      <c r="F881" s="7"/>
      <c r="G881" s="4">
        <f>G882</f>
        <v>0</v>
      </c>
      <c r="H881" s="4">
        <f>H882</f>
        <v>0</v>
      </c>
    </row>
    <row r="882" spans="1:8" ht="15.75" hidden="1">
      <c r="A882" s="46" t="s">
        <v>544</v>
      </c>
      <c r="B882" s="16">
        <v>908</v>
      </c>
      <c r="C882" s="41" t="s">
        <v>251</v>
      </c>
      <c r="D882" s="41" t="s">
        <v>230</v>
      </c>
      <c r="E882" s="20" t="s">
        <v>1119</v>
      </c>
      <c r="F882" s="41"/>
      <c r="G882" s="26">
        <f>'Пр.6 ведом.20'!G882</f>
        <v>0</v>
      </c>
      <c r="H882" s="26">
        <f t="shared" si="33"/>
        <v>0</v>
      </c>
    </row>
    <row r="883" spans="1:8" ht="31.5" hidden="1">
      <c r="A883" s="32" t="s">
        <v>148</v>
      </c>
      <c r="B883" s="16">
        <v>908</v>
      </c>
      <c r="C883" s="41" t="s">
        <v>251</v>
      </c>
      <c r="D883" s="41" t="s">
        <v>230</v>
      </c>
      <c r="E883" s="20" t="s">
        <v>1119</v>
      </c>
      <c r="F883" s="41" t="s">
        <v>149</v>
      </c>
      <c r="G883" s="26">
        <f>'Пр.6 ведом.20'!G883</f>
        <v>0</v>
      </c>
      <c r="H883" s="26">
        <f t="shared" si="33"/>
        <v>0</v>
      </c>
    </row>
    <row r="884" spans="1:8" ht="31.5" hidden="1">
      <c r="A884" s="32" t="s">
        <v>150</v>
      </c>
      <c r="B884" s="16">
        <v>908</v>
      </c>
      <c r="C884" s="41" t="s">
        <v>251</v>
      </c>
      <c r="D884" s="41" t="s">
        <v>230</v>
      </c>
      <c r="E884" s="20" t="s">
        <v>1119</v>
      </c>
      <c r="F884" s="41" t="s">
        <v>151</v>
      </c>
      <c r="G884" s="26">
        <f>'Пр.6 ведом.20'!G884</f>
        <v>0</v>
      </c>
      <c r="H884" s="26">
        <f t="shared" si="33"/>
        <v>0</v>
      </c>
    </row>
    <row r="885" spans="1:8" ht="31.5" hidden="1">
      <c r="A885" s="35" t="s">
        <v>1181</v>
      </c>
      <c r="B885" s="19">
        <v>908</v>
      </c>
      <c r="C885" s="7" t="s">
        <v>251</v>
      </c>
      <c r="D885" s="7" t="s">
        <v>230</v>
      </c>
      <c r="E885" s="24" t="s">
        <v>1182</v>
      </c>
      <c r="F885" s="7"/>
      <c r="G885" s="4">
        <f>G886</f>
        <v>0</v>
      </c>
      <c r="H885" s="4">
        <f>H886</f>
        <v>0</v>
      </c>
    </row>
    <row r="886" spans="1:8" ht="15.75" hidden="1">
      <c r="A886" s="46" t="s">
        <v>546</v>
      </c>
      <c r="B886" s="16">
        <v>908</v>
      </c>
      <c r="C886" s="41" t="s">
        <v>251</v>
      </c>
      <c r="D886" s="41" t="s">
        <v>230</v>
      </c>
      <c r="E886" s="20" t="s">
        <v>1185</v>
      </c>
      <c r="F886" s="41"/>
      <c r="G886" s="26">
        <f>'Пр.6 ведом.20'!G886</f>
        <v>0</v>
      </c>
      <c r="H886" s="26">
        <f t="shared" si="33"/>
        <v>0</v>
      </c>
    </row>
    <row r="887" spans="1:8" ht="31.5" hidden="1">
      <c r="A887" s="32" t="s">
        <v>148</v>
      </c>
      <c r="B887" s="16">
        <v>908</v>
      </c>
      <c r="C887" s="41" t="s">
        <v>251</v>
      </c>
      <c r="D887" s="41" t="s">
        <v>230</v>
      </c>
      <c r="E887" s="20" t="s">
        <v>1185</v>
      </c>
      <c r="F887" s="41" t="s">
        <v>149</v>
      </c>
      <c r="G887" s="26">
        <f>'Пр.6 ведом.20'!G887</f>
        <v>0</v>
      </c>
      <c r="H887" s="26">
        <f t="shared" si="33"/>
        <v>0</v>
      </c>
    </row>
    <row r="888" spans="1:8" ht="31.5" hidden="1">
      <c r="A888" s="32" t="s">
        <v>150</v>
      </c>
      <c r="B888" s="16">
        <v>908</v>
      </c>
      <c r="C888" s="41" t="s">
        <v>251</v>
      </c>
      <c r="D888" s="41" t="s">
        <v>230</v>
      </c>
      <c r="E888" s="20" t="s">
        <v>1185</v>
      </c>
      <c r="F888" s="41" t="s">
        <v>151</v>
      </c>
      <c r="G888" s="26">
        <f>'Пр.6 ведом.20'!G888</f>
        <v>0</v>
      </c>
      <c r="H888" s="26">
        <f t="shared" si="33"/>
        <v>0</v>
      </c>
    </row>
    <row r="889" spans="1:8" ht="31.5" hidden="1">
      <c r="A889" s="321" t="s">
        <v>1183</v>
      </c>
      <c r="B889" s="19">
        <v>908</v>
      </c>
      <c r="C889" s="7" t="s">
        <v>251</v>
      </c>
      <c r="D889" s="7" t="s">
        <v>230</v>
      </c>
      <c r="E889" s="24" t="s">
        <v>1184</v>
      </c>
      <c r="F889" s="7"/>
      <c r="G889" s="21">
        <f>G890</f>
        <v>0</v>
      </c>
      <c r="H889" s="21">
        <f>H890</f>
        <v>0</v>
      </c>
    </row>
    <row r="890" spans="1:8" ht="31.5" hidden="1">
      <c r="A890" s="188" t="s">
        <v>548</v>
      </c>
      <c r="B890" s="16">
        <v>908</v>
      </c>
      <c r="C890" s="41" t="s">
        <v>251</v>
      </c>
      <c r="D890" s="41" t="s">
        <v>230</v>
      </c>
      <c r="E890" s="20" t="s">
        <v>1186</v>
      </c>
      <c r="F890" s="41"/>
      <c r="G890" s="26">
        <f>'Пр.6 ведом.20'!G890</f>
        <v>0</v>
      </c>
      <c r="H890" s="26">
        <f t="shared" si="33"/>
        <v>0</v>
      </c>
    </row>
    <row r="891" spans="1:8" ht="31.5" hidden="1">
      <c r="A891" s="32" t="s">
        <v>148</v>
      </c>
      <c r="B891" s="16">
        <v>908</v>
      </c>
      <c r="C891" s="41" t="s">
        <v>251</v>
      </c>
      <c r="D891" s="41" t="s">
        <v>230</v>
      </c>
      <c r="E891" s="20" t="s">
        <v>1186</v>
      </c>
      <c r="F891" s="41" t="s">
        <v>149</v>
      </c>
      <c r="G891" s="26">
        <f>'Пр.6 ведом.20'!G891</f>
        <v>0</v>
      </c>
      <c r="H891" s="26">
        <f t="shared" si="33"/>
        <v>0</v>
      </c>
    </row>
    <row r="892" spans="1:8" ht="31.5" hidden="1">
      <c r="A892" s="32" t="s">
        <v>150</v>
      </c>
      <c r="B892" s="16">
        <v>908</v>
      </c>
      <c r="C892" s="41" t="s">
        <v>251</v>
      </c>
      <c r="D892" s="41" t="s">
        <v>230</v>
      </c>
      <c r="E892" s="20" t="s">
        <v>1186</v>
      </c>
      <c r="F892" s="41" t="s">
        <v>151</v>
      </c>
      <c r="G892" s="26">
        <f>'Пр.6 ведом.20'!G892</f>
        <v>0</v>
      </c>
      <c r="H892" s="26">
        <f t="shared" si="33"/>
        <v>0</v>
      </c>
    </row>
    <row r="893" spans="1:8" ht="31.5" hidden="1">
      <c r="A893" s="321" t="s">
        <v>1121</v>
      </c>
      <c r="B893" s="19">
        <v>908</v>
      </c>
      <c r="C893" s="7" t="s">
        <v>251</v>
      </c>
      <c r="D893" s="7" t="s">
        <v>230</v>
      </c>
      <c r="E893" s="24" t="s">
        <v>1122</v>
      </c>
      <c r="F893" s="7"/>
      <c r="G893" s="21">
        <f>G894</f>
        <v>0</v>
      </c>
      <c r="H893" s="21">
        <f>H894</f>
        <v>0</v>
      </c>
    </row>
    <row r="894" spans="1:8" ht="15.75" hidden="1">
      <c r="A894" s="188" t="s">
        <v>550</v>
      </c>
      <c r="B894" s="16">
        <v>908</v>
      </c>
      <c r="C894" s="41" t="s">
        <v>251</v>
      </c>
      <c r="D894" s="41" t="s">
        <v>230</v>
      </c>
      <c r="E894" s="20" t="s">
        <v>1120</v>
      </c>
      <c r="F894" s="41"/>
      <c r="G894" s="26">
        <f>'Пр.6 ведом.20'!G894</f>
        <v>0</v>
      </c>
      <c r="H894" s="26">
        <f t="shared" si="33"/>
        <v>0</v>
      </c>
    </row>
    <row r="895" spans="1:8" ht="31.5" hidden="1">
      <c r="A895" s="25" t="s">
        <v>148</v>
      </c>
      <c r="B895" s="16">
        <v>908</v>
      </c>
      <c r="C895" s="41" t="s">
        <v>251</v>
      </c>
      <c r="D895" s="41" t="s">
        <v>230</v>
      </c>
      <c r="E895" s="20" t="s">
        <v>1120</v>
      </c>
      <c r="F895" s="41" t="s">
        <v>149</v>
      </c>
      <c r="G895" s="26">
        <f>'Пр.6 ведом.20'!G895</f>
        <v>0</v>
      </c>
      <c r="H895" s="26">
        <f t="shared" si="33"/>
        <v>0</v>
      </c>
    </row>
    <row r="896" spans="1:8" ht="31.5" hidden="1">
      <c r="A896" s="25" t="s">
        <v>150</v>
      </c>
      <c r="B896" s="16">
        <v>908</v>
      </c>
      <c r="C896" s="41" t="s">
        <v>251</v>
      </c>
      <c r="D896" s="41" t="s">
        <v>230</v>
      </c>
      <c r="E896" s="20" t="s">
        <v>1120</v>
      </c>
      <c r="F896" s="41" t="s">
        <v>151</v>
      </c>
      <c r="G896" s="26">
        <f>'Пр.6 ведом.20'!G896</f>
        <v>0</v>
      </c>
      <c r="H896" s="26">
        <f t="shared" si="33"/>
        <v>0</v>
      </c>
    </row>
    <row r="897" spans="1:8" ht="15.75">
      <c r="A897" s="23" t="s">
        <v>558</v>
      </c>
      <c r="B897" s="19">
        <v>908</v>
      </c>
      <c r="C897" s="24" t="s">
        <v>251</v>
      </c>
      <c r="D897" s="24" t="s">
        <v>232</v>
      </c>
      <c r="E897" s="24"/>
      <c r="F897" s="24"/>
      <c r="G897" s="21">
        <f>G898+G903+G941</f>
        <v>4683.9</v>
      </c>
      <c r="H897" s="21">
        <f>H898+H903+H941</f>
        <v>4683.9</v>
      </c>
    </row>
    <row r="898" spans="1:8" ht="15.75">
      <c r="A898" s="23" t="s">
        <v>158</v>
      </c>
      <c r="B898" s="19">
        <v>908</v>
      </c>
      <c r="C898" s="24" t="s">
        <v>251</v>
      </c>
      <c r="D898" s="24" t="s">
        <v>232</v>
      </c>
      <c r="E898" s="24" t="s">
        <v>917</v>
      </c>
      <c r="F898" s="24"/>
      <c r="G898" s="21">
        <f>G899</f>
        <v>390</v>
      </c>
      <c r="H898" s="21">
        <f>H899</f>
        <v>390</v>
      </c>
    </row>
    <row r="899" spans="1:8" ht="31.5">
      <c r="A899" s="23" t="s">
        <v>921</v>
      </c>
      <c r="B899" s="19">
        <v>908</v>
      </c>
      <c r="C899" s="24" t="s">
        <v>251</v>
      </c>
      <c r="D899" s="24" t="s">
        <v>232</v>
      </c>
      <c r="E899" s="24" t="s">
        <v>916</v>
      </c>
      <c r="F899" s="24"/>
      <c r="G899" s="21">
        <f>G900</f>
        <v>390</v>
      </c>
      <c r="H899" s="21">
        <f>H900</f>
        <v>390</v>
      </c>
    </row>
    <row r="900" spans="1:8" ht="15.75">
      <c r="A900" s="25" t="s">
        <v>581</v>
      </c>
      <c r="B900" s="16">
        <v>908</v>
      </c>
      <c r="C900" s="20" t="s">
        <v>251</v>
      </c>
      <c r="D900" s="20" t="s">
        <v>232</v>
      </c>
      <c r="E900" s="20" t="s">
        <v>1278</v>
      </c>
      <c r="F900" s="20"/>
      <c r="G900" s="26">
        <f>'Пр.6 ведом.20'!G900</f>
        <v>390</v>
      </c>
      <c r="H900" s="26">
        <f t="shared" si="33"/>
        <v>390</v>
      </c>
    </row>
    <row r="901" spans="1:8" ht="31.5">
      <c r="A901" s="25" t="s">
        <v>148</v>
      </c>
      <c r="B901" s="16">
        <v>908</v>
      </c>
      <c r="C901" s="20" t="s">
        <v>251</v>
      </c>
      <c r="D901" s="20" t="s">
        <v>232</v>
      </c>
      <c r="E901" s="20" t="s">
        <v>1278</v>
      </c>
      <c r="F901" s="20" t="s">
        <v>149</v>
      </c>
      <c r="G901" s="26">
        <f>'Пр.6 ведом.20'!G901</f>
        <v>390</v>
      </c>
      <c r="H901" s="26">
        <f t="shared" si="33"/>
        <v>390</v>
      </c>
    </row>
    <row r="902" spans="1:8" ht="31.5">
      <c r="A902" s="25" t="s">
        <v>150</v>
      </c>
      <c r="B902" s="16">
        <v>908</v>
      </c>
      <c r="C902" s="20" t="s">
        <v>251</v>
      </c>
      <c r="D902" s="20" t="s">
        <v>232</v>
      </c>
      <c r="E902" s="20" t="s">
        <v>1278</v>
      </c>
      <c r="F902" s="20" t="s">
        <v>151</v>
      </c>
      <c r="G902" s="26">
        <f>'Пр.6 ведом.20'!G902</f>
        <v>390</v>
      </c>
      <c r="H902" s="26">
        <f t="shared" si="33"/>
        <v>390</v>
      </c>
    </row>
    <row r="903" spans="1:8" ht="47.25">
      <c r="A903" s="23" t="s">
        <v>559</v>
      </c>
      <c r="B903" s="19">
        <v>908</v>
      </c>
      <c r="C903" s="24" t="s">
        <v>251</v>
      </c>
      <c r="D903" s="24" t="s">
        <v>232</v>
      </c>
      <c r="E903" s="24" t="s">
        <v>560</v>
      </c>
      <c r="F903" s="24"/>
      <c r="G903" s="21">
        <f>G904+G918</f>
        <v>3793.9</v>
      </c>
      <c r="H903" s="21">
        <f>H904+H918</f>
        <v>3793.9</v>
      </c>
    </row>
    <row r="904" spans="1:8" ht="47.25">
      <c r="A904" s="23" t="s">
        <v>561</v>
      </c>
      <c r="B904" s="19">
        <v>908</v>
      </c>
      <c r="C904" s="24" t="s">
        <v>251</v>
      </c>
      <c r="D904" s="24" t="s">
        <v>232</v>
      </c>
      <c r="E904" s="24" t="s">
        <v>562</v>
      </c>
      <c r="F904" s="24"/>
      <c r="G904" s="21">
        <f>G905</f>
        <v>1740</v>
      </c>
      <c r="H904" s="21">
        <f>H905</f>
        <v>1740</v>
      </c>
    </row>
    <row r="905" spans="1:8" ht="31.5">
      <c r="A905" s="23" t="s">
        <v>1130</v>
      </c>
      <c r="B905" s="19">
        <v>908</v>
      </c>
      <c r="C905" s="24" t="s">
        <v>251</v>
      </c>
      <c r="D905" s="24" t="s">
        <v>232</v>
      </c>
      <c r="E905" s="24" t="s">
        <v>1128</v>
      </c>
      <c r="F905" s="24"/>
      <c r="G905" s="21">
        <f>G906+G909+G915</f>
        <v>1740</v>
      </c>
      <c r="H905" s="21">
        <f>H906+H909+H915</f>
        <v>1740</v>
      </c>
    </row>
    <row r="906" spans="1:8" ht="15.75">
      <c r="A906" s="25" t="s">
        <v>563</v>
      </c>
      <c r="B906" s="16">
        <v>908</v>
      </c>
      <c r="C906" s="20" t="s">
        <v>251</v>
      </c>
      <c r="D906" s="20" t="s">
        <v>232</v>
      </c>
      <c r="E906" s="20" t="s">
        <v>1129</v>
      </c>
      <c r="F906" s="20"/>
      <c r="G906" s="26">
        <f>'Пр.6 ведом.20'!G906</f>
        <v>90</v>
      </c>
      <c r="H906" s="26">
        <f t="shared" si="33"/>
        <v>90</v>
      </c>
    </row>
    <row r="907" spans="1:8" ht="31.5">
      <c r="A907" s="25" t="s">
        <v>148</v>
      </c>
      <c r="B907" s="16">
        <v>908</v>
      </c>
      <c r="C907" s="20" t="s">
        <v>251</v>
      </c>
      <c r="D907" s="20" t="s">
        <v>232</v>
      </c>
      <c r="E907" s="20" t="s">
        <v>1129</v>
      </c>
      <c r="F907" s="20" t="s">
        <v>149</v>
      </c>
      <c r="G907" s="26">
        <f>'Пр.6 ведом.20'!G907</f>
        <v>90</v>
      </c>
      <c r="H907" s="26">
        <f t="shared" si="33"/>
        <v>90</v>
      </c>
    </row>
    <row r="908" spans="1:8" ht="31.5">
      <c r="A908" s="25" t="s">
        <v>150</v>
      </c>
      <c r="B908" s="16">
        <v>908</v>
      </c>
      <c r="C908" s="20" t="s">
        <v>251</v>
      </c>
      <c r="D908" s="20" t="s">
        <v>232</v>
      </c>
      <c r="E908" s="20" t="s">
        <v>1129</v>
      </c>
      <c r="F908" s="20" t="s">
        <v>151</v>
      </c>
      <c r="G908" s="26">
        <f>'Пр.6 ведом.20'!G908</f>
        <v>90</v>
      </c>
      <c r="H908" s="26">
        <f t="shared" si="33"/>
        <v>90</v>
      </c>
    </row>
    <row r="909" spans="1:8" ht="15.75">
      <c r="A909" s="25" t="s">
        <v>1310</v>
      </c>
      <c r="B909" s="16">
        <v>908</v>
      </c>
      <c r="C909" s="20" t="s">
        <v>251</v>
      </c>
      <c r="D909" s="20" t="s">
        <v>232</v>
      </c>
      <c r="E909" s="20" t="s">
        <v>1131</v>
      </c>
      <c r="F909" s="20"/>
      <c r="G909" s="26">
        <f>'Пр.6 ведом.20'!G909</f>
        <v>650</v>
      </c>
      <c r="H909" s="26">
        <f t="shared" si="33"/>
        <v>650</v>
      </c>
    </row>
    <row r="910" spans="1:8" ht="31.5">
      <c r="A910" s="25" t="s">
        <v>148</v>
      </c>
      <c r="B910" s="16">
        <v>908</v>
      </c>
      <c r="C910" s="20" t="s">
        <v>251</v>
      </c>
      <c r="D910" s="20" t="s">
        <v>232</v>
      </c>
      <c r="E910" s="20" t="s">
        <v>1131</v>
      </c>
      <c r="F910" s="20" t="s">
        <v>149</v>
      </c>
      <c r="G910" s="26">
        <f>'Пр.6 ведом.20'!G910</f>
        <v>650</v>
      </c>
      <c r="H910" s="26">
        <f t="shared" si="33"/>
        <v>650</v>
      </c>
    </row>
    <row r="911" spans="1:8" ht="31.5">
      <c r="A911" s="25" t="s">
        <v>150</v>
      </c>
      <c r="B911" s="16">
        <v>908</v>
      </c>
      <c r="C911" s="20" t="s">
        <v>251</v>
      </c>
      <c r="D911" s="20" t="s">
        <v>232</v>
      </c>
      <c r="E911" s="20" t="s">
        <v>1131</v>
      </c>
      <c r="F911" s="20" t="s">
        <v>151</v>
      </c>
      <c r="G911" s="26">
        <f>'Пр.6 ведом.20'!G911</f>
        <v>650</v>
      </c>
      <c r="H911" s="26">
        <f t="shared" si="33"/>
        <v>650</v>
      </c>
    </row>
    <row r="912" spans="1:8" ht="15.75">
      <c r="A912" s="25" t="s">
        <v>152</v>
      </c>
      <c r="B912" s="16">
        <v>908</v>
      </c>
      <c r="C912" s="20" t="s">
        <v>251</v>
      </c>
      <c r="D912" s="20" t="s">
        <v>232</v>
      </c>
      <c r="E912" s="20" t="s">
        <v>1131</v>
      </c>
      <c r="F912" s="20" t="s">
        <v>162</v>
      </c>
      <c r="G912" s="26">
        <f>'Пр.6 ведом.20'!G912</f>
        <v>0</v>
      </c>
      <c r="H912" s="26">
        <f t="shared" si="33"/>
        <v>0</v>
      </c>
    </row>
    <row r="913" spans="1:8" ht="47.25" hidden="1">
      <c r="A913" s="25" t="s">
        <v>886</v>
      </c>
      <c r="B913" s="16">
        <v>908</v>
      </c>
      <c r="C913" s="20" t="s">
        <v>251</v>
      </c>
      <c r="D913" s="20" t="s">
        <v>232</v>
      </c>
      <c r="E913" s="20" t="s">
        <v>1131</v>
      </c>
      <c r="F913" s="20" t="s">
        <v>164</v>
      </c>
      <c r="G913" s="26">
        <f>'Пр.6 ведом.20'!G913</f>
        <v>0</v>
      </c>
      <c r="H913" s="26">
        <f t="shared" si="33"/>
        <v>0</v>
      </c>
    </row>
    <row r="914" spans="1:8" ht="15.75" hidden="1">
      <c r="A914" s="25" t="s">
        <v>729</v>
      </c>
      <c r="B914" s="16">
        <v>908</v>
      </c>
      <c r="C914" s="20" t="s">
        <v>251</v>
      </c>
      <c r="D914" s="20" t="s">
        <v>232</v>
      </c>
      <c r="E914" s="20" t="s">
        <v>1131</v>
      </c>
      <c r="F914" s="20" t="s">
        <v>155</v>
      </c>
      <c r="G914" s="26">
        <f>'Пр.6 ведом.20'!G914</f>
        <v>0</v>
      </c>
      <c r="H914" s="26">
        <f t="shared" si="33"/>
        <v>0</v>
      </c>
    </row>
    <row r="915" spans="1:8" ht="15.75">
      <c r="A915" s="25" t="s">
        <v>567</v>
      </c>
      <c r="B915" s="16">
        <v>908</v>
      </c>
      <c r="C915" s="20" t="s">
        <v>251</v>
      </c>
      <c r="D915" s="20" t="s">
        <v>232</v>
      </c>
      <c r="E915" s="20" t="s">
        <v>1132</v>
      </c>
      <c r="F915" s="20"/>
      <c r="G915" s="26">
        <f>'Пр.6 ведом.20'!G915</f>
        <v>1000</v>
      </c>
      <c r="H915" s="26">
        <f aca="true" t="shared" si="34" ref="H915:H975">G915</f>
        <v>1000</v>
      </c>
    </row>
    <row r="916" spans="1:8" ht="31.5">
      <c r="A916" s="25" t="s">
        <v>148</v>
      </c>
      <c r="B916" s="16">
        <v>908</v>
      </c>
      <c r="C916" s="20" t="s">
        <v>251</v>
      </c>
      <c r="D916" s="20" t="s">
        <v>232</v>
      </c>
      <c r="E916" s="20" t="s">
        <v>1132</v>
      </c>
      <c r="F916" s="20" t="s">
        <v>149</v>
      </c>
      <c r="G916" s="26">
        <f>'Пр.6 ведом.20'!G916</f>
        <v>1000</v>
      </c>
      <c r="H916" s="26">
        <f t="shared" si="34"/>
        <v>1000</v>
      </c>
    </row>
    <row r="917" spans="1:8" ht="31.5">
      <c r="A917" s="25" t="s">
        <v>150</v>
      </c>
      <c r="B917" s="16">
        <v>908</v>
      </c>
      <c r="C917" s="20" t="s">
        <v>251</v>
      </c>
      <c r="D917" s="20" t="s">
        <v>232</v>
      </c>
      <c r="E917" s="20" t="s">
        <v>1132</v>
      </c>
      <c r="F917" s="20" t="s">
        <v>151</v>
      </c>
      <c r="G917" s="26">
        <f>'Пр.6 ведом.20'!G917</f>
        <v>1000</v>
      </c>
      <c r="H917" s="26">
        <f t="shared" si="34"/>
        <v>1000</v>
      </c>
    </row>
    <row r="918" spans="1:8" ht="47.25">
      <c r="A918" s="23" t="s">
        <v>569</v>
      </c>
      <c r="B918" s="19">
        <v>908</v>
      </c>
      <c r="C918" s="24" t="s">
        <v>251</v>
      </c>
      <c r="D918" s="24" t="s">
        <v>232</v>
      </c>
      <c r="E918" s="24" t="s">
        <v>570</v>
      </c>
      <c r="F918" s="24"/>
      <c r="G918" s="21">
        <f>G919+G934</f>
        <v>2053.9</v>
      </c>
      <c r="H918" s="21">
        <f>H919+H934</f>
        <v>2053.9</v>
      </c>
    </row>
    <row r="919" spans="1:8" ht="31.5">
      <c r="A919" s="23" t="s">
        <v>1148</v>
      </c>
      <c r="B919" s="19">
        <v>908</v>
      </c>
      <c r="C919" s="24" t="s">
        <v>251</v>
      </c>
      <c r="D919" s="24" t="s">
        <v>232</v>
      </c>
      <c r="E919" s="24" t="s">
        <v>1133</v>
      </c>
      <c r="F919" s="24"/>
      <c r="G919" s="21">
        <f>G931+G920+G923+G928</f>
        <v>390</v>
      </c>
      <c r="H919" s="21">
        <f>H931+H920+H923+H928</f>
        <v>390</v>
      </c>
    </row>
    <row r="920" spans="1:8" ht="15.75">
      <c r="A920" s="25" t="s">
        <v>572</v>
      </c>
      <c r="B920" s="16">
        <v>908</v>
      </c>
      <c r="C920" s="20" t="s">
        <v>251</v>
      </c>
      <c r="D920" s="20" t="s">
        <v>232</v>
      </c>
      <c r="E920" s="20" t="s">
        <v>1135</v>
      </c>
      <c r="F920" s="20"/>
      <c r="G920" s="26">
        <f>'Пр.6 ведом.20'!G920</f>
        <v>4</v>
      </c>
      <c r="H920" s="26">
        <f t="shared" si="34"/>
        <v>4</v>
      </c>
    </row>
    <row r="921" spans="1:8" ht="31.5">
      <c r="A921" s="25" t="s">
        <v>148</v>
      </c>
      <c r="B921" s="16">
        <v>908</v>
      </c>
      <c r="C921" s="20" t="s">
        <v>251</v>
      </c>
      <c r="D921" s="20" t="s">
        <v>232</v>
      </c>
      <c r="E921" s="20" t="s">
        <v>1135</v>
      </c>
      <c r="F921" s="20" t="s">
        <v>149</v>
      </c>
      <c r="G921" s="26">
        <f>'Пр.6 ведом.20'!G921</f>
        <v>4</v>
      </c>
      <c r="H921" s="26">
        <f t="shared" si="34"/>
        <v>4</v>
      </c>
    </row>
    <row r="922" spans="1:8" ht="31.5">
      <c r="A922" s="25" t="s">
        <v>150</v>
      </c>
      <c r="B922" s="16">
        <v>908</v>
      </c>
      <c r="C922" s="20" t="s">
        <v>251</v>
      </c>
      <c r="D922" s="20" t="s">
        <v>232</v>
      </c>
      <c r="E922" s="20" t="s">
        <v>1135</v>
      </c>
      <c r="F922" s="20" t="s">
        <v>151</v>
      </c>
      <c r="G922" s="26">
        <f>'Пр.6 ведом.20'!G922</f>
        <v>4</v>
      </c>
      <c r="H922" s="26">
        <f t="shared" si="34"/>
        <v>4</v>
      </c>
    </row>
    <row r="923" spans="1:8" ht="47.25">
      <c r="A923" s="46" t="s">
        <v>574</v>
      </c>
      <c r="B923" s="16">
        <v>908</v>
      </c>
      <c r="C923" s="20" t="s">
        <v>251</v>
      </c>
      <c r="D923" s="20" t="s">
        <v>232</v>
      </c>
      <c r="E923" s="20" t="s">
        <v>1136</v>
      </c>
      <c r="F923" s="20"/>
      <c r="G923" s="26">
        <f>'Пр.6 ведом.20'!G923</f>
        <v>375</v>
      </c>
      <c r="H923" s="26">
        <f t="shared" si="34"/>
        <v>375</v>
      </c>
    </row>
    <row r="924" spans="1:8" ht="31.5">
      <c r="A924" s="25" t="s">
        <v>148</v>
      </c>
      <c r="B924" s="16">
        <v>908</v>
      </c>
      <c r="C924" s="20" t="s">
        <v>251</v>
      </c>
      <c r="D924" s="20" t="s">
        <v>232</v>
      </c>
      <c r="E924" s="20" t="s">
        <v>1136</v>
      </c>
      <c r="F924" s="20" t="s">
        <v>149</v>
      </c>
      <c r="G924" s="26">
        <f>'Пр.6 ведом.20'!G924</f>
        <v>300</v>
      </c>
      <c r="H924" s="26">
        <f t="shared" si="34"/>
        <v>300</v>
      </c>
    </row>
    <row r="925" spans="1:8" ht="31.5">
      <c r="A925" s="25" t="s">
        <v>150</v>
      </c>
      <c r="B925" s="16">
        <v>908</v>
      </c>
      <c r="C925" s="20" t="s">
        <v>251</v>
      </c>
      <c r="D925" s="20" t="s">
        <v>232</v>
      </c>
      <c r="E925" s="20" t="s">
        <v>1136</v>
      </c>
      <c r="F925" s="20" t="s">
        <v>151</v>
      </c>
      <c r="G925" s="26">
        <f>'Пр.6 ведом.20'!G925</f>
        <v>300</v>
      </c>
      <c r="H925" s="26">
        <f t="shared" si="34"/>
        <v>300</v>
      </c>
    </row>
    <row r="926" spans="1:8" ht="15.75">
      <c r="A926" s="25" t="s">
        <v>152</v>
      </c>
      <c r="B926" s="16">
        <v>908</v>
      </c>
      <c r="C926" s="20" t="s">
        <v>251</v>
      </c>
      <c r="D926" s="20" t="s">
        <v>232</v>
      </c>
      <c r="E926" s="20" t="s">
        <v>1136</v>
      </c>
      <c r="F926" s="20" t="s">
        <v>162</v>
      </c>
      <c r="G926" s="26">
        <f>'Пр.6 ведом.20'!G926</f>
        <v>75</v>
      </c>
      <c r="H926" s="26">
        <f t="shared" si="34"/>
        <v>75</v>
      </c>
    </row>
    <row r="927" spans="1:8" ht="15.75">
      <c r="A927" s="25" t="s">
        <v>729</v>
      </c>
      <c r="B927" s="16">
        <v>908</v>
      </c>
      <c r="C927" s="20" t="s">
        <v>251</v>
      </c>
      <c r="D927" s="20" t="s">
        <v>232</v>
      </c>
      <c r="E927" s="20" t="s">
        <v>1136</v>
      </c>
      <c r="F927" s="20" t="s">
        <v>155</v>
      </c>
      <c r="G927" s="26">
        <f>'Пр.6 ведом.20'!G927</f>
        <v>75</v>
      </c>
      <c r="H927" s="26">
        <f t="shared" si="34"/>
        <v>75</v>
      </c>
    </row>
    <row r="928" spans="1:8" ht="25.5" customHeight="1" hidden="1">
      <c r="A928" s="46" t="s">
        <v>576</v>
      </c>
      <c r="B928" s="16">
        <v>908</v>
      </c>
      <c r="C928" s="20" t="s">
        <v>251</v>
      </c>
      <c r="D928" s="20" t="s">
        <v>232</v>
      </c>
      <c r="E928" s="20" t="s">
        <v>1137</v>
      </c>
      <c r="F928" s="20"/>
      <c r="G928" s="26">
        <f>'Пр.6 ведом.20'!G928</f>
        <v>0</v>
      </c>
      <c r="H928" s="26">
        <f t="shared" si="34"/>
        <v>0</v>
      </c>
    </row>
    <row r="929" spans="1:8" ht="31.5" hidden="1">
      <c r="A929" s="25" t="s">
        <v>148</v>
      </c>
      <c r="B929" s="16">
        <v>908</v>
      </c>
      <c r="C929" s="20" t="s">
        <v>251</v>
      </c>
      <c r="D929" s="20" t="s">
        <v>232</v>
      </c>
      <c r="E929" s="20" t="s">
        <v>1137</v>
      </c>
      <c r="F929" s="20" t="s">
        <v>149</v>
      </c>
      <c r="G929" s="26">
        <f>'Пр.6 ведом.20'!G929</f>
        <v>0</v>
      </c>
      <c r="H929" s="26">
        <f t="shared" si="34"/>
        <v>0</v>
      </c>
    </row>
    <row r="930" spans="1:8" ht="31.5" hidden="1">
      <c r="A930" s="25" t="s">
        <v>150</v>
      </c>
      <c r="B930" s="16">
        <v>908</v>
      </c>
      <c r="C930" s="20" t="s">
        <v>251</v>
      </c>
      <c r="D930" s="20" t="s">
        <v>232</v>
      </c>
      <c r="E930" s="20" t="s">
        <v>1137</v>
      </c>
      <c r="F930" s="20" t="s">
        <v>151</v>
      </c>
      <c r="G930" s="26">
        <f>'Пр.6 ведом.20'!G930</f>
        <v>0</v>
      </c>
      <c r="H930" s="26">
        <f t="shared" si="34"/>
        <v>0</v>
      </c>
    </row>
    <row r="931" spans="1:8" s="252" customFormat="1" ht="31.5">
      <c r="A931" s="342" t="s">
        <v>1312</v>
      </c>
      <c r="B931" s="16">
        <v>908</v>
      </c>
      <c r="C931" s="20" t="s">
        <v>251</v>
      </c>
      <c r="D931" s="20" t="s">
        <v>232</v>
      </c>
      <c r="E931" s="20" t="s">
        <v>1313</v>
      </c>
      <c r="F931" s="20"/>
      <c r="G931" s="26">
        <f>'Пр.6 ведом.20'!G931</f>
        <v>11</v>
      </c>
      <c r="H931" s="26">
        <f>G931</f>
        <v>11</v>
      </c>
    </row>
    <row r="932" spans="1:8" s="252" customFormat="1" ht="31.5">
      <c r="A932" s="25" t="s">
        <v>148</v>
      </c>
      <c r="B932" s="16">
        <v>908</v>
      </c>
      <c r="C932" s="20" t="s">
        <v>251</v>
      </c>
      <c r="D932" s="20" t="s">
        <v>232</v>
      </c>
      <c r="E932" s="20" t="s">
        <v>1313</v>
      </c>
      <c r="F932" s="20" t="s">
        <v>149</v>
      </c>
      <c r="G932" s="26">
        <f>'Пр.6 ведом.20'!G932</f>
        <v>11</v>
      </c>
      <c r="H932" s="26">
        <f>G932</f>
        <v>11</v>
      </c>
    </row>
    <row r="933" spans="1:8" s="252" customFormat="1" ht="31.5">
      <c r="A933" s="25" t="s">
        <v>150</v>
      </c>
      <c r="B933" s="16">
        <v>908</v>
      </c>
      <c r="C933" s="20" t="s">
        <v>251</v>
      </c>
      <c r="D933" s="20" t="s">
        <v>232</v>
      </c>
      <c r="E933" s="20" t="s">
        <v>1313</v>
      </c>
      <c r="F933" s="20" t="s">
        <v>151</v>
      </c>
      <c r="G933" s="26">
        <f>'Пр.6 ведом.20'!G933</f>
        <v>11</v>
      </c>
      <c r="H933" s="26">
        <f>G933</f>
        <v>11</v>
      </c>
    </row>
    <row r="934" spans="1:8" ht="31.5">
      <c r="A934" s="23" t="s">
        <v>955</v>
      </c>
      <c r="B934" s="19">
        <v>908</v>
      </c>
      <c r="C934" s="24" t="s">
        <v>251</v>
      </c>
      <c r="D934" s="24" t="s">
        <v>232</v>
      </c>
      <c r="E934" s="24" t="s">
        <v>1138</v>
      </c>
      <c r="F934" s="24"/>
      <c r="G934" s="21">
        <f>G935+G938</f>
        <v>1663.9</v>
      </c>
      <c r="H934" s="21">
        <f>H935+H938</f>
        <v>1663.9</v>
      </c>
    </row>
    <row r="935" spans="1:8" ht="31.5">
      <c r="A935" s="25" t="s">
        <v>708</v>
      </c>
      <c r="B935" s="16">
        <v>908</v>
      </c>
      <c r="C935" s="20" t="s">
        <v>251</v>
      </c>
      <c r="D935" s="20" t="s">
        <v>232</v>
      </c>
      <c r="E935" s="20" t="s">
        <v>1139</v>
      </c>
      <c r="F935" s="20"/>
      <c r="G935" s="26">
        <f>'Пр.6 ведом.20'!G935</f>
        <v>244</v>
      </c>
      <c r="H935" s="26">
        <f t="shared" si="34"/>
        <v>244</v>
      </c>
    </row>
    <row r="936" spans="1:8" ht="31.5">
      <c r="A936" s="25" t="s">
        <v>148</v>
      </c>
      <c r="B936" s="16">
        <v>908</v>
      </c>
      <c r="C936" s="20" t="s">
        <v>251</v>
      </c>
      <c r="D936" s="20" t="s">
        <v>232</v>
      </c>
      <c r="E936" s="20" t="s">
        <v>1139</v>
      </c>
      <c r="F936" s="20" t="s">
        <v>149</v>
      </c>
      <c r="G936" s="26">
        <f>'Пр.6 ведом.20'!G936</f>
        <v>244</v>
      </c>
      <c r="H936" s="26">
        <f t="shared" si="34"/>
        <v>244</v>
      </c>
    </row>
    <row r="937" spans="1:8" ht="31.5">
      <c r="A937" s="25" t="s">
        <v>150</v>
      </c>
      <c r="B937" s="16">
        <v>908</v>
      </c>
      <c r="C937" s="20" t="s">
        <v>251</v>
      </c>
      <c r="D937" s="20" t="s">
        <v>232</v>
      </c>
      <c r="E937" s="20" t="s">
        <v>1139</v>
      </c>
      <c r="F937" s="20" t="s">
        <v>151</v>
      </c>
      <c r="G937" s="26">
        <f>'Пр.6 ведом.20'!G937</f>
        <v>244</v>
      </c>
      <c r="H937" s="26">
        <f t="shared" si="34"/>
        <v>244</v>
      </c>
    </row>
    <row r="938" spans="1:8" ht="63">
      <c r="A938" s="25" t="s">
        <v>1266</v>
      </c>
      <c r="B938" s="16">
        <v>908</v>
      </c>
      <c r="C938" s="20" t="s">
        <v>251</v>
      </c>
      <c r="D938" s="20" t="s">
        <v>232</v>
      </c>
      <c r="E938" s="20" t="s">
        <v>1267</v>
      </c>
      <c r="F938" s="20"/>
      <c r="G938" s="26">
        <f>'Пр.6 ведом.20'!G938</f>
        <v>1419.9</v>
      </c>
      <c r="H938" s="26">
        <f t="shared" si="34"/>
        <v>1419.9</v>
      </c>
    </row>
    <row r="939" spans="1:8" ht="31.5">
      <c r="A939" s="25" t="s">
        <v>148</v>
      </c>
      <c r="B939" s="16">
        <v>908</v>
      </c>
      <c r="C939" s="20" t="s">
        <v>251</v>
      </c>
      <c r="D939" s="20" t="s">
        <v>232</v>
      </c>
      <c r="E939" s="20" t="s">
        <v>1267</v>
      </c>
      <c r="F939" s="20" t="s">
        <v>149</v>
      </c>
      <c r="G939" s="26">
        <f>'Пр.6 ведом.20'!G939</f>
        <v>1419.9</v>
      </c>
      <c r="H939" s="26">
        <f t="shared" si="34"/>
        <v>1419.9</v>
      </c>
    </row>
    <row r="940" spans="1:8" ht="31.5">
      <c r="A940" s="25" t="s">
        <v>150</v>
      </c>
      <c r="B940" s="16">
        <v>908</v>
      </c>
      <c r="C940" s="20" t="s">
        <v>251</v>
      </c>
      <c r="D940" s="20" t="s">
        <v>232</v>
      </c>
      <c r="E940" s="20" t="s">
        <v>1267</v>
      </c>
      <c r="F940" s="20" t="s">
        <v>151</v>
      </c>
      <c r="G940" s="26">
        <f>'Пр.6 ведом.20'!G940</f>
        <v>1419.9</v>
      </c>
      <c r="H940" s="26">
        <f t="shared" si="34"/>
        <v>1419.9</v>
      </c>
    </row>
    <row r="941" spans="1:8" ht="63">
      <c r="A941" s="23" t="s">
        <v>825</v>
      </c>
      <c r="B941" s="19">
        <v>908</v>
      </c>
      <c r="C941" s="24" t="s">
        <v>251</v>
      </c>
      <c r="D941" s="24" t="s">
        <v>232</v>
      </c>
      <c r="E941" s="24" t="s">
        <v>736</v>
      </c>
      <c r="F941" s="24"/>
      <c r="G941" s="21">
        <f>G942</f>
        <v>500</v>
      </c>
      <c r="H941" s="21">
        <f>H942</f>
        <v>500</v>
      </c>
    </row>
    <row r="942" spans="1:8" ht="31.5">
      <c r="A942" s="23" t="s">
        <v>1262</v>
      </c>
      <c r="B942" s="19">
        <v>908</v>
      </c>
      <c r="C942" s="24" t="s">
        <v>251</v>
      </c>
      <c r="D942" s="24" t="s">
        <v>232</v>
      </c>
      <c r="E942" s="24" t="s">
        <v>1311</v>
      </c>
      <c r="F942" s="24"/>
      <c r="G942" s="21">
        <f>G943</f>
        <v>500</v>
      </c>
      <c r="H942" s="21">
        <f>H943</f>
        <v>500</v>
      </c>
    </row>
    <row r="943" spans="1:8" ht="47.25">
      <c r="A943" s="86" t="s">
        <v>711</v>
      </c>
      <c r="B943" s="16">
        <v>908</v>
      </c>
      <c r="C943" s="20" t="s">
        <v>251</v>
      </c>
      <c r="D943" s="20" t="s">
        <v>232</v>
      </c>
      <c r="E943" s="20" t="s">
        <v>885</v>
      </c>
      <c r="F943" s="20"/>
      <c r="G943" s="26">
        <f>'Пр.6 ведом.20'!G943</f>
        <v>500</v>
      </c>
      <c r="H943" s="26">
        <f t="shared" si="34"/>
        <v>500</v>
      </c>
    </row>
    <row r="944" spans="1:8" ht="31.5">
      <c r="A944" s="25" t="s">
        <v>148</v>
      </c>
      <c r="B944" s="16">
        <v>908</v>
      </c>
      <c r="C944" s="20" t="s">
        <v>251</v>
      </c>
      <c r="D944" s="20" t="s">
        <v>232</v>
      </c>
      <c r="E944" s="20" t="s">
        <v>885</v>
      </c>
      <c r="F944" s="20" t="s">
        <v>149</v>
      </c>
      <c r="G944" s="26">
        <f>'Пр.6 ведом.20'!G944</f>
        <v>500</v>
      </c>
      <c r="H944" s="26">
        <f t="shared" si="34"/>
        <v>500</v>
      </c>
    </row>
    <row r="945" spans="1:8" ht="31.5">
      <c r="A945" s="25" t="s">
        <v>150</v>
      </c>
      <c r="B945" s="16">
        <v>908</v>
      </c>
      <c r="C945" s="20" t="s">
        <v>251</v>
      </c>
      <c r="D945" s="20" t="s">
        <v>232</v>
      </c>
      <c r="E945" s="20" t="s">
        <v>885</v>
      </c>
      <c r="F945" s="20" t="s">
        <v>151</v>
      </c>
      <c r="G945" s="26">
        <f>'Пр.6 ведом.20'!G945</f>
        <v>500</v>
      </c>
      <c r="H945" s="26">
        <f t="shared" si="34"/>
        <v>500</v>
      </c>
    </row>
    <row r="946" spans="1:8" ht="31.5">
      <c r="A946" s="23" t="s">
        <v>586</v>
      </c>
      <c r="B946" s="19">
        <v>908</v>
      </c>
      <c r="C946" s="24" t="s">
        <v>251</v>
      </c>
      <c r="D946" s="24" t="s">
        <v>251</v>
      </c>
      <c r="E946" s="24"/>
      <c r="F946" s="24"/>
      <c r="G946" s="21">
        <f>G947+G959+G976</f>
        <v>23712.396</v>
      </c>
      <c r="H946" s="21">
        <f>H947+H959+H976</f>
        <v>23712.396</v>
      </c>
    </row>
    <row r="947" spans="1:8" ht="31.5">
      <c r="A947" s="23" t="s">
        <v>995</v>
      </c>
      <c r="B947" s="19">
        <v>908</v>
      </c>
      <c r="C947" s="24" t="s">
        <v>251</v>
      </c>
      <c r="D947" s="24" t="s">
        <v>251</v>
      </c>
      <c r="E947" s="24" t="s">
        <v>909</v>
      </c>
      <c r="F947" s="24"/>
      <c r="G947" s="21">
        <f>G948</f>
        <v>13391.887999999999</v>
      </c>
      <c r="H947" s="21">
        <f>H948</f>
        <v>13391.887999999999</v>
      </c>
    </row>
    <row r="948" spans="1:8" ht="15.75">
      <c r="A948" s="23" t="s">
        <v>996</v>
      </c>
      <c r="B948" s="19">
        <v>908</v>
      </c>
      <c r="C948" s="24" t="s">
        <v>251</v>
      </c>
      <c r="D948" s="24" t="s">
        <v>251</v>
      </c>
      <c r="E948" s="24" t="s">
        <v>910</v>
      </c>
      <c r="F948" s="24"/>
      <c r="G948" s="21">
        <f>G949+G956</f>
        <v>13391.887999999999</v>
      </c>
      <c r="H948" s="21">
        <f>H949+H956</f>
        <v>13391.887999999999</v>
      </c>
    </row>
    <row r="949" spans="1:8" ht="31.5">
      <c r="A949" s="25" t="s">
        <v>972</v>
      </c>
      <c r="B949" s="16">
        <v>908</v>
      </c>
      <c r="C949" s="20" t="s">
        <v>251</v>
      </c>
      <c r="D949" s="20" t="s">
        <v>251</v>
      </c>
      <c r="E949" s="20" t="s">
        <v>911</v>
      </c>
      <c r="F949" s="20"/>
      <c r="G949" s="26">
        <f>'Пр.6 ведом.20'!G949</f>
        <v>13021.887999999999</v>
      </c>
      <c r="H949" s="26">
        <f t="shared" si="34"/>
        <v>13021.887999999999</v>
      </c>
    </row>
    <row r="950" spans="1:8" ht="78.75">
      <c r="A950" s="25" t="s">
        <v>144</v>
      </c>
      <c r="B950" s="16">
        <v>908</v>
      </c>
      <c r="C950" s="20" t="s">
        <v>251</v>
      </c>
      <c r="D950" s="20" t="s">
        <v>251</v>
      </c>
      <c r="E950" s="20" t="s">
        <v>911</v>
      </c>
      <c r="F950" s="20" t="s">
        <v>145</v>
      </c>
      <c r="G950" s="26">
        <f>'Пр.6 ведом.20'!G950</f>
        <v>12949.887999999999</v>
      </c>
      <c r="H950" s="26">
        <f t="shared" si="34"/>
        <v>12949.887999999999</v>
      </c>
    </row>
    <row r="951" spans="1:8" ht="31.5">
      <c r="A951" s="25" t="s">
        <v>146</v>
      </c>
      <c r="B951" s="16">
        <v>908</v>
      </c>
      <c r="C951" s="20" t="s">
        <v>251</v>
      </c>
      <c r="D951" s="20" t="s">
        <v>251</v>
      </c>
      <c r="E951" s="20" t="s">
        <v>911</v>
      </c>
      <c r="F951" s="20" t="s">
        <v>147</v>
      </c>
      <c r="G951" s="26">
        <f>'Пр.6 ведом.20'!G951</f>
        <v>12949.887999999999</v>
      </c>
      <c r="H951" s="26">
        <f t="shared" si="34"/>
        <v>12949.887999999999</v>
      </c>
    </row>
    <row r="952" spans="1:8" ht="31.5">
      <c r="A952" s="25" t="s">
        <v>148</v>
      </c>
      <c r="B952" s="16">
        <v>908</v>
      </c>
      <c r="C952" s="20" t="s">
        <v>251</v>
      </c>
      <c r="D952" s="20" t="s">
        <v>251</v>
      </c>
      <c r="E952" s="20" t="s">
        <v>911</v>
      </c>
      <c r="F952" s="20" t="s">
        <v>149</v>
      </c>
      <c r="G952" s="26">
        <f>'Пр.6 ведом.20'!G952</f>
        <v>25</v>
      </c>
      <c r="H952" s="26">
        <f t="shared" si="34"/>
        <v>25</v>
      </c>
    </row>
    <row r="953" spans="1:8" ht="31.5">
      <c r="A953" s="25" t="s">
        <v>150</v>
      </c>
      <c r="B953" s="16">
        <v>908</v>
      </c>
      <c r="C953" s="20" t="s">
        <v>251</v>
      </c>
      <c r="D953" s="20" t="s">
        <v>251</v>
      </c>
      <c r="E953" s="20" t="s">
        <v>911</v>
      </c>
      <c r="F953" s="20" t="s">
        <v>151</v>
      </c>
      <c r="G953" s="26">
        <f>'Пр.6 ведом.20'!G953</f>
        <v>25</v>
      </c>
      <c r="H953" s="26">
        <f t="shared" si="34"/>
        <v>25</v>
      </c>
    </row>
    <row r="954" spans="1:8" ht="15.75">
      <c r="A954" s="25" t="s">
        <v>152</v>
      </c>
      <c r="B954" s="16">
        <v>908</v>
      </c>
      <c r="C954" s="20" t="s">
        <v>251</v>
      </c>
      <c r="D954" s="20" t="s">
        <v>251</v>
      </c>
      <c r="E954" s="20" t="s">
        <v>911</v>
      </c>
      <c r="F954" s="20" t="s">
        <v>162</v>
      </c>
      <c r="G954" s="26">
        <f>'Пр.6 ведом.20'!G954</f>
        <v>47</v>
      </c>
      <c r="H954" s="26">
        <f t="shared" si="34"/>
        <v>47</v>
      </c>
    </row>
    <row r="955" spans="1:8" ht="15.75">
      <c r="A955" s="25" t="s">
        <v>585</v>
      </c>
      <c r="B955" s="16">
        <v>908</v>
      </c>
      <c r="C955" s="20" t="s">
        <v>251</v>
      </c>
      <c r="D955" s="20" t="s">
        <v>251</v>
      </c>
      <c r="E955" s="20" t="s">
        <v>911</v>
      </c>
      <c r="F955" s="20" t="s">
        <v>155</v>
      </c>
      <c r="G955" s="26">
        <f>'Пр.6 ведом.20'!G955</f>
        <v>47</v>
      </c>
      <c r="H955" s="26">
        <f t="shared" si="34"/>
        <v>47</v>
      </c>
    </row>
    <row r="956" spans="1:8" ht="47.25">
      <c r="A956" s="25" t="s">
        <v>889</v>
      </c>
      <c r="B956" s="16">
        <v>908</v>
      </c>
      <c r="C956" s="20" t="s">
        <v>251</v>
      </c>
      <c r="D956" s="20" t="s">
        <v>251</v>
      </c>
      <c r="E956" s="20" t="s">
        <v>913</v>
      </c>
      <c r="F956" s="20"/>
      <c r="G956" s="26">
        <f>'Пр.6 ведом.20'!G956</f>
        <v>370</v>
      </c>
      <c r="H956" s="26">
        <f t="shared" si="34"/>
        <v>370</v>
      </c>
    </row>
    <row r="957" spans="1:8" ht="78.75">
      <c r="A957" s="25" t="s">
        <v>144</v>
      </c>
      <c r="B957" s="16">
        <v>908</v>
      </c>
      <c r="C957" s="20" t="s">
        <v>251</v>
      </c>
      <c r="D957" s="20" t="s">
        <v>251</v>
      </c>
      <c r="E957" s="20" t="s">
        <v>913</v>
      </c>
      <c r="F957" s="20" t="s">
        <v>145</v>
      </c>
      <c r="G957" s="26">
        <f>'Пр.6 ведом.20'!G957</f>
        <v>370</v>
      </c>
      <c r="H957" s="26">
        <f t="shared" si="34"/>
        <v>370</v>
      </c>
    </row>
    <row r="958" spans="1:8" ht="31.5">
      <c r="A958" s="25" t="s">
        <v>146</v>
      </c>
      <c r="B958" s="16">
        <v>908</v>
      </c>
      <c r="C958" s="20" t="s">
        <v>251</v>
      </c>
      <c r="D958" s="20" t="s">
        <v>251</v>
      </c>
      <c r="E958" s="20" t="s">
        <v>913</v>
      </c>
      <c r="F958" s="20" t="s">
        <v>147</v>
      </c>
      <c r="G958" s="26">
        <f>'Пр.6 ведом.20'!G958</f>
        <v>370</v>
      </c>
      <c r="H958" s="26">
        <f t="shared" si="34"/>
        <v>370</v>
      </c>
    </row>
    <row r="959" spans="1:8" ht="15.75">
      <c r="A959" s="23" t="s">
        <v>158</v>
      </c>
      <c r="B959" s="19">
        <v>908</v>
      </c>
      <c r="C959" s="24" t="s">
        <v>251</v>
      </c>
      <c r="D959" s="24" t="s">
        <v>251</v>
      </c>
      <c r="E959" s="24" t="s">
        <v>917</v>
      </c>
      <c r="F959" s="24"/>
      <c r="G959" s="21">
        <f>G960+G967</f>
        <v>10320.508</v>
      </c>
      <c r="H959" s="21">
        <f>H960+H967</f>
        <v>10320.508</v>
      </c>
    </row>
    <row r="960" spans="1:8" ht="31.5">
      <c r="A960" s="23" t="s">
        <v>921</v>
      </c>
      <c r="B960" s="19">
        <v>908</v>
      </c>
      <c r="C960" s="24" t="s">
        <v>251</v>
      </c>
      <c r="D960" s="24" t="s">
        <v>251</v>
      </c>
      <c r="E960" s="24" t="s">
        <v>916</v>
      </c>
      <c r="F960" s="24"/>
      <c r="G960" s="21">
        <f>G961+G964</f>
        <v>982</v>
      </c>
      <c r="H960" s="21">
        <f>H961+H964</f>
        <v>982</v>
      </c>
    </row>
    <row r="961" spans="1:8" ht="31.5">
      <c r="A961" s="25" t="s">
        <v>587</v>
      </c>
      <c r="B961" s="16">
        <v>908</v>
      </c>
      <c r="C961" s="20" t="s">
        <v>251</v>
      </c>
      <c r="D961" s="20" t="s">
        <v>251</v>
      </c>
      <c r="E961" s="20" t="s">
        <v>1140</v>
      </c>
      <c r="F961" s="20"/>
      <c r="G961" s="26">
        <f>'Пр.6 ведом.20'!G961</f>
        <v>982</v>
      </c>
      <c r="H961" s="26">
        <f t="shared" si="34"/>
        <v>982</v>
      </c>
    </row>
    <row r="962" spans="1:8" ht="15.75">
      <c r="A962" s="25" t="s">
        <v>152</v>
      </c>
      <c r="B962" s="16">
        <v>908</v>
      </c>
      <c r="C962" s="20" t="s">
        <v>251</v>
      </c>
      <c r="D962" s="20" t="s">
        <v>251</v>
      </c>
      <c r="E962" s="20" t="s">
        <v>1140</v>
      </c>
      <c r="F962" s="20" t="s">
        <v>162</v>
      </c>
      <c r="G962" s="26">
        <f>'Пр.6 ведом.20'!G962</f>
        <v>982</v>
      </c>
      <c r="H962" s="26">
        <f t="shared" si="34"/>
        <v>982</v>
      </c>
    </row>
    <row r="963" spans="1:8" ht="47.25">
      <c r="A963" s="25" t="s">
        <v>201</v>
      </c>
      <c r="B963" s="16">
        <v>908</v>
      </c>
      <c r="C963" s="20" t="s">
        <v>251</v>
      </c>
      <c r="D963" s="20" t="s">
        <v>251</v>
      </c>
      <c r="E963" s="20" t="s">
        <v>1140</v>
      </c>
      <c r="F963" s="20" t="s">
        <v>177</v>
      </c>
      <c r="G963" s="26">
        <f>'Пр.6 ведом.20'!G963</f>
        <v>982</v>
      </c>
      <c r="H963" s="26">
        <f t="shared" si="34"/>
        <v>982</v>
      </c>
    </row>
    <row r="964" spans="1:8" ht="31.5" hidden="1">
      <c r="A964" s="25" t="s">
        <v>872</v>
      </c>
      <c r="B964" s="16">
        <v>908</v>
      </c>
      <c r="C964" s="20" t="s">
        <v>251</v>
      </c>
      <c r="D964" s="20" t="s">
        <v>251</v>
      </c>
      <c r="E964" s="20" t="s">
        <v>1268</v>
      </c>
      <c r="F964" s="20"/>
      <c r="G964" s="26">
        <f>'Пр.6 ведом.20'!G964</f>
        <v>0</v>
      </c>
      <c r="H964" s="26">
        <f t="shared" si="34"/>
        <v>0</v>
      </c>
    </row>
    <row r="965" spans="1:8" ht="15.75" hidden="1">
      <c r="A965" s="25" t="s">
        <v>152</v>
      </c>
      <c r="B965" s="16">
        <v>908</v>
      </c>
      <c r="C965" s="20" t="s">
        <v>251</v>
      </c>
      <c r="D965" s="20" t="s">
        <v>251</v>
      </c>
      <c r="E965" s="20" t="s">
        <v>1268</v>
      </c>
      <c r="F965" s="20" t="s">
        <v>162</v>
      </c>
      <c r="G965" s="26">
        <f>'Пр.6 ведом.20'!G965</f>
        <v>0</v>
      </c>
      <c r="H965" s="26">
        <f t="shared" si="34"/>
        <v>0</v>
      </c>
    </row>
    <row r="966" spans="1:8" ht="47.25" hidden="1">
      <c r="A966" s="25" t="s">
        <v>201</v>
      </c>
      <c r="B966" s="16">
        <v>908</v>
      </c>
      <c r="C966" s="20" t="s">
        <v>251</v>
      </c>
      <c r="D966" s="20" t="s">
        <v>251</v>
      </c>
      <c r="E966" s="20" t="s">
        <v>1268</v>
      </c>
      <c r="F966" s="20" t="s">
        <v>177</v>
      </c>
      <c r="G966" s="26">
        <f>'Пр.6 ведом.20'!G966</f>
        <v>0</v>
      </c>
      <c r="H966" s="26">
        <f t="shared" si="34"/>
        <v>0</v>
      </c>
    </row>
    <row r="967" spans="1:8" ht="31.5">
      <c r="A967" s="23" t="s">
        <v>1009</v>
      </c>
      <c r="B967" s="19">
        <v>908</v>
      </c>
      <c r="C967" s="24" t="s">
        <v>251</v>
      </c>
      <c r="D967" s="24" t="s">
        <v>251</v>
      </c>
      <c r="E967" s="24" t="s">
        <v>992</v>
      </c>
      <c r="F967" s="24"/>
      <c r="G967" s="45">
        <f>G968+G973</f>
        <v>9338.508</v>
      </c>
      <c r="H967" s="45">
        <f>H968+H973</f>
        <v>9338.508</v>
      </c>
    </row>
    <row r="968" spans="1:8" ht="31.5">
      <c r="A968" s="25" t="s">
        <v>979</v>
      </c>
      <c r="B968" s="16">
        <v>908</v>
      </c>
      <c r="C968" s="20" t="s">
        <v>251</v>
      </c>
      <c r="D968" s="20" t="s">
        <v>251</v>
      </c>
      <c r="E968" s="20" t="s">
        <v>993</v>
      </c>
      <c r="F968" s="20"/>
      <c r="G968" s="26">
        <f>'Пр.6 ведом.20'!G968</f>
        <v>8838.508</v>
      </c>
      <c r="H968" s="26">
        <f t="shared" si="34"/>
        <v>8838.508</v>
      </c>
    </row>
    <row r="969" spans="1:8" ht="78.75">
      <c r="A969" s="25" t="s">
        <v>144</v>
      </c>
      <c r="B969" s="16">
        <v>908</v>
      </c>
      <c r="C969" s="20" t="s">
        <v>251</v>
      </c>
      <c r="D969" s="20" t="s">
        <v>251</v>
      </c>
      <c r="E969" s="20" t="s">
        <v>993</v>
      </c>
      <c r="F969" s="20" t="s">
        <v>145</v>
      </c>
      <c r="G969" s="26">
        <f>'Пр.6 ведом.20'!G969</f>
        <v>7046.508</v>
      </c>
      <c r="H969" s="26">
        <f t="shared" si="34"/>
        <v>7046.508</v>
      </c>
    </row>
    <row r="970" spans="1:8" ht="31.5">
      <c r="A970" s="25" t="s">
        <v>359</v>
      </c>
      <c r="B970" s="16">
        <v>908</v>
      </c>
      <c r="C970" s="20" t="s">
        <v>251</v>
      </c>
      <c r="D970" s="20" t="s">
        <v>251</v>
      </c>
      <c r="E970" s="20" t="s">
        <v>993</v>
      </c>
      <c r="F970" s="20" t="s">
        <v>226</v>
      </c>
      <c r="G970" s="26">
        <f>'Пр.6 ведом.20'!G970</f>
        <v>7046.508</v>
      </c>
      <c r="H970" s="26">
        <f t="shared" si="34"/>
        <v>7046.508</v>
      </c>
    </row>
    <row r="971" spans="1:8" ht="31.5">
      <c r="A971" s="25" t="s">
        <v>148</v>
      </c>
      <c r="B971" s="16">
        <v>908</v>
      </c>
      <c r="C971" s="20" t="s">
        <v>251</v>
      </c>
      <c r="D971" s="20" t="s">
        <v>251</v>
      </c>
      <c r="E971" s="20" t="s">
        <v>993</v>
      </c>
      <c r="F971" s="20" t="s">
        <v>149</v>
      </c>
      <c r="G971" s="26">
        <f>'Пр.6 ведом.20'!G971</f>
        <v>1792</v>
      </c>
      <c r="H971" s="26">
        <f t="shared" si="34"/>
        <v>1792</v>
      </c>
    </row>
    <row r="972" spans="1:8" ht="31.5">
      <c r="A972" s="25" t="s">
        <v>150</v>
      </c>
      <c r="B972" s="16">
        <v>908</v>
      </c>
      <c r="C972" s="20" t="s">
        <v>251</v>
      </c>
      <c r="D972" s="20" t="s">
        <v>251</v>
      </c>
      <c r="E972" s="20" t="s">
        <v>993</v>
      </c>
      <c r="F972" s="20" t="s">
        <v>151</v>
      </c>
      <c r="G972" s="26">
        <f>'Пр.6 ведом.20'!G972</f>
        <v>1792</v>
      </c>
      <c r="H972" s="26">
        <f t="shared" si="34"/>
        <v>1792</v>
      </c>
    </row>
    <row r="973" spans="1:8" ht="47.25">
      <c r="A973" s="25" t="s">
        <v>889</v>
      </c>
      <c r="B973" s="16">
        <v>908</v>
      </c>
      <c r="C973" s="20" t="s">
        <v>251</v>
      </c>
      <c r="D973" s="20" t="s">
        <v>251</v>
      </c>
      <c r="E973" s="20" t="s">
        <v>994</v>
      </c>
      <c r="F973" s="20"/>
      <c r="G973" s="26">
        <f>'Пр.6 ведом.20'!G973</f>
        <v>500</v>
      </c>
      <c r="H973" s="26">
        <f t="shared" si="34"/>
        <v>500</v>
      </c>
    </row>
    <row r="974" spans="1:8" ht="78.75">
      <c r="A974" s="25" t="s">
        <v>144</v>
      </c>
      <c r="B974" s="16">
        <v>908</v>
      </c>
      <c r="C974" s="20" t="s">
        <v>251</v>
      </c>
      <c r="D974" s="20" t="s">
        <v>251</v>
      </c>
      <c r="E974" s="20" t="s">
        <v>994</v>
      </c>
      <c r="F974" s="20" t="s">
        <v>145</v>
      </c>
      <c r="G974" s="26">
        <f>'Пр.6 ведом.20'!G974</f>
        <v>500</v>
      </c>
      <c r="H974" s="26">
        <f t="shared" si="34"/>
        <v>500</v>
      </c>
    </row>
    <row r="975" spans="1:8" ht="31.5">
      <c r="A975" s="25" t="s">
        <v>359</v>
      </c>
      <c r="B975" s="16">
        <v>908</v>
      </c>
      <c r="C975" s="20" t="s">
        <v>251</v>
      </c>
      <c r="D975" s="20" t="s">
        <v>251</v>
      </c>
      <c r="E975" s="20" t="s">
        <v>994</v>
      </c>
      <c r="F975" s="20" t="s">
        <v>226</v>
      </c>
      <c r="G975" s="26">
        <f>'Пр.6 ведом.20'!G975</f>
        <v>500</v>
      </c>
      <c r="H975" s="26">
        <f t="shared" si="34"/>
        <v>500</v>
      </c>
    </row>
    <row r="976" spans="1:8" s="252" customFormat="1" ht="63" hidden="1">
      <c r="A976" s="35" t="s">
        <v>807</v>
      </c>
      <c r="B976" s="19">
        <v>908</v>
      </c>
      <c r="C976" s="24" t="s">
        <v>251</v>
      </c>
      <c r="D976" s="24" t="s">
        <v>251</v>
      </c>
      <c r="E976" s="24" t="s">
        <v>341</v>
      </c>
      <c r="F976" s="24"/>
      <c r="G976" s="21">
        <f aca="true" t="shared" si="35" ref="G976:H979">G977</f>
        <v>0</v>
      </c>
      <c r="H976" s="21">
        <f t="shared" si="35"/>
        <v>0</v>
      </c>
    </row>
    <row r="977" spans="1:8" s="252" customFormat="1" ht="63" hidden="1">
      <c r="A977" s="35" t="s">
        <v>1171</v>
      </c>
      <c r="B977" s="19">
        <v>908</v>
      </c>
      <c r="C977" s="24" t="s">
        <v>251</v>
      </c>
      <c r="D977" s="24" t="s">
        <v>251</v>
      </c>
      <c r="E977" s="24" t="s">
        <v>1033</v>
      </c>
      <c r="F977" s="24"/>
      <c r="G977" s="21">
        <f t="shared" si="35"/>
        <v>0</v>
      </c>
      <c r="H977" s="21">
        <f t="shared" si="35"/>
        <v>0</v>
      </c>
    </row>
    <row r="978" spans="1:8" s="252" customFormat="1" ht="47.25" hidden="1">
      <c r="A978" s="32" t="s">
        <v>1290</v>
      </c>
      <c r="B978" s="16">
        <v>908</v>
      </c>
      <c r="C978" s="20" t="s">
        <v>251</v>
      </c>
      <c r="D978" s="20" t="s">
        <v>251</v>
      </c>
      <c r="E978" s="20" t="s">
        <v>1204</v>
      </c>
      <c r="F978" s="20"/>
      <c r="G978" s="26">
        <f t="shared" si="35"/>
        <v>0</v>
      </c>
      <c r="H978" s="26">
        <f t="shared" si="35"/>
        <v>0</v>
      </c>
    </row>
    <row r="979" spans="1:8" s="252" customFormat="1" ht="31.5" hidden="1">
      <c r="A979" s="25" t="s">
        <v>148</v>
      </c>
      <c r="B979" s="16">
        <v>908</v>
      </c>
      <c r="C979" s="20" t="s">
        <v>251</v>
      </c>
      <c r="D979" s="20" t="s">
        <v>251</v>
      </c>
      <c r="E979" s="20" t="s">
        <v>1204</v>
      </c>
      <c r="F979" s="20" t="s">
        <v>149</v>
      </c>
      <c r="G979" s="26">
        <f t="shared" si="35"/>
        <v>0</v>
      </c>
      <c r="H979" s="26">
        <f t="shared" si="35"/>
        <v>0</v>
      </c>
    </row>
    <row r="980" spans="1:8" s="252" customFormat="1" ht="31.5" hidden="1">
      <c r="A980" s="25" t="s">
        <v>150</v>
      </c>
      <c r="B980" s="16">
        <v>908</v>
      </c>
      <c r="C980" s="20" t="s">
        <v>251</v>
      </c>
      <c r="D980" s="20" t="s">
        <v>251</v>
      </c>
      <c r="E980" s="20" t="s">
        <v>1204</v>
      </c>
      <c r="F980" s="20" t="s">
        <v>151</v>
      </c>
      <c r="G980" s="26">
        <v>0</v>
      </c>
      <c r="H980" s="26">
        <v>0</v>
      </c>
    </row>
    <row r="981" spans="1:8" ht="15.75">
      <c r="A981" s="23" t="s">
        <v>260</v>
      </c>
      <c r="B981" s="19">
        <v>908</v>
      </c>
      <c r="C981" s="24" t="s">
        <v>261</v>
      </c>
      <c r="D981" s="24"/>
      <c r="E981" s="24"/>
      <c r="F981" s="24"/>
      <c r="G981" s="21">
        <f aca="true" t="shared" si="36" ref="G981:H982">G982</f>
        <v>87</v>
      </c>
      <c r="H981" s="21">
        <f t="shared" si="36"/>
        <v>87</v>
      </c>
    </row>
    <row r="982" spans="1:8" ht="15.75">
      <c r="A982" s="23" t="s">
        <v>275</v>
      </c>
      <c r="B982" s="19">
        <v>908</v>
      </c>
      <c r="C982" s="24" t="s">
        <v>261</v>
      </c>
      <c r="D982" s="24" t="s">
        <v>137</v>
      </c>
      <c r="E982" s="24"/>
      <c r="F982" s="24"/>
      <c r="G982" s="21">
        <f t="shared" si="36"/>
        <v>87</v>
      </c>
      <c r="H982" s="21">
        <f t="shared" si="36"/>
        <v>87</v>
      </c>
    </row>
    <row r="983" spans="1:8" ht="15.75">
      <c r="A983" s="23" t="s">
        <v>158</v>
      </c>
      <c r="B983" s="19">
        <v>908</v>
      </c>
      <c r="C983" s="24" t="s">
        <v>261</v>
      </c>
      <c r="D983" s="24" t="s">
        <v>137</v>
      </c>
      <c r="E983" s="24" t="s">
        <v>917</v>
      </c>
      <c r="F983" s="24"/>
      <c r="G983" s="21">
        <f aca="true" t="shared" si="37" ref="G983:H985">G984</f>
        <v>87</v>
      </c>
      <c r="H983" s="21">
        <f t="shared" si="37"/>
        <v>87</v>
      </c>
    </row>
    <row r="984" spans="1:8" ht="15.75">
      <c r="A984" s="23" t="s">
        <v>158</v>
      </c>
      <c r="B984" s="19">
        <v>908</v>
      </c>
      <c r="C984" s="24" t="s">
        <v>261</v>
      </c>
      <c r="D984" s="24" t="s">
        <v>137</v>
      </c>
      <c r="E984" s="24" t="s">
        <v>916</v>
      </c>
      <c r="F984" s="24"/>
      <c r="G984" s="21">
        <f t="shared" si="37"/>
        <v>87</v>
      </c>
      <c r="H984" s="21">
        <f t="shared" si="37"/>
        <v>87</v>
      </c>
    </row>
    <row r="985" spans="1:8" ht="31.5">
      <c r="A985" s="23" t="s">
        <v>921</v>
      </c>
      <c r="B985" s="19">
        <v>908</v>
      </c>
      <c r="C985" s="24" t="s">
        <v>261</v>
      </c>
      <c r="D985" s="24" t="s">
        <v>137</v>
      </c>
      <c r="E985" s="24" t="s">
        <v>916</v>
      </c>
      <c r="F985" s="24"/>
      <c r="G985" s="21">
        <f t="shared" si="37"/>
        <v>87</v>
      </c>
      <c r="H985" s="21">
        <f t="shared" si="37"/>
        <v>87</v>
      </c>
    </row>
    <row r="986" spans="1:8" ht="15.75">
      <c r="A986" s="25" t="s">
        <v>589</v>
      </c>
      <c r="B986" s="16">
        <v>908</v>
      </c>
      <c r="C986" s="20" t="s">
        <v>261</v>
      </c>
      <c r="D986" s="20" t="s">
        <v>137</v>
      </c>
      <c r="E986" s="20" t="s">
        <v>1141</v>
      </c>
      <c r="F986" s="20"/>
      <c r="G986" s="26">
        <f>'Пр.6 ведом.20'!G986</f>
        <v>87</v>
      </c>
      <c r="H986" s="26">
        <f aca="true" t="shared" si="38" ref="H986:H1046">G986</f>
        <v>87</v>
      </c>
    </row>
    <row r="987" spans="1:8" ht="31.5">
      <c r="A987" s="25" t="s">
        <v>148</v>
      </c>
      <c r="B987" s="16">
        <v>908</v>
      </c>
      <c r="C987" s="20" t="s">
        <v>261</v>
      </c>
      <c r="D987" s="20" t="s">
        <v>137</v>
      </c>
      <c r="E987" s="20" t="s">
        <v>1141</v>
      </c>
      <c r="F987" s="20" t="s">
        <v>149</v>
      </c>
      <c r="G987" s="26">
        <f>'Пр.6 ведом.20'!G987</f>
        <v>87</v>
      </c>
      <c r="H987" s="26">
        <f t="shared" si="38"/>
        <v>87</v>
      </c>
    </row>
    <row r="988" spans="1:8" ht="31.5">
      <c r="A988" s="25" t="s">
        <v>150</v>
      </c>
      <c r="B988" s="16">
        <v>908</v>
      </c>
      <c r="C988" s="20" t="s">
        <v>261</v>
      </c>
      <c r="D988" s="20" t="s">
        <v>137</v>
      </c>
      <c r="E988" s="20" t="s">
        <v>1141</v>
      </c>
      <c r="F988" s="20" t="s">
        <v>151</v>
      </c>
      <c r="G988" s="26">
        <f>'Пр.6 ведом.20'!G988</f>
        <v>87</v>
      </c>
      <c r="H988" s="26">
        <f t="shared" si="38"/>
        <v>87</v>
      </c>
    </row>
    <row r="989" spans="1:8" ht="31.5">
      <c r="A989" s="19" t="s">
        <v>591</v>
      </c>
      <c r="B989" s="19">
        <v>910</v>
      </c>
      <c r="C989" s="48"/>
      <c r="D989" s="48"/>
      <c r="E989" s="48"/>
      <c r="F989" s="48"/>
      <c r="G989" s="21">
        <f>G990</f>
        <v>7932.6810000000005</v>
      </c>
      <c r="H989" s="21">
        <f>H990</f>
        <v>7932.6810000000005</v>
      </c>
    </row>
    <row r="990" spans="1:8" ht="15.75">
      <c r="A990" s="23" t="s">
        <v>134</v>
      </c>
      <c r="B990" s="19">
        <v>910</v>
      </c>
      <c r="C990" s="24" t="s">
        <v>135</v>
      </c>
      <c r="D990" s="24"/>
      <c r="E990" s="24"/>
      <c r="F990" s="24"/>
      <c r="G990" s="21">
        <f>G991+G1010+G1021</f>
        <v>7932.6810000000005</v>
      </c>
      <c r="H990" s="21">
        <f>H991+H1010+H1021</f>
        <v>7932.6810000000005</v>
      </c>
    </row>
    <row r="991" spans="1:8" ht="47.25">
      <c r="A991" s="23" t="s">
        <v>592</v>
      </c>
      <c r="B991" s="19">
        <v>910</v>
      </c>
      <c r="C991" s="24" t="s">
        <v>135</v>
      </c>
      <c r="D991" s="24" t="s">
        <v>230</v>
      </c>
      <c r="E991" s="24"/>
      <c r="F991" s="24"/>
      <c r="G991" s="21">
        <f>G992+G1002</f>
        <v>4537.53</v>
      </c>
      <c r="H991" s="21">
        <f>H992+H1002</f>
        <v>4537.53</v>
      </c>
    </row>
    <row r="992" spans="1:8" ht="31.5">
      <c r="A992" s="23" t="s">
        <v>995</v>
      </c>
      <c r="B992" s="19">
        <v>910</v>
      </c>
      <c r="C992" s="24" t="s">
        <v>135</v>
      </c>
      <c r="D992" s="24" t="s">
        <v>230</v>
      </c>
      <c r="E992" s="24" t="s">
        <v>909</v>
      </c>
      <c r="F992" s="24"/>
      <c r="G992" s="21">
        <f>G993</f>
        <v>4512.03</v>
      </c>
      <c r="H992" s="21">
        <f>H993</f>
        <v>4512.03</v>
      </c>
    </row>
    <row r="993" spans="1:8" ht="31.5">
      <c r="A993" s="23" t="s">
        <v>1142</v>
      </c>
      <c r="B993" s="19">
        <v>910</v>
      </c>
      <c r="C993" s="24" t="s">
        <v>135</v>
      </c>
      <c r="D993" s="24" t="s">
        <v>230</v>
      </c>
      <c r="E993" s="24" t="s">
        <v>1143</v>
      </c>
      <c r="F993" s="24"/>
      <c r="G993" s="21">
        <f>G994+G999</f>
        <v>4512.03</v>
      </c>
      <c r="H993" s="21">
        <f>H994+H999</f>
        <v>4512.03</v>
      </c>
    </row>
    <row r="994" spans="1:8" ht="31.5">
      <c r="A994" s="25" t="s">
        <v>593</v>
      </c>
      <c r="B994" s="16">
        <v>910</v>
      </c>
      <c r="C994" s="20" t="s">
        <v>135</v>
      </c>
      <c r="D994" s="20" t="s">
        <v>230</v>
      </c>
      <c r="E994" s="20" t="s">
        <v>1144</v>
      </c>
      <c r="F994" s="20"/>
      <c r="G994" s="26">
        <f>'Пр.6 ведом.20'!G994</f>
        <v>4412.03</v>
      </c>
      <c r="H994" s="26">
        <f t="shared" si="38"/>
        <v>4412.03</v>
      </c>
    </row>
    <row r="995" spans="1:8" ht="78.75">
      <c r="A995" s="25" t="s">
        <v>144</v>
      </c>
      <c r="B995" s="16">
        <v>910</v>
      </c>
      <c r="C995" s="20" t="s">
        <v>135</v>
      </c>
      <c r="D995" s="20" t="s">
        <v>230</v>
      </c>
      <c r="E995" s="20" t="s">
        <v>1144</v>
      </c>
      <c r="F995" s="20" t="s">
        <v>145</v>
      </c>
      <c r="G995" s="26">
        <f>'Пр.6 ведом.20'!G995</f>
        <v>4391.03</v>
      </c>
      <c r="H995" s="26">
        <f t="shared" si="38"/>
        <v>4391.03</v>
      </c>
    </row>
    <row r="996" spans="1:8" ht="31.5">
      <c r="A996" s="25" t="s">
        <v>146</v>
      </c>
      <c r="B996" s="16">
        <v>910</v>
      </c>
      <c r="C996" s="20" t="s">
        <v>135</v>
      </c>
      <c r="D996" s="20" t="s">
        <v>230</v>
      </c>
      <c r="E996" s="20" t="s">
        <v>1144</v>
      </c>
      <c r="F996" s="20" t="s">
        <v>147</v>
      </c>
      <c r="G996" s="26">
        <f>'Пр.6 ведом.20'!G996</f>
        <v>4391.03</v>
      </c>
      <c r="H996" s="26">
        <f t="shared" si="38"/>
        <v>4391.03</v>
      </c>
    </row>
    <row r="997" spans="1:8" ht="31.5">
      <c r="A997" s="25" t="s">
        <v>215</v>
      </c>
      <c r="B997" s="16">
        <v>910</v>
      </c>
      <c r="C997" s="20" t="s">
        <v>135</v>
      </c>
      <c r="D997" s="20" t="s">
        <v>230</v>
      </c>
      <c r="E997" s="20" t="s">
        <v>1144</v>
      </c>
      <c r="F997" s="20" t="s">
        <v>149</v>
      </c>
      <c r="G997" s="26">
        <f>'Пр.6 ведом.20'!G997</f>
        <v>21</v>
      </c>
      <c r="H997" s="26">
        <f t="shared" si="38"/>
        <v>21</v>
      </c>
    </row>
    <row r="998" spans="1:8" ht="31.5">
      <c r="A998" s="25" t="s">
        <v>150</v>
      </c>
      <c r="B998" s="16">
        <v>910</v>
      </c>
      <c r="C998" s="20" t="s">
        <v>135</v>
      </c>
      <c r="D998" s="20" t="s">
        <v>230</v>
      </c>
      <c r="E998" s="20" t="s">
        <v>1144</v>
      </c>
      <c r="F998" s="20" t="s">
        <v>151</v>
      </c>
      <c r="G998" s="26">
        <f>'Пр.6 ведом.20'!G998</f>
        <v>21</v>
      </c>
      <c r="H998" s="26">
        <f t="shared" si="38"/>
        <v>21</v>
      </c>
    </row>
    <row r="999" spans="1:8" ht="47.25">
      <c r="A999" s="25" t="s">
        <v>889</v>
      </c>
      <c r="B999" s="16">
        <v>910</v>
      </c>
      <c r="C999" s="20" t="s">
        <v>135</v>
      </c>
      <c r="D999" s="20" t="s">
        <v>230</v>
      </c>
      <c r="E999" s="20" t="s">
        <v>1145</v>
      </c>
      <c r="F999" s="20"/>
      <c r="G999" s="26">
        <f>'Пр.6 ведом.20'!G999</f>
        <v>100</v>
      </c>
      <c r="H999" s="26">
        <f t="shared" si="38"/>
        <v>100</v>
      </c>
    </row>
    <row r="1000" spans="1:8" ht="78.75">
      <c r="A1000" s="25" t="s">
        <v>144</v>
      </c>
      <c r="B1000" s="16">
        <v>910</v>
      </c>
      <c r="C1000" s="20" t="s">
        <v>135</v>
      </c>
      <c r="D1000" s="20" t="s">
        <v>230</v>
      </c>
      <c r="E1000" s="20" t="s">
        <v>1145</v>
      </c>
      <c r="F1000" s="20" t="s">
        <v>145</v>
      </c>
      <c r="G1000" s="26">
        <f>'Пр.6 ведом.20'!G1000</f>
        <v>100</v>
      </c>
      <c r="H1000" s="26">
        <f t="shared" si="38"/>
        <v>100</v>
      </c>
    </row>
    <row r="1001" spans="1:8" ht="31.5">
      <c r="A1001" s="25" t="s">
        <v>146</v>
      </c>
      <c r="B1001" s="16">
        <v>910</v>
      </c>
      <c r="C1001" s="20" t="s">
        <v>135</v>
      </c>
      <c r="D1001" s="20" t="s">
        <v>230</v>
      </c>
      <c r="E1001" s="20" t="s">
        <v>1145</v>
      </c>
      <c r="F1001" s="20" t="s">
        <v>147</v>
      </c>
      <c r="G1001" s="26">
        <f>'Пр.6 ведом.20'!G1001</f>
        <v>100</v>
      </c>
      <c r="H1001" s="26">
        <f t="shared" si="38"/>
        <v>100</v>
      </c>
    </row>
    <row r="1002" spans="1:8" ht="47.25">
      <c r="A1002" s="23" t="s">
        <v>1151</v>
      </c>
      <c r="B1002" s="19">
        <v>910</v>
      </c>
      <c r="C1002" s="24" t="s">
        <v>135</v>
      </c>
      <c r="D1002" s="24" t="s">
        <v>230</v>
      </c>
      <c r="E1002" s="24" t="s">
        <v>179</v>
      </c>
      <c r="F1002" s="24"/>
      <c r="G1002" s="21">
        <f>G1003</f>
        <v>25.5</v>
      </c>
      <c r="H1002" s="21">
        <f>H1003</f>
        <v>25.5</v>
      </c>
    </row>
    <row r="1003" spans="1:8" ht="63">
      <c r="A1003" s="321" t="s">
        <v>894</v>
      </c>
      <c r="B1003" s="19">
        <v>910</v>
      </c>
      <c r="C1003" s="24" t="s">
        <v>135</v>
      </c>
      <c r="D1003" s="24" t="s">
        <v>230</v>
      </c>
      <c r="E1003" s="24" t="s">
        <v>901</v>
      </c>
      <c r="F1003" s="24"/>
      <c r="G1003" s="21">
        <f>G1004+G1007</f>
        <v>25.5</v>
      </c>
      <c r="H1003" s="21">
        <f>H1004+H1007</f>
        <v>25.5</v>
      </c>
    </row>
    <row r="1004" spans="1:8" ht="47.25">
      <c r="A1004" s="32" t="s">
        <v>713</v>
      </c>
      <c r="B1004" s="16">
        <v>910</v>
      </c>
      <c r="C1004" s="20" t="s">
        <v>135</v>
      </c>
      <c r="D1004" s="20" t="s">
        <v>230</v>
      </c>
      <c r="E1004" s="41" t="s">
        <v>1150</v>
      </c>
      <c r="F1004" s="20"/>
      <c r="G1004" s="26">
        <f>'Пр.6 ведом.20'!G1004</f>
        <v>0.5</v>
      </c>
      <c r="H1004" s="26">
        <f t="shared" si="38"/>
        <v>0.5</v>
      </c>
    </row>
    <row r="1005" spans="1:8" ht="31.5">
      <c r="A1005" s="25" t="s">
        <v>148</v>
      </c>
      <c r="B1005" s="16">
        <v>910</v>
      </c>
      <c r="C1005" s="20" t="s">
        <v>135</v>
      </c>
      <c r="D1005" s="20" t="s">
        <v>230</v>
      </c>
      <c r="E1005" s="41" t="s">
        <v>1150</v>
      </c>
      <c r="F1005" s="20" t="s">
        <v>149</v>
      </c>
      <c r="G1005" s="26">
        <f>'Пр.6 ведом.20'!G1005</f>
        <v>0.5</v>
      </c>
      <c r="H1005" s="26">
        <f t="shared" si="38"/>
        <v>0.5</v>
      </c>
    </row>
    <row r="1006" spans="1:8" ht="31.5">
      <c r="A1006" s="25" t="s">
        <v>150</v>
      </c>
      <c r="B1006" s="16">
        <v>910</v>
      </c>
      <c r="C1006" s="20" t="s">
        <v>135</v>
      </c>
      <c r="D1006" s="20" t="s">
        <v>230</v>
      </c>
      <c r="E1006" s="41" t="s">
        <v>714</v>
      </c>
      <c r="F1006" s="20" t="s">
        <v>151</v>
      </c>
      <c r="G1006" s="26">
        <f>'Пр.6 ведом.20'!G1006</f>
        <v>0.5</v>
      </c>
      <c r="H1006" s="26">
        <f t="shared" si="38"/>
        <v>0.5</v>
      </c>
    </row>
    <row r="1007" spans="1:8" ht="47.25">
      <c r="A1007" s="32" t="s">
        <v>713</v>
      </c>
      <c r="B1007" s="16">
        <v>910</v>
      </c>
      <c r="C1007" s="20" t="s">
        <v>135</v>
      </c>
      <c r="D1007" s="20" t="s">
        <v>230</v>
      </c>
      <c r="E1007" s="20" t="s">
        <v>1149</v>
      </c>
      <c r="F1007" s="20"/>
      <c r="G1007" s="26">
        <f>'Пр.6 ведом.20'!G1007</f>
        <v>25</v>
      </c>
      <c r="H1007" s="26">
        <f t="shared" si="38"/>
        <v>25</v>
      </c>
    </row>
    <row r="1008" spans="1:8" ht="31.5">
      <c r="A1008" s="25" t="s">
        <v>148</v>
      </c>
      <c r="B1008" s="16">
        <v>910</v>
      </c>
      <c r="C1008" s="20" t="s">
        <v>135</v>
      </c>
      <c r="D1008" s="20" t="s">
        <v>230</v>
      </c>
      <c r="E1008" s="20" t="s">
        <v>1149</v>
      </c>
      <c r="F1008" s="20" t="s">
        <v>149</v>
      </c>
      <c r="G1008" s="26">
        <f>'Пр.6 ведом.20'!G1008</f>
        <v>25</v>
      </c>
      <c r="H1008" s="26">
        <f t="shared" si="38"/>
        <v>25</v>
      </c>
    </row>
    <row r="1009" spans="1:8" ht="31.5">
      <c r="A1009" s="25" t="s">
        <v>150</v>
      </c>
      <c r="B1009" s="16">
        <v>910</v>
      </c>
      <c r="C1009" s="20" t="s">
        <v>135</v>
      </c>
      <c r="D1009" s="20" t="s">
        <v>230</v>
      </c>
      <c r="E1009" s="20" t="s">
        <v>1149</v>
      </c>
      <c r="F1009" s="20" t="s">
        <v>151</v>
      </c>
      <c r="G1009" s="26">
        <f>'Пр.6 ведом.20'!G1009</f>
        <v>25</v>
      </c>
      <c r="H1009" s="26">
        <f t="shared" si="38"/>
        <v>25</v>
      </c>
    </row>
    <row r="1010" spans="1:8" ht="63">
      <c r="A1010" s="23" t="s">
        <v>595</v>
      </c>
      <c r="B1010" s="19">
        <v>910</v>
      </c>
      <c r="C1010" s="24" t="s">
        <v>135</v>
      </c>
      <c r="D1010" s="24" t="s">
        <v>232</v>
      </c>
      <c r="E1010" s="24"/>
      <c r="F1010" s="24"/>
      <c r="G1010" s="21">
        <f>G1011</f>
        <v>1259.989</v>
      </c>
      <c r="H1010" s="21">
        <f>H1011</f>
        <v>1259.989</v>
      </c>
    </row>
    <row r="1011" spans="1:8" ht="31.5">
      <c r="A1011" s="23" t="s">
        <v>995</v>
      </c>
      <c r="B1011" s="19">
        <v>910</v>
      </c>
      <c r="C1011" s="24" t="s">
        <v>135</v>
      </c>
      <c r="D1011" s="24" t="s">
        <v>232</v>
      </c>
      <c r="E1011" s="24" t="s">
        <v>909</v>
      </c>
      <c r="F1011" s="24"/>
      <c r="G1011" s="21">
        <f>G1012</f>
        <v>1259.989</v>
      </c>
      <c r="H1011" s="21">
        <f>H1012</f>
        <v>1259.989</v>
      </c>
    </row>
    <row r="1012" spans="1:8" ht="31.5">
      <c r="A1012" s="23" t="s">
        <v>1142</v>
      </c>
      <c r="B1012" s="19">
        <v>910</v>
      </c>
      <c r="C1012" s="24" t="s">
        <v>135</v>
      </c>
      <c r="D1012" s="24" t="s">
        <v>232</v>
      </c>
      <c r="E1012" s="24" t="s">
        <v>1143</v>
      </c>
      <c r="F1012" s="24"/>
      <c r="G1012" s="21">
        <f>G1013+G1018</f>
        <v>1259.989</v>
      </c>
      <c r="H1012" s="21">
        <f>H1013+H1018</f>
        <v>1259.989</v>
      </c>
    </row>
    <row r="1013" spans="1:8" ht="31.5">
      <c r="A1013" s="25" t="s">
        <v>1146</v>
      </c>
      <c r="B1013" s="16">
        <v>910</v>
      </c>
      <c r="C1013" s="20" t="s">
        <v>135</v>
      </c>
      <c r="D1013" s="20" t="s">
        <v>232</v>
      </c>
      <c r="E1013" s="20" t="s">
        <v>1147</v>
      </c>
      <c r="F1013" s="20"/>
      <c r="G1013" s="26">
        <f>'Пр.6 ведом.20'!G1013</f>
        <v>1159.989</v>
      </c>
      <c r="H1013" s="26">
        <f t="shared" si="38"/>
        <v>1159.989</v>
      </c>
    </row>
    <row r="1014" spans="1:8" ht="78.75">
      <c r="A1014" s="25" t="s">
        <v>144</v>
      </c>
      <c r="B1014" s="16">
        <v>910</v>
      </c>
      <c r="C1014" s="20" t="s">
        <v>135</v>
      </c>
      <c r="D1014" s="20" t="s">
        <v>232</v>
      </c>
      <c r="E1014" s="20" t="s">
        <v>1147</v>
      </c>
      <c r="F1014" s="20" t="s">
        <v>145</v>
      </c>
      <c r="G1014" s="26">
        <f>'Пр.6 ведом.20'!G1014</f>
        <v>1066.989</v>
      </c>
      <c r="H1014" s="26">
        <f t="shared" si="38"/>
        <v>1066.989</v>
      </c>
    </row>
    <row r="1015" spans="1:8" ht="31.5">
      <c r="A1015" s="25" t="s">
        <v>146</v>
      </c>
      <c r="B1015" s="16">
        <v>910</v>
      </c>
      <c r="C1015" s="20" t="s">
        <v>135</v>
      </c>
      <c r="D1015" s="20" t="s">
        <v>232</v>
      </c>
      <c r="E1015" s="20" t="s">
        <v>1147</v>
      </c>
      <c r="F1015" s="20" t="s">
        <v>147</v>
      </c>
      <c r="G1015" s="26">
        <f>'Пр.6 ведом.20'!G1015</f>
        <v>1066.989</v>
      </c>
      <c r="H1015" s="26">
        <f t="shared" si="38"/>
        <v>1066.989</v>
      </c>
    </row>
    <row r="1016" spans="1:8" ht="31.5">
      <c r="A1016" s="25" t="s">
        <v>215</v>
      </c>
      <c r="B1016" s="16">
        <v>910</v>
      </c>
      <c r="C1016" s="20" t="s">
        <v>135</v>
      </c>
      <c r="D1016" s="20" t="s">
        <v>232</v>
      </c>
      <c r="E1016" s="20" t="s">
        <v>1147</v>
      </c>
      <c r="F1016" s="20" t="s">
        <v>149</v>
      </c>
      <c r="G1016" s="26">
        <f>'Пр.6 ведом.20'!G1016</f>
        <v>93</v>
      </c>
      <c r="H1016" s="26">
        <f t="shared" si="38"/>
        <v>93</v>
      </c>
    </row>
    <row r="1017" spans="1:8" ht="31.5">
      <c r="A1017" s="25" t="s">
        <v>150</v>
      </c>
      <c r="B1017" s="16">
        <v>910</v>
      </c>
      <c r="C1017" s="20" t="s">
        <v>135</v>
      </c>
      <c r="D1017" s="20" t="s">
        <v>232</v>
      </c>
      <c r="E1017" s="20" t="s">
        <v>1147</v>
      </c>
      <c r="F1017" s="20" t="s">
        <v>151</v>
      </c>
      <c r="G1017" s="26">
        <f>'Пр.6 ведом.20'!G1017</f>
        <v>93</v>
      </c>
      <c r="H1017" s="26">
        <f t="shared" si="38"/>
        <v>93</v>
      </c>
    </row>
    <row r="1018" spans="1:8" ht="47.25">
      <c r="A1018" s="25" t="s">
        <v>889</v>
      </c>
      <c r="B1018" s="16">
        <v>910</v>
      </c>
      <c r="C1018" s="20" t="s">
        <v>135</v>
      </c>
      <c r="D1018" s="20" t="s">
        <v>232</v>
      </c>
      <c r="E1018" s="20" t="s">
        <v>1145</v>
      </c>
      <c r="F1018" s="20"/>
      <c r="G1018" s="26">
        <f>'Пр.6 ведом.20'!G1018</f>
        <v>100</v>
      </c>
      <c r="H1018" s="26">
        <f t="shared" si="38"/>
        <v>100</v>
      </c>
    </row>
    <row r="1019" spans="1:8" ht="78.75">
      <c r="A1019" s="25" t="s">
        <v>144</v>
      </c>
      <c r="B1019" s="16">
        <v>910</v>
      </c>
      <c r="C1019" s="20" t="s">
        <v>135</v>
      </c>
      <c r="D1019" s="20" t="s">
        <v>232</v>
      </c>
      <c r="E1019" s="20" t="s">
        <v>1145</v>
      </c>
      <c r="F1019" s="20" t="s">
        <v>145</v>
      </c>
      <c r="G1019" s="26">
        <f>'Пр.6 ведом.20'!G1019</f>
        <v>100</v>
      </c>
      <c r="H1019" s="26">
        <f t="shared" si="38"/>
        <v>100</v>
      </c>
    </row>
    <row r="1020" spans="1:8" ht="31.5">
      <c r="A1020" s="25" t="s">
        <v>146</v>
      </c>
      <c r="B1020" s="16">
        <v>910</v>
      </c>
      <c r="C1020" s="20" t="s">
        <v>135</v>
      </c>
      <c r="D1020" s="20" t="s">
        <v>232</v>
      </c>
      <c r="E1020" s="20" t="s">
        <v>1145</v>
      </c>
      <c r="F1020" s="20" t="s">
        <v>147</v>
      </c>
      <c r="G1020" s="26">
        <f>'Пр.6 ведом.20'!G1020</f>
        <v>100</v>
      </c>
      <c r="H1020" s="26">
        <f t="shared" si="38"/>
        <v>100</v>
      </c>
    </row>
    <row r="1021" spans="1:8" ht="47.25">
      <c r="A1021" s="23" t="s">
        <v>136</v>
      </c>
      <c r="B1021" s="19">
        <v>910</v>
      </c>
      <c r="C1021" s="24" t="s">
        <v>135</v>
      </c>
      <c r="D1021" s="24" t="s">
        <v>137</v>
      </c>
      <c r="E1021" s="24"/>
      <c r="F1021" s="24"/>
      <c r="G1021" s="21">
        <f>G1022</f>
        <v>2135.162</v>
      </c>
      <c r="H1021" s="21">
        <f>H1022</f>
        <v>2135.162</v>
      </c>
    </row>
    <row r="1022" spans="1:8" ht="31.5">
      <c r="A1022" s="23" t="s">
        <v>995</v>
      </c>
      <c r="B1022" s="19">
        <v>910</v>
      </c>
      <c r="C1022" s="24" t="s">
        <v>135</v>
      </c>
      <c r="D1022" s="24" t="s">
        <v>137</v>
      </c>
      <c r="E1022" s="24" t="s">
        <v>909</v>
      </c>
      <c r="F1022" s="24"/>
      <c r="G1022" s="21">
        <f>G1023</f>
        <v>2135.162</v>
      </c>
      <c r="H1022" s="21">
        <f>H1023</f>
        <v>2135.162</v>
      </c>
    </row>
    <row r="1023" spans="1:8" ht="31.5">
      <c r="A1023" s="23" t="s">
        <v>1142</v>
      </c>
      <c r="B1023" s="19">
        <v>910</v>
      </c>
      <c r="C1023" s="24" t="s">
        <v>135</v>
      </c>
      <c r="D1023" s="24" t="s">
        <v>137</v>
      </c>
      <c r="E1023" s="24" t="s">
        <v>1143</v>
      </c>
      <c r="F1023" s="24"/>
      <c r="G1023" s="21">
        <f>G1024+G1029</f>
        <v>2135.162</v>
      </c>
      <c r="H1023" s="21">
        <f>H1024+H1029</f>
        <v>2135.162</v>
      </c>
    </row>
    <row r="1024" spans="1:8" ht="31.5">
      <c r="A1024" s="25" t="s">
        <v>972</v>
      </c>
      <c r="B1024" s="16">
        <v>910</v>
      </c>
      <c r="C1024" s="20" t="s">
        <v>135</v>
      </c>
      <c r="D1024" s="20" t="s">
        <v>137</v>
      </c>
      <c r="E1024" s="20" t="s">
        <v>1147</v>
      </c>
      <c r="F1024" s="20"/>
      <c r="G1024" s="26">
        <f>'Пр.6 ведом.20'!G1024</f>
        <v>2035.1619999999998</v>
      </c>
      <c r="H1024" s="26">
        <f t="shared" si="38"/>
        <v>2035.1619999999998</v>
      </c>
    </row>
    <row r="1025" spans="1:8" ht="78.75">
      <c r="A1025" s="25" t="s">
        <v>144</v>
      </c>
      <c r="B1025" s="16">
        <v>910</v>
      </c>
      <c r="C1025" s="20" t="s">
        <v>135</v>
      </c>
      <c r="D1025" s="20" t="s">
        <v>137</v>
      </c>
      <c r="E1025" s="20" t="s">
        <v>1147</v>
      </c>
      <c r="F1025" s="20" t="s">
        <v>145</v>
      </c>
      <c r="G1025" s="26">
        <f>'Пр.6 ведом.20'!G1025</f>
        <v>2017.1619999999998</v>
      </c>
      <c r="H1025" s="26">
        <f t="shared" si="38"/>
        <v>2017.1619999999998</v>
      </c>
    </row>
    <row r="1026" spans="1:8" ht="31.5">
      <c r="A1026" s="25" t="s">
        <v>146</v>
      </c>
      <c r="B1026" s="16">
        <v>910</v>
      </c>
      <c r="C1026" s="20" t="s">
        <v>135</v>
      </c>
      <c r="D1026" s="20" t="s">
        <v>137</v>
      </c>
      <c r="E1026" s="20" t="s">
        <v>1147</v>
      </c>
      <c r="F1026" s="20" t="s">
        <v>147</v>
      </c>
      <c r="G1026" s="26">
        <f>'Пр.6 ведом.20'!G1026</f>
        <v>2017.1619999999998</v>
      </c>
      <c r="H1026" s="26">
        <f t="shared" si="38"/>
        <v>2017.1619999999998</v>
      </c>
    </row>
    <row r="1027" spans="1:8" ht="31.5">
      <c r="A1027" s="25" t="s">
        <v>215</v>
      </c>
      <c r="B1027" s="16">
        <v>910</v>
      </c>
      <c r="C1027" s="20" t="s">
        <v>135</v>
      </c>
      <c r="D1027" s="20" t="s">
        <v>137</v>
      </c>
      <c r="E1027" s="20" t="s">
        <v>1147</v>
      </c>
      <c r="F1027" s="20" t="s">
        <v>149</v>
      </c>
      <c r="G1027" s="26">
        <f>'Пр.6 ведом.20'!G1027</f>
        <v>18</v>
      </c>
      <c r="H1027" s="26">
        <f t="shared" si="38"/>
        <v>18</v>
      </c>
    </row>
    <row r="1028" spans="1:8" ht="31.5">
      <c r="A1028" s="25" t="s">
        <v>150</v>
      </c>
      <c r="B1028" s="16">
        <v>910</v>
      </c>
      <c r="C1028" s="20" t="s">
        <v>135</v>
      </c>
      <c r="D1028" s="20" t="s">
        <v>137</v>
      </c>
      <c r="E1028" s="20" t="s">
        <v>1147</v>
      </c>
      <c r="F1028" s="20" t="s">
        <v>151</v>
      </c>
      <c r="G1028" s="26">
        <f>'Пр.6 ведом.20'!G1028</f>
        <v>18</v>
      </c>
      <c r="H1028" s="26">
        <f t="shared" si="38"/>
        <v>18</v>
      </c>
    </row>
    <row r="1029" spans="1:8" ht="47.25">
      <c r="A1029" s="25" t="s">
        <v>889</v>
      </c>
      <c r="B1029" s="16">
        <v>910</v>
      </c>
      <c r="C1029" s="20" t="s">
        <v>135</v>
      </c>
      <c r="D1029" s="20" t="s">
        <v>137</v>
      </c>
      <c r="E1029" s="20" t="s">
        <v>1145</v>
      </c>
      <c r="F1029" s="20"/>
      <c r="G1029" s="26">
        <f>'Пр.6 ведом.20'!G1029</f>
        <v>100</v>
      </c>
      <c r="H1029" s="26">
        <f t="shared" si="38"/>
        <v>100</v>
      </c>
    </row>
    <row r="1030" spans="1:8" ht="78.75">
      <c r="A1030" s="25" t="s">
        <v>144</v>
      </c>
      <c r="B1030" s="16">
        <v>910</v>
      </c>
      <c r="C1030" s="20" t="s">
        <v>135</v>
      </c>
      <c r="D1030" s="20" t="s">
        <v>137</v>
      </c>
      <c r="E1030" s="20" t="s">
        <v>1145</v>
      </c>
      <c r="F1030" s="20" t="s">
        <v>145</v>
      </c>
      <c r="G1030" s="26">
        <f>'Пр.6 ведом.20'!G1030</f>
        <v>100</v>
      </c>
      <c r="H1030" s="26">
        <f t="shared" si="38"/>
        <v>100</v>
      </c>
    </row>
    <row r="1031" spans="1:8" ht="31.5">
      <c r="A1031" s="25" t="s">
        <v>146</v>
      </c>
      <c r="B1031" s="16">
        <v>910</v>
      </c>
      <c r="C1031" s="20" t="s">
        <v>135</v>
      </c>
      <c r="D1031" s="20" t="s">
        <v>137</v>
      </c>
      <c r="E1031" s="20" t="s">
        <v>1145</v>
      </c>
      <c r="F1031" s="20" t="s">
        <v>147</v>
      </c>
      <c r="G1031" s="26">
        <f>'Пр.6 ведом.20'!G1031</f>
        <v>100</v>
      </c>
      <c r="H1031" s="26">
        <f t="shared" si="38"/>
        <v>100</v>
      </c>
    </row>
    <row r="1032" spans="1:8" ht="15.75">
      <c r="A1032" s="23" t="s">
        <v>598</v>
      </c>
      <c r="B1032" s="19">
        <v>913</v>
      </c>
      <c r="C1032" s="24"/>
      <c r="D1032" s="24"/>
      <c r="E1032" s="24"/>
      <c r="F1032" s="24"/>
      <c r="G1032" s="21">
        <f>G1033</f>
        <v>7451</v>
      </c>
      <c r="H1032" s="21">
        <f>H1033</f>
        <v>7451</v>
      </c>
    </row>
    <row r="1033" spans="1:8" ht="15.75">
      <c r="A1033" s="23" t="s">
        <v>599</v>
      </c>
      <c r="B1033" s="19">
        <v>913</v>
      </c>
      <c r="C1033" s="24" t="s">
        <v>255</v>
      </c>
      <c r="D1033" s="20"/>
      <c r="E1033" s="20"/>
      <c r="F1033" s="20"/>
      <c r="G1033" s="21">
        <f>G1034</f>
        <v>7451</v>
      </c>
      <c r="H1033" s="21">
        <f>H1034</f>
        <v>7451</v>
      </c>
    </row>
    <row r="1034" spans="1:8" ht="15.75">
      <c r="A1034" s="23" t="s">
        <v>600</v>
      </c>
      <c r="B1034" s="19">
        <v>913</v>
      </c>
      <c r="C1034" s="24" t="s">
        <v>255</v>
      </c>
      <c r="D1034" s="24" t="s">
        <v>230</v>
      </c>
      <c r="E1034" s="24"/>
      <c r="F1034" s="24"/>
      <c r="G1034" s="21">
        <f>G1035+G1047</f>
        <v>7451</v>
      </c>
      <c r="H1034" s="21">
        <f>H1035+H1047</f>
        <v>7451</v>
      </c>
    </row>
    <row r="1035" spans="1:8" ht="15.75">
      <c r="A1035" s="23" t="s">
        <v>158</v>
      </c>
      <c r="B1035" s="19">
        <v>913</v>
      </c>
      <c r="C1035" s="24" t="s">
        <v>255</v>
      </c>
      <c r="D1035" s="24" t="s">
        <v>230</v>
      </c>
      <c r="E1035" s="24" t="s">
        <v>917</v>
      </c>
      <c r="F1035" s="24"/>
      <c r="G1035" s="21">
        <f>G1036</f>
        <v>7246</v>
      </c>
      <c r="H1035" s="21">
        <f>H1036</f>
        <v>7246</v>
      </c>
    </row>
    <row r="1036" spans="1:8" ht="15.75">
      <c r="A1036" s="23" t="s">
        <v>1098</v>
      </c>
      <c r="B1036" s="19">
        <v>913</v>
      </c>
      <c r="C1036" s="24" t="s">
        <v>255</v>
      </c>
      <c r="D1036" s="24" t="s">
        <v>230</v>
      </c>
      <c r="E1036" s="24" t="s">
        <v>1097</v>
      </c>
      <c r="F1036" s="24"/>
      <c r="G1036" s="21">
        <f>G1037+G1044</f>
        <v>7246</v>
      </c>
      <c r="H1036" s="21">
        <f>H1037+H1044</f>
        <v>7246</v>
      </c>
    </row>
    <row r="1037" spans="1:8" ht="15.75">
      <c r="A1037" s="25" t="s">
        <v>837</v>
      </c>
      <c r="B1037" s="16">
        <v>913</v>
      </c>
      <c r="C1037" s="20" t="s">
        <v>255</v>
      </c>
      <c r="D1037" s="20" t="s">
        <v>230</v>
      </c>
      <c r="E1037" s="20" t="s">
        <v>1099</v>
      </c>
      <c r="F1037" s="20"/>
      <c r="G1037" s="26">
        <f>'Пр.6 ведом.20'!G1037</f>
        <v>7031</v>
      </c>
      <c r="H1037" s="26">
        <f t="shared" si="38"/>
        <v>7031</v>
      </c>
    </row>
    <row r="1038" spans="1:8" ht="78.75">
      <c r="A1038" s="25" t="s">
        <v>144</v>
      </c>
      <c r="B1038" s="16">
        <v>913</v>
      </c>
      <c r="C1038" s="20" t="s">
        <v>255</v>
      </c>
      <c r="D1038" s="20" t="s">
        <v>230</v>
      </c>
      <c r="E1038" s="20" t="s">
        <v>1099</v>
      </c>
      <c r="F1038" s="20" t="s">
        <v>145</v>
      </c>
      <c r="G1038" s="26">
        <f>'Пр.6 ведом.20'!G1038</f>
        <v>5525</v>
      </c>
      <c r="H1038" s="26">
        <f t="shared" si="38"/>
        <v>5525</v>
      </c>
    </row>
    <row r="1039" spans="1:8" ht="15.75">
      <c r="A1039" s="25" t="s">
        <v>225</v>
      </c>
      <c r="B1039" s="16">
        <v>913</v>
      </c>
      <c r="C1039" s="20" t="s">
        <v>255</v>
      </c>
      <c r="D1039" s="20" t="s">
        <v>230</v>
      </c>
      <c r="E1039" s="20" t="s">
        <v>1099</v>
      </c>
      <c r="F1039" s="20" t="s">
        <v>226</v>
      </c>
      <c r="G1039" s="26">
        <f>'Пр.6 ведом.20'!G1039</f>
        <v>5525</v>
      </c>
      <c r="H1039" s="26">
        <f t="shared" si="38"/>
        <v>5525</v>
      </c>
    </row>
    <row r="1040" spans="1:8" ht="31.5">
      <c r="A1040" s="25" t="s">
        <v>148</v>
      </c>
      <c r="B1040" s="16">
        <v>913</v>
      </c>
      <c r="C1040" s="20" t="s">
        <v>255</v>
      </c>
      <c r="D1040" s="20" t="s">
        <v>230</v>
      </c>
      <c r="E1040" s="20" t="s">
        <v>1099</v>
      </c>
      <c r="F1040" s="20" t="s">
        <v>149</v>
      </c>
      <c r="G1040" s="26">
        <f>'Пр.6 ведом.20'!G1040</f>
        <v>1456</v>
      </c>
      <c r="H1040" s="26">
        <f t="shared" si="38"/>
        <v>1456</v>
      </c>
    </row>
    <row r="1041" spans="1:8" ht="31.5">
      <c r="A1041" s="25" t="s">
        <v>150</v>
      </c>
      <c r="B1041" s="16">
        <v>913</v>
      </c>
      <c r="C1041" s="20" t="s">
        <v>255</v>
      </c>
      <c r="D1041" s="20" t="s">
        <v>230</v>
      </c>
      <c r="E1041" s="20" t="s">
        <v>1099</v>
      </c>
      <c r="F1041" s="20" t="s">
        <v>151</v>
      </c>
      <c r="G1041" s="26">
        <f>'Пр.6 ведом.20'!G1041</f>
        <v>1456</v>
      </c>
      <c r="H1041" s="26">
        <f t="shared" si="38"/>
        <v>1456</v>
      </c>
    </row>
    <row r="1042" spans="1:8" ht="15.75">
      <c r="A1042" s="25" t="s">
        <v>152</v>
      </c>
      <c r="B1042" s="16">
        <v>913</v>
      </c>
      <c r="C1042" s="20" t="s">
        <v>255</v>
      </c>
      <c r="D1042" s="20" t="s">
        <v>230</v>
      </c>
      <c r="E1042" s="20" t="s">
        <v>1099</v>
      </c>
      <c r="F1042" s="20" t="s">
        <v>162</v>
      </c>
      <c r="G1042" s="26">
        <f>'Пр.6 ведом.20'!G1042</f>
        <v>50</v>
      </c>
      <c r="H1042" s="26">
        <f t="shared" si="38"/>
        <v>50</v>
      </c>
    </row>
    <row r="1043" spans="1:8" ht="15.75">
      <c r="A1043" s="25" t="s">
        <v>585</v>
      </c>
      <c r="B1043" s="16">
        <v>913</v>
      </c>
      <c r="C1043" s="20" t="s">
        <v>255</v>
      </c>
      <c r="D1043" s="20" t="s">
        <v>230</v>
      </c>
      <c r="E1043" s="20" t="s">
        <v>1099</v>
      </c>
      <c r="F1043" s="20" t="s">
        <v>155</v>
      </c>
      <c r="G1043" s="26">
        <f>'Пр.6 ведом.20'!G1043</f>
        <v>50</v>
      </c>
      <c r="H1043" s="26">
        <f t="shared" si="38"/>
        <v>50</v>
      </c>
    </row>
    <row r="1044" spans="1:8" ht="47.25">
      <c r="A1044" s="25" t="s">
        <v>889</v>
      </c>
      <c r="B1044" s="16">
        <v>913</v>
      </c>
      <c r="C1044" s="20" t="s">
        <v>255</v>
      </c>
      <c r="D1044" s="20" t="s">
        <v>230</v>
      </c>
      <c r="E1044" s="20" t="s">
        <v>1100</v>
      </c>
      <c r="F1044" s="20"/>
      <c r="G1044" s="26">
        <f>'Пр.6 ведом.20'!G1044</f>
        <v>215</v>
      </c>
      <c r="H1044" s="26">
        <f t="shared" si="38"/>
        <v>215</v>
      </c>
    </row>
    <row r="1045" spans="1:8" ht="78.75">
      <c r="A1045" s="25" t="s">
        <v>144</v>
      </c>
      <c r="B1045" s="16">
        <v>913</v>
      </c>
      <c r="C1045" s="20" t="s">
        <v>255</v>
      </c>
      <c r="D1045" s="20" t="s">
        <v>230</v>
      </c>
      <c r="E1045" s="20" t="s">
        <v>1100</v>
      </c>
      <c r="F1045" s="20" t="s">
        <v>145</v>
      </c>
      <c r="G1045" s="26">
        <f>'Пр.6 ведом.20'!G1045</f>
        <v>215</v>
      </c>
      <c r="H1045" s="26">
        <f t="shared" si="38"/>
        <v>215</v>
      </c>
    </row>
    <row r="1046" spans="1:8" ht="15.75">
      <c r="A1046" s="25" t="s">
        <v>225</v>
      </c>
      <c r="B1046" s="16">
        <v>913</v>
      </c>
      <c r="C1046" s="20" t="s">
        <v>255</v>
      </c>
      <c r="D1046" s="20" t="s">
        <v>230</v>
      </c>
      <c r="E1046" s="20" t="s">
        <v>1100</v>
      </c>
      <c r="F1046" s="20" t="s">
        <v>226</v>
      </c>
      <c r="G1046" s="26">
        <f>'Пр.6 ведом.20'!G1046</f>
        <v>215</v>
      </c>
      <c r="H1046" s="26">
        <f t="shared" si="38"/>
        <v>215</v>
      </c>
    </row>
    <row r="1047" spans="1:8" ht="63">
      <c r="A1047" s="42" t="s">
        <v>1188</v>
      </c>
      <c r="B1047" s="19">
        <v>913</v>
      </c>
      <c r="C1047" s="24" t="s">
        <v>255</v>
      </c>
      <c r="D1047" s="24" t="s">
        <v>230</v>
      </c>
      <c r="E1047" s="24" t="s">
        <v>730</v>
      </c>
      <c r="F1047" s="324"/>
      <c r="G1047" s="21">
        <f>G1049</f>
        <v>205</v>
      </c>
      <c r="H1047" s="21">
        <f>H1049</f>
        <v>205</v>
      </c>
    </row>
    <row r="1048" spans="1:8" ht="47.25">
      <c r="A1048" s="42" t="s">
        <v>954</v>
      </c>
      <c r="B1048" s="19">
        <v>913</v>
      </c>
      <c r="C1048" s="24" t="s">
        <v>255</v>
      </c>
      <c r="D1048" s="24" t="s">
        <v>230</v>
      </c>
      <c r="E1048" s="24" t="s">
        <v>952</v>
      </c>
      <c r="F1048" s="324"/>
      <c r="G1048" s="21">
        <f>G1049</f>
        <v>205</v>
      </c>
      <c r="H1048" s="21">
        <f>H1049</f>
        <v>205</v>
      </c>
    </row>
    <row r="1049" spans="1:8" ht="47.25">
      <c r="A1049" s="107" t="s">
        <v>1166</v>
      </c>
      <c r="B1049" s="16">
        <v>913</v>
      </c>
      <c r="C1049" s="20" t="s">
        <v>255</v>
      </c>
      <c r="D1049" s="20" t="s">
        <v>230</v>
      </c>
      <c r="E1049" s="20" t="s">
        <v>953</v>
      </c>
      <c r="F1049" s="33"/>
      <c r="G1049" s="26">
        <f>'Пр.6 ведом.20'!G1049</f>
        <v>205</v>
      </c>
      <c r="H1049" s="26">
        <f aca="true" t="shared" si="39" ref="H1049:H1051">G1049</f>
        <v>205</v>
      </c>
    </row>
    <row r="1050" spans="1:8" ht="31.5">
      <c r="A1050" s="25" t="s">
        <v>148</v>
      </c>
      <c r="B1050" s="16">
        <v>913</v>
      </c>
      <c r="C1050" s="20" t="s">
        <v>255</v>
      </c>
      <c r="D1050" s="20" t="s">
        <v>230</v>
      </c>
      <c r="E1050" s="20" t="s">
        <v>953</v>
      </c>
      <c r="F1050" s="33" t="s">
        <v>149</v>
      </c>
      <c r="G1050" s="26">
        <f>'Пр.6 ведом.20'!G1050</f>
        <v>205</v>
      </c>
      <c r="H1050" s="26">
        <f t="shared" si="39"/>
        <v>205</v>
      </c>
    </row>
    <row r="1051" spans="1:8" ht="31.5">
      <c r="A1051" s="25" t="s">
        <v>150</v>
      </c>
      <c r="B1051" s="16">
        <v>913</v>
      </c>
      <c r="C1051" s="20" t="s">
        <v>255</v>
      </c>
      <c r="D1051" s="20" t="s">
        <v>230</v>
      </c>
      <c r="E1051" s="20" t="s">
        <v>953</v>
      </c>
      <c r="F1051" s="33" t="s">
        <v>151</v>
      </c>
      <c r="G1051" s="26">
        <f>'Пр.6 ведом.20'!G1051</f>
        <v>205</v>
      </c>
      <c r="H1051" s="26">
        <f t="shared" si="39"/>
        <v>205</v>
      </c>
    </row>
    <row r="1052" spans="1:8" ht="15.75">
      <c r="A1052" s="49" t="s">
        <v>604</v>
      </c>
      <c r="B1052" s="49"/>
      <c r="C1052" s="24"/>
      <c r="D1052" s="24"/>
      <c r="E1052" s="24"/>
      <c r="F1052" s="24"/>
      <c r="G1052" s="390">
        <f>G1032+G989+G782+G705+G486+G447+G198+G23+G8</f>
        <v>679225.0229999999</v>
      </c>
      <c r="H1052" s="390">
        <f>H1032+H989+H782+H705+H486+H447+H198+H23+H8</f>
        <v>679225.0229999999</v>
      </c>
    </row>
    <row r="1053" spans="1:8" ht="15">
      <c r="A1053" s="289"/>
      <c r="B1053" s="289"/>
      <c r="C1053" s="289"/>
      <c r="D1053" s="289"/>
      <c r="E1053" s="289"/>
      <c r="F1053" s="289"/>
      <c r="G1053" s="289"/>
      <c r="H1053" s="310"/>
    </row>
    <row r="1054" spans="1:8" ht="18.75" hidden="1">
      <c r="A1054" s="289"/>
      <c r="B1054" s="289"/>
      <c r="C1054" s="290"/>
      <c r="D1054" s="290"/>
      <c r="E1054" s="290"/>
      <c r="F1054" s="291" t="s">
        <v>605</v>
      </c>
      <c r="G1054" s="292">
        <f>G1052-G1055</f>
        <v>485865.1029999999</v>
      </c>
      <c r="H1054" s="292">
        <f>H1052-H1055</f>
        <v>485865.1029999999</v>
      </c>
    </row>
    <row r="1055" spans="1:9" ht="18.75" hidden="1">
      <c r="A1055" s="289"/>
      <c r="B1055" s="289"/>
      <c r="C1055" s="290"/>
      <c r="D1055" s="290"/>
      <c r="E1055" s="290"/>
      <c r="F1055" s="291" t="s">
        <v>606</v>
      </c>
      <c r="G1055" s="292">
        <f>G43+G154+G163+G192+G207+G240+G247+G287+G344+G369+G372+G422+G472+G508+G546+G572+G606+G613+G644+G675+G744+G934+G941+G851+G829+G254+G174+G79+G1007-150-500-239.8</f>
        <v>193359.92</v>
      </c>
      <c r="H1055" s="292">
        <f>H43+H154+H163+H192+H207+H240+H247+H287+H344+H369+H372+H422+H472+H508+H546+H572+H606+H613+H644+H675+H744+H934+H941+H851+H829+H254+H174+H79+H1007-150-500-239.8</f>
        <v>193359.92</v>
      </c>
      <c r="I1055" s="292"/>
    </row>
    <row r="1056" spans="1:8" ht="15.75" hidden="1">
      <c r="A1056" s="289"/>
      <c r="B1056" s="289"/>
      <c r="C1056" s="290"/>
      <c r="D1056" s="294"/>
      <c r="E1056" s="294"/>
      <c r="F1056" s="294"/>
      <c r="G1056" s="295"/>
      <c r="H1056" s="295"/>
    </row>
    <row r="1057" spans="1:8" ht="15.75" hidden="1">
      <c r="A1057" s="289"/>
      <c r="B1057" s="289"/>
      <c r="C1057" s="290"/>
      <c r="D1057" s="294"/>
      <c r="E1057" s="294"/>
      <c r="F1057" s="294"/>
      <c r="G1057" s="296"/>
      <c r="H1057" s="296"/>
    </row>
    <row r="1058" spans="1:8" ht="15.75" hidden="1">
      <c r="A1058" s="289"/>
      <c r="B1058" s="289"/>
      <c r="C1058" s="290"/>
      <c r="D1058" s="294"/>
      <c r="E1058" s="294"/>
      <c r="F1058" s="294"/>
      <c r="G1058" s="290"/>
      <c r="H1058" s="290"/>
    </row>
    <row r="1059" spans="1:8" ht="15.75" hidden="1">
      <c r="A1059" s="289"/>
      <c r="B1059" s="289"/>
      <c r="C1059" s="297">
        <v>1</v>
      </c>
      <c r="D1059" s="294"/>
      <c r="E1059" s="294"/>
      <c r="F1059" s="294"/>
      <c r="G1059" s="298">
        <f>G9+G24+G199+G448+G487+G783+G990+G706</f>
        <v>151884.52500000002</v>
      </c>
      <c r="H1059" s="298">
        <f>H9+H24+H199+H448+H487+H783+H990+H706</f>
        <v>151884.52500000002</v>
      </c>
    </row>
    <row r="1060" spans="1:8" ht="15.75" hidden="1">
      <c r="A1060" s="289"/>
      <c r="B1060" s="289"/>
      <c r="C1060" s="297" t="s">
        <v>605</v>
      </c>
      <c r="D1060" s="294"/>
      <c r="E1060" s="294"/>
      <c r="F1060" s="294"/>
      <c r="G1060" s="298">
        <f>G1059-G1061</f>
        <v>148627.70500000002</v>
      </c>
      <c r="H1060" s="298">
        <f>H1059-H1061</f>
        <v>148627.70500000002</v>
      </c>
    </row>
    <row r="1061" spans="1:8" ht="15.75" hidden="1">
      <c r="A1061" s="289"/>
      <c r="B1061" s="289"/>
      <c r="C1061" s="297" t="s">
        <v>606</v>
      </c>
      <c r="D1061" s="294"/>
      <c r="E1061" s="294"/>
      <c r="F1061" s="294"/>
      <c r="G1061" s="298">
        <f>G1007+G472+G207+G79+G43-239.8</f>
        <v>3256.82</v>
      </c>
      <c r="H1061" s="298">
        <f>H1007+H472+H207+H79+H43-239.8</f>
        <v>3256.82</v>
      </c>
    </row>
    <row r="1062" spans="1:8" ht="15.75" hidden="1">
      <c r="A1062" s="289"/>
      <c r="B1062" s="289"/>
      <c r="C1062" s="297">
        <v>2</v>
      </c>
      <c r="D1062" s="294"/>
      <c r="E1062" s="294"/>
      <c r="F1062" s="294"/>
      <c r="G1062" s="298">
        <f>G121</f>
        <v>0</v>
      </c>
      <c r="H1062" s="298">
        <f>H121</f>
        <v>0</v>
      </c>
    </row>
    <row r="1063" spans="1:8" ht="15.75" hidden="1">
      <c r="A1063" s="289"/>
      <c r="B1063" s="289"/>
      <c r="C1063" s="297">
        <v>3</v>
      </c>
      <c r="D1063" s="294"/>
      <c r="E1063" s="294"/>
      <c r="F1063" s="294"/>
      <c r="G1063" s="298">
        <f>G797+G128</f>
        <v>8610.844000000001</v>
      </c>
      <c r="H1063" s="298">
        <f>H797+H128</f>
        <v>8610.844000000001</v>
      </c>
    </row>
    <row r="1064" spans="1:8" ht="15.75" hidden="1">
      <c r="A1064" s="289"/>
      <c r="B1064" s="289"/>
      <c r="C1064" s="297">
        <v>4</v>
      </c>
      <c r="D1064" s="294"/>
      <c r="E1064" s="294"/>
      <c r="F1064" s="294"/>
      <c r="G1064" s="298">
        <f>G147+G804+G232</f>
        <v>8934.2</v>
      </c>
      <c r="H1064" s="298">
        <f>H147+H804+H232</f>
        <v>8934.2</v>
      </c>
    </row>
    <row r="1065" spans="1:8" ht="15.75" hidden="1">
      <c r="A1065" s="289"/>
      <c r="B1065" s="289"/>
      <c r="C1065" s="297" t="s">
        <v>605</v>
      </c>
      <c r="D1065" s="294"/>
      <c r="E1065" s="294"/>
      <c r="F1065" s="294"/>
      <c r="G1065" s="298">
        <f>G1064-G1066</f>
        <v>8074.200000000001</v>
      </c>
      <c r="H1065" s="298">
        <f>H1064-H1066</f>
        <v>8074.200000000001</v>
      </c>
    </row>
    <row r="1066" spans="1:8" ht="15.75" hidden="1">
      <c r="A1066" s="289"/>
      <c r="B1066" s="289"/>
      <c r="C1066" s="297" t="s">
        <v>606</v>
      </c>
      <c r="D1066" s="294"/>
      <c r="E1066" s="294"/>
      <c r="F1066" s="294"/>
      <c r="G1066" s="298">
        <f>G163+G240+G247+G254+G174+G154</f>
        <v>859.9999999999999</v>
      </c>
      <c r="H1066" s="298">
        <f>H163+H240+H247+H254+H174+H154</f>
        <v>859.9999999999999</v>
      </c>
    </row>
    <row r="1067" spans="1:8" ht="15.75" hidden="1">
      <c r="A1067" s="289"/>
      <c r="B1067" s="289"/>
      <c r="C1067" s="297">
        <v>5</v>
      </c>
      <c r="D1067" s="294"/>
      <c r="E1067" s="294"/>
      <c r="F1067" s="294"/>
      <c r="G1067" s="298">
        <f>G823+G476</f>
        <v>40437.296</v>
      </c>
      <c r="H1067" s="298">
        <f>H823+H476</f>
        <v>40437.296</v>
      </c>
    </row>
    <row r="1068" spans="1:8" ht="15.75" hidden="1">
      <c r="A1068" s="289"/>
      <c r="B1068" s="289"/>
      <c r="C1068" s="297" t="s">
        <v>605</v>
      </c>
      <c r="D1068" s="294"/>
      <c r="E1068" s="294"/>
      <c r="F1068" s="294"/>
      <c r="G1068" s="298">
        <f>G1067-G1069</f>
        <v>38773.396</v>
      </c>
      <c r="H1068" s="298">
        <f>H1067-H1069</f>
        <v>38773.396</v>
      </c>
    </row>
    <row r="1069" spans="1:8" ht="15.75" hidden="1">
      <c r="A1069" s="289"/>
      <c r="B1069" s="289"/>
      <c r="C1069" s="297" t="s">
        <v>606</v>
      </c>
      <c r="D1069" s="294"/>
      <c r="E1069" s="294"/>
      <c r="F1069" s="294"/>
      <c r="G1069" s="298">
        <f>G851+G934+G943+G829-500</f>
        <v>1663.9</v>
      </c>
      <c r="H1069" s="298">
        <f>H851+H934+H943+H829-500</f>
        <v>1663.9</v>
      </c>
    </row>
    <row r="1070" spans="1:8" ht="15.75" hidden="1">
      <c r="A1070" s="289"/>
      <c r="B1070" s="289"/>
      <c r="C1070" s="297">
        <v>7</v>
      </c>
      <c r="D1070" s="294"/>
      <c r="E1070" s="294"/>
      <c r="F1070" s="294"/>
      <c r="G1070" s="298">
        <f>G497+G261</f>
        <v>317454.28099999996</v>
      </c>
      <c r="H1070" s="298">
        <f>H497+H261</f>
        <v>317454.28099999996</v>
      </c>
    </row>
    <row r="1071" spans="1:8" ht="15.75" hidden="1">
      <c r="A1071" s="289"/>
      <c r="B1071" s="289"/>
      <c r="C1071" s="297" t="s">
        <v>605</v>
      </c>
      <c r="D1071" s="294"/>
      <c r="E1071" s="294"/>
      <c r="F1071" s="294"/>
      <c r="G1071" s="298">
        <f>G1070-G1072</f>
        <v>136025.281</v>
      </c>
      <c r="H1071" s="298">
        <f>H1070-H1072</f>
        <v>136025.281</v>
      </c>
    </row>
    <row r="1072" spans="1:8" ht="15.75" hidden="1">
      <c r="A1072" s="289"/>
      <c r="B1072" s="289"/>
      <c r="C1072" s="297" t="s">
        <v>606</v>
      </c>
      <c r="D1072" s="294"/>
      <c r="E1072" s="294"/>
      <c r="F1072" s="294"/>
      <c r="G1072" s="298">
        <f>G675+G644+G613+G606+G572+G546+G508+G287</f>
        <v>181428.99999999997</v>
      </c>
      <c r="H1072" s="298">
        <f>H675+H644+H613+H606+H572+H546+H508+H287</f>
        <v>181428.99999999997</v>
      </c>
    </row>
    <row r="1073" spans="1:8" ht="15.75" hidden="1">
      <c r="A1073" s="289"/>
      <c r="B1073" s="289"/>
      <c r="C1073" s="297">
        <v>8</v>
      </c>
      <c r="D1073" s="294"/>
      <c r="E1073" s="294"/>
      <c r="F1073" s="294"/>
      <c r="G1073" s="298">
        <f>G322</f>
        <v>68480.954</v>
      </c>
      <c r="H1073" s="298">
        <f>H322</f>
        <v>68480.954</v>
      </c>
    </row>
    <row r="1074" spans="1:8" ht="15.75" hidden="1">
      <c r="A1074" s="289"/>
      <c r="B1074" s="289"/>
      <c r="C1074" s="297" t="s">
        <v>605</v>
      </c>
      <c r="D1074" s="294"/>
      <c r="E1074" s="294"/>
      <c r="F1074" s="294"/>
      <c r="G1074" s="298">
        <f>G1073-G1075</f>
        <v>66464.85399999999</v>
      </c>
      <c r="H1074" s="298">
        <f>H1073-H1075</f>
        <v>66464.85399999999</v>
      </c>
    </row>
    <row r="1075" spans="1:8" ht="15.75" hidden="1">
      <c r="A1075" s="289"/>
      <c r="B1075" s="289"/>
      <c r="C1075" s="297" t="s">
        <v>606</v>
      </c>
      <c r="D1075" s="294"/>
      <c r="E1075" s="294"/>
      <c r="F1075" s="294"/>
      <c r="G1075" s="298">
        <f>G372+G369+G344</f>
        <v>2016.1</v>
      </c>
      <c r="H1075" s="298">
        <f>H372+H369+H344</f>
        <v>2016.1</v>
      </c>
    </row>
    <row r="1076" spans="1:8" ht="15.75" hidden="1">
      <c r="A1076" s="289"/>
      <c r="B1076" s="289"/>
      <c r="C1076" s="297">
        <v>10</v>
      </c>
      <c r="D1076" s="294"/>
      <c r="E1076" s="294"/>
      <c r="F1076" s="294"/>
      <c r="G1076" s="298">
        <f>G981+G418+G177</f>
        <v>15036.9</v>
      </c>
      <c r="H1076" s="298">
        <f>H981+H418+H177</f>
        <v>15036.9</v>
      </c>
    </row>
    <row r="1077" spans="1:8" ht="15.75" hidden="1">
      <c r="A1077" s="289"/>
      <c r="B1077" s="289"/>
      <c r="C1077" s="297" t="s">
        <v>605</v>
      </c>
      <c r="D1077" s="294"/>
      <c r="E1077" s="294"/>
      <c r="F1077" s="294"/>
      <c r="G1077" s="298">
        <f>G1076-G1078</f>
        <v>11773</v>
      </c>
      <c r="H1077" s="298">
        <f>H1076-H1078</f>
        <v>11773</v>
      </c>
    </row>
    <row r="1078" spans="1:8" ht="15.75" hidden="1">
      <c r="A1078" s="289"/>
      <c r="B1078" s="289"/>
      <c r="C1078" s="297" t="s">
        <v>606</v>
      </c>
      <c r="D1078" s="294"/>
      <c r="E1078" s="294"/>
      <c r="F1078" s="294"/>
      <c r="G1078" s="298">
        <f>G192+G423-150</f>
        <v>3263.9</v>
      </c>
      <c r="H1078" s="298">
        <f>H192+H423-150</f>
        <v>3263.9</v>
      </c>
    </row>
    <row r="1079" spans="1:8" ht="15.75" hidden="1">
      <c r="A1079" s="289"/>
      <c r="B1079" s="289"/>
      <c r="C1079" s="297">
        <v>11</v>
      </c>
      <c r="D1079" s="294"/>
      <c r="E1079" s="294"/>
      <c r="F1079" s="294"/>
      <c r="G1079" s="298">
        <f>G713</f>
        <v>60935.022999999994</v>
      </c>
      <c r="H1079" s="298">
        <f>H713</f>
        <v>60935.022999999994</v>
      </c>
    </row>
    <row r="1080" spans="1:8" ht="15.75" hidden="1">
      <c r="A1080" s="289"/>
      <c r="B1080" s="289"/>
      <c r="C1080" s="297" t="s">
        <v>605</v>
      </c>
      <c r="D1080" s="294"/>
      <c r="E1080" s="294"/>
      <c r="F1080" s="294"/>
      <c r="G1080" s="298">
        <f>G1079-G1081</f>
        <v>60064.823</v>
      </c>
      <c r="H1080" s="298">
        <f>H1079-H1081</f>
        <v>60064.823</v>
      </c>
    </row>
    <row r="1081" spans="1:8" ht="15.75" hidden="1">
      <c r="A1081" s="289"/>
      <c r="B1081" s="289"/>
      <c r="C1081" s="297" t="s">
        <v>606</v>
      </c>
      <c r="D1081" s="294"/>
      <c r="E1081" s="294"/>
      <c r="F1081" s="294"/>
      <c r="G1081" s="298">
        <f>G744</f>
        <v>870.2</v>
      </c>
      <c r="H1081" s="298">
        <f>H744</f>
        <v>870.2</v>
      </c>
    </row>
    <row r="1082" spans="1:8" ht="15.75" hidden="1">
      <c r="A1082" s="289"/>
      <c r="B1082" s="289"/>
      <c r="C1082" s="297">
        <v>12</v>
      </c>
      <c r="D1082" s="294"/>
      <c r="E1082" s="294"/>
      <c r="F1082" s="294"/>
      <c r="G1082" s="298">
        <f>G1033</f>
        <v>7451</v>
      </c>
      <c r="H1082" s="298">
        <f>H1033</f>
        <v>7451</v>
      </c>
    </row>
    <row r="1083" spans="1:8" ht="15.75" hidden="1">
      <c r="A1083" s="289"/>
      <c r="B1083" s="289"/>
      <c r="C1083" s="298"/>
      <c r="D1083" s="294"/>
      <c r="E1083" s="294"/>
      <c r="F1083" s="294"/>
      <c r="G1083" s="299">
        <f>G1059+G1062+G1063+G1064+G1067+G1070+G1073+G1076+G1079+G1082</f>
        <v>679225.023</v>
      </c>
      <c r="H1083" s="299">
        <f>H1059+H1062+H1063+H1064+H1067+H1070+H1073+H1076+H1079+H1082</f>
        <v>679225.023</v>
      </c>
    </row>
    <row r="1084" spans="1:8" ht="15.75" hidden="1">
      <c r="A1084" s="289"/>
      <c r="B1084" s="289"/>
      <c r="C1084" s="297" t="s">
        <v>605</v>
      </c>
      <c r="D1084" s="294"/>
      <c r="E1084" s="294"/>
      <c r="F1084" s="294"/>
      <c r="G1084" s="299">
        <f>G1060+G1062+G1063+G1065+G1068+G1071+G1074+G1077+G1080+G1082</f>
        <v>485865.103</v>
      </c>
      <c r="H1084" s="299">
        <f>H1060+H1062+H1063+H1065+H1068+H1071+H1074+H1077+H1080+H1082</f>
        <v>485865.103</v>
      </c>
    </row>
    <row r="1085" spans="1:8" ht="15.75" hidden="1">
      <c r="A1085" s="289"/>
      <c r="B1085" s="289"/>
      <c r="C1085" s="297" t="s">
        <v>606</v>
      </c>
      <c r="D1085" s="294"/>
      <c r="E1085" s="294"/>
      <c r="F1085" s="294"/>
      <c r="G1085" s="299">
        <f>G1083-G1084</f>
        <v>193359.92000000004</v>
      </c>
      <c r="H1085" s="299">
        <f>H1083-H1084</f>
        <v>193359.92000000004</v>
      </c>
    </row>
    <row r="1086" spans="1:8" ht="15" hidden="1">
      <c r="A1086" s="228"/>
      <c r="B1086" s="228"/>
      <c r="C1086" s="228"/>
      <c r="D1086" s="228"/>
      <c r="E1086" s="228"/>
      <c r="F1086" s="228"/>
      <c r="G1086" s="293"/>
      <c r="H1086" s="293"/>
    </row>
    <row r="1087" spans="1:8" ht="15" hidden="1">
      <c r="A1087" s="253"/>
      <c r="B1087" s="253"/>
      <c r="C1087" s="253"/>
      <c r="D1087" s="228" t="s">
        <v>607</v>
      </c>
      <c r="E1087" s="228">
        <v>50</v>
      </c>
      <c r="F1087" s="228"/>
      <c r="G1087" s="293">
        <f>G812</f>
        <v>4546.2</v>
      </c>
      <c r="H1087" s="293">
        <f>H812</f>
        <v>4546.2</v>
      </c>
    </row>
    <row r="1088" spans="1:8" ht="15" hidden="1">
      <c r="A1088" s="253"/>
      <c r="B1088" s="253"/>
      <c r="C1088" s="253"/>
      <c r="D1088" s="228"/>
      <c r="E1088" s="228">
        <v>51</v>
      </c>
      <c r="F1088" s="228"/>
      <c r="G1088" s="293">
        <f>G201+G234+G303+G412+G420</f>
        <v>3645</v>
      </c>
      <c r="H1088" s="293">
        <f>H201+H234+H303+H412+H420</f>
        <v>3645</v>
      </c>
    </row>
    <row r="1089" spans="1:8" ht="15" hidden="1">
      <c r="A1089" s="253"/>
      <c r="B1089" s="253"/>
      <c r="C1089" s="253"/>
      <c r="D1089" s="228"/>
      <c r="E1089" s="228">
        <v>52</v>
      </c>
      <c r="F1089" s="228"/>
      <c r="G1089" s="293">
        <f>G499+G560+G638+G669</f>
        <v>277018.99999999994</v>
      </c>
      <c r="H1089" s="293">
        <f>H499+H560+H638+H669</f>
        <v>277018.99999999994</v>
      </c>
    </row>
    <row r="1090" spans="1:8" ht="15" hidden="1">
      <c r="A1090" s="253"/>
      <c r="B1090" s="253"/>
      <c r="C1090" s="253"/>
      <c r="D1090" s="228"/>
      <c r="E1090" s="228">
        <v>53</v>
      </c>
      <c r="F1090" s="228"/>
      <c r="G1090" s="293">
        <f>G169</f>
        <v>100</v>
      </c>
      <c r="H1090" s="293">
        <f>H169</f>
        <v>100</v>
      </c>
    </row>
    <row r="1091" spans="1:8" ht="15" hidden="1">
      <c r="A1091" s="253"/>
      <c r="B1091" s="253"/>
      <c r="C1091" s="253"/>
      <c r="D1091" s="228"/>
      <c r="E1091" s="228">
        <v>54</v>
      </c>
      <c r="F1091" s="228"/>
      <c r="G1091" s="293">
        <f>G1002+G64</f>
        <v>806</v>
      </c>
      <c r="H1091" s="293">
        <f>H1002+H64</f>
        <v>806</v>
      </c>
    </row>
    <row r="1092" spans="1:8" ht="15" hidden="1">
      <c r="A1092" s="253"/>
      <c r="B1092" s="253"/>
      <c r="C1092" s="253"/>
      <c r="D1092" s="228"/>
      <c r="E1092" s="228">
        <v>55</v>
      </c>
      <c r="F1092" s="228"/>
      <c r="G1092" s="293">
        <f>G185</f>
        <v>10</v>
      </c>
      <c r="H1092" s="293">
        <f>H185</f>
        <v>10</v>
      </c>
    </row>
    <row r="1093" spans="1:8" ht="15" hidden="1">
      <c r="A1093" s="253"/>
      <c r="B1093" s="253"/>
      <c r="C1093" s="253"/>
      <c r="D1093" s="228"/>
      <c r="E1093" s="228">
        <v>56</v>
      </c>
      <c r="F1093" s="228"/>
      <c r="G1093" s="293"/>
      <c r="H1093" s="293"/>
    </row>
    <row r="1094" spans="1:8" ht="15" hidden="1">
      <c r="A1094" s="253"/>
      <c r="B1094" s="253"/>
      <c r="C1094" s="253"/>
      <c r="D1094" s="228"/>
      <c r="E1094" s="228">
        <v>57</v>
      </c>
      <c r="F1094" s="228"/>
      <c r="G1094" s="293">
        <f>G715+G774</f>
        <v>50288.2</v>
      </c>
      <c r="H1094" s="293">
        <f>H715+H774</f>
        <v>50288.2</v>
      </c>
    </row>
    <row r="1095" spans="1:8" ht="15" hidden="1">
      <c r="A1095" s="253"/>
      <c r="B1095" s="253"/>
      <c r="C1095" s="253"/>
      <c r="D1095" s="228"/>
      <c r="E1095" s="228">
        <v>58</v>
      </c>
      <c r="F1095" s="228"/>
      <c r="G1095" s="293">
        <f>G263+G325+G348</f>
        <v>65119.67</v>
      </c>
      <c r="H1095" s="293">
        <f>H263+H325+H348</f>
        <v>65119.67</v>
      </c>
    </row>
    <row r="1096" spans="1:8" ht="15" hidden="1">
      <c r="A1096" s="253"/>
      <c r="B1096" s="253"/>
      <c r="C1096" s="253"/>
      <c r="D1096" s="228"/>
      <c r="E1096" s="228">
        <v>59</v>
      </c>
      <c r="F1096" s="228"/>
      <c r="G1096" s="293">
        <f>G549+G627+G976+G379</f>
        <v>0</v>
      </c>
      <c r="H1096" s="293">
        <f>H549+H627+H976+H379</f>
        <v>0</v>
      </c>
    </row>
    <row r="1097" spans="1:8" ht="15" hidden="1">
      <c r="A1097" s="253"/>
      <c r="B1097" s="253"/>
      <c r="C1097" s="253"/>
      <c r="D1097" s="228"/>
      <c r="E1097" s="228">
        <v>60</v>
      </c>
      <c r="F1097" s="228"/>
      <c r="G1097" s="293">
        <f>G903</f>
        <v>3793.9</v>
      </c>
      <c r="H1097" s="293">
        <f>H903</f>
        <v>3793.9</v>
      </c>
    </row>
    <row r="1098" spans="1:8" ht="15" hidden="1">
      <c r="A1098" s="253"/>
      <c r="B1098" s="253"/>
      <c r="C1098" s="253"/>
      <c r="D1098" s="228"/>
      <c r="E1098" s="228">
        <v>61</v>
      </c>
      <c r="F1098" s="228"/>
      <c r="G1098" s="293">
        <f>G149</f>
        <v>355</v>
      </c>
      <c r="H1098" s="293">
        <f>H149</f>
        <v>355</v>
      </c>
    </row>
    <row r="1099" spans="1:8" ht="15" hidden="1">
      <c r="A1099" s="253"/>
      <c r="B1099" s="253"/>
      <c r="C1099" s="253"/>
      <c r="D1099" s="228"/>
      <c r="E1099" s="228">
        <v>62</v>
      </c>
      <c r="F1099" s="228"/>
      <c r="G1099" s="293">
        <f>G868</f>
        <v>700</v>
      </c>
      <c r="H1099" s="293">
        <f>H868</f>
        <v>700</v>
      </c>
    </row>
    <row r="1100" spans="1:8" ht="15" hidden="1">
      <c r="A1100" s="253"/>
      <c r="B1100" s="253"/>
      <c r="C1100" s="253"/>
      <c r="D1100" s="228"/>
      <c r="E1100" s="228">
        <v>63</v>
      </c>
      <c r="F1100" s="228"/>
      <c r="G1100" s="293">
        <f>G210+G489+G708</f>
        <v>175</v>
      </c>
      <c r="H1100" s="293">
        <f>H210+H489+H708</f>
        <v>175</v>
      </c>
    </row>
    <row r="1101" spans="1:8" ht="15" hidden="1">
      <c r="A1101" s="253"/>
      <c r="B1101" s="253"/>
      <c r="C1101" s="253"/>
      <c r="D1101" s="228"/>
      <c r="E1101" s="228">
        <v>64</v>
      </c>
      <c r="F1101" s="228"/>
      <c r="G1101" s="293">
        <f>G102+G297+G384+G554+G632+G663+G748+G1047+G227</f>
        <v>3292.6</v>
      </c>
      <c r="H1101" s="293">
        <f>H102+H297+H384+H554+H632+H663+H748+H1047+H227</f>
        <v>3292.6</v>
      </c>
    </row>
    <row r="1102" spans="1:8" ht="15" hidden="1">
      <c r="A1102" s="253"/>
      <c r="B1102" s="253"/>
      <c r="C1102" s="253"/>
      <c r="D1102" s="228"/>
      <c r="E1102" s="228">
        <v>65</v>
      </c>
      <c r="F1102" s="228"/>
      <c r="G1102" s="293">
        <f>G941</f>
        <v>500</v>
      </c>
      <c r="H1102" s="293">
        <f>H941</f>
        <v>500</v>
      </c>
    </row>
    <row r="1103" spans="1:8" ht="15" hidden="1">
      <c r="A1103" s="253"/>
      <c r="B1103" s="253"/>
      <c r="C1103" s="253"/>
      <c r="D1103" s="253"/>
      <c r="E1103" s="228">
        <v>66</v>
      </c>
      <c r="F1103" s="228"/>
      <c r="G1103" s="293">
        <f>G471</f>
        <v>239.82</v>
      </c>
      <c r="H1103" s="293">
        <f>H471</f>
        <v>239.82</v>
      </c>
    </row>
    <row r="1104" spans="1:8" ht="15" hidden="1">
      <c r="A1104" s="253"/>
      <c r="B1104" s="253"/>
      <c r="C1104" s="253"/>
      <c r="D1104" s="253"/>
      <c r="E1104" s="228">
        <v>67</v>
      </c>
      <c r="F1104" s="228"/>
      <c r="G1104" s="293">
        <f>G111</f>
        <v>40</v>
      </c>
      <c r="H1104" s="293">
        <f>H111</f>
        <v>40</v>
      </c>
    </row>
    <row r="1105" spans="1:8" ht="15" hidden="1">
      <c r="A1105" s="253"/>
      <c r="B1105" s="253"/>
      <c r="C1105" s="253"/>
      <c r="D1105" s="253"/>
      <c r="E1105" s="228">
        <v>69</v>
      </c>
      <c r="F1105" s="228"/>
      <c r="G1105" s="275">
        <f>G116</f>
        <v>100</v>
      </c>
      <c r="H1105" s="275">
        <f>H116</f>
        <v>100</v>
      </c>
    </row>
    <row r="1106" spans="1:8" ht="15" hidden="1">
      <c r="A1106" s="253"/>
      <c r="B1106" s="253"/>
      <c r="C1106" s="253"/>
      <c r="D1106" s="253"/>
      <c r="E1106" s="228"/>
      <c r="F1106" s="228"/>
      <c r="G1106" s="293">
        <f>SUM(G1087:G1105)</f>
        <v>410730.38999999996</v>
      </c>
      <c r="H1106" s="293">
        <f>SUM(H1087:H1105)</f>
        <v>410730.38999999996</v>
      </c>
    </row>
    <row r="1107" ht="15" hidden="1"/>
    <row r="1108" ht="15" hidden="1"/>
    <row r="1109" ht="15" hidden="1"/>
  </sheetData>
  <mergeCells count="2">
    <mergeCell ref="A3:F3"/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2019-11-14T05:45:12Z</dcterms:modified>
  <cp:category/>
  <cp:version/>
  <cp:contentType/>
  <cp:contentStatus/>
</cp:coreProperties>
</file>